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7500" activeTab="1"/>
  </bookViews>
  <sheets>
    <sheet sheetId="4" name="РЕЗУЛЬТАТЫ" state="visible" r:id="rId4"/>
    <sheet sheetId="1" name="ОТЧЁТ" state="visible" r:id="rId5"/>
    <sheet sheetId="2" name="НАСТРОЙКА" state="visible" r:id="rId6"/>
    <sheet sheetId="3" name="СЧЁТ" state="visible" r:id="rId7"/>
    <sheet sheetId="5" name="ДЕМО" state="visible" r:id="rId8"/>
    <sheet sheetId="6" name="ЭТАЛОН" state="visible" r:id="rId9"/>
    <sheet sheetId="7" name="ПФ" state="visible" r:id="rId10"/>
    <sheet sheetId="8" name="ДОХОДЫ НС" state="visible" r:id="rId11"/>
    <sheet sheetId="9" name="ПФ2" state="visible" r:id="rId12"/>
    <sheet sheetId="10" name="АЛГОРИТМ" state="visible" r:id="rId13"/>
    <sheet sheetId="11" name="СРВ ТРАЕКТ" state="visible" r:id="rId14"/>
    <sheet sheetId="12" name="СРВ СЦЕН" state="visible" r:id="rId15"/>
    <sheet sheetId="13" name="МУЛЬТ" state="visible" r:id="rId16"/>
  </sheets>
  <calcPr calcId="171027"/>
</workbook>
</file>

<file path=xl/sharedStrings.xml><?xml version="1.0" encoding="utf-8"?>
<sst xmlns="http://schemas.openxmlformats.org/spreadsheetml/2006/main" count="6144" uniqueCount="2276">
  <si>
    <t xml:space="preserve">Министерство экономического развития Российской Федерации </t>
  </si>
  <si>
    <t>Прогноз социально-экономического развития Российской Федерации на период до 2024 года.....</t>
  </si>
  <si>
    <t>Таблица 1. Сценарии прогноза социально-экономического развития</t>
  </si>
  <si>
    <t>к соотв. периоду предыдущего года 2018 2019 2020 2021 2022 2023 2024</t>
  </si>
  <si>
    <t xml:space="preserve">                                                                                                                                                                            </t>
  </si>
  <si>
    <t>МИНЭКОНОМИКИ</t>
  </si>
  <si>
    <t>Валовой внутренний продукт, %</t>
  </si>
  <si>
    <t>базовый 2,3 1,3 1,7 3,1 3,2 3,3 3,3</t>
  </si>
  <si>
    <t>целевой 2,3 1,3 2,0 3,1 3,2 3,3 3,3</t>
  </si>
  <si>
    <t>Цена на нефть марки «Юралс» (мировые), долларов США за баррель</t>
  </si>
  <si>
    <t>консерв 2,3 1,3 1,1 1,9 2,3 2,5 2,5</t>
  </si>
  <si>
    <t>базовый 70,0 62,2 57,0 56,0 55,0 54,0 53,0</t>
  </si>
  <si>
    <t>целевой 70,0 62,2 57,0 56,0 55,0 54,0 53,0</t>
  </si>
  <si>
    <t>ВЕРСИЯ</t>
  </si>
  <si>
    <t xml:space="preserve">  pW</t>
  </si>
  <si>
    <t>СЧЁТ</t>
  </si>
  <si>
    <t xml:space="preserve">    Pw</t>
  </si>
  <si>
    <t>ТРЕНД</t>
  </si>
  <si>
    <t xml:space="preserve">  pEXM</t>
  </si>
  <si>
    <t xml:space="preserve">    Pem</t>
  </si>
  <si>
    <t xml:space="preserve">    Pe</t>
  </si>
  <si>
    <t xml:space="preserve"> WWS</t>
  </si>
  <si>
    <t xml:space="preserve">    WWS</t>
  </si>
  <si>
    <t xml:space="preserve">   kS</t>
  </si>
  <si>
    <t>INS</t>
  </si>
  <si>
    <t xml:space="preserve">  pIN</t>
  </si>
  <si>
    <t xml:space="preserve">    Pn</t>
  </si>
  <si>
    <t xml:space="preserve">  pIM</t>
  </si>
  <si>
    <t xml:space="preserve">    IMS</t>
  </si>
  <si>
    <t xml:space="preserve">   qIM*10</t>
  </si>
  <si>
    <t xml:space="preserve"> qIM</t>
  </si>
  <si>
    <t xml:space="preserve">  WW</t>
  </si>
  <si>
    <t xml:space="preserve">  FA</t>
  </si>
  <si>
    <t xml:space="preserve">  IN</t>
  </si>
  <si>
    <t xml:space="preserve">  pYD</t>
  </si>
  <si>
    <t xml:space="preserve">    Pd</t>
  </si>
  <si>
    <t xml:space="preserve">  LZ</t>
  </si>
  <si>
    <t xml:space="preserve"> BZ</t>
  </si>
  <si>
    <t xml:space="preserve">    XOS</t>
  </si>
  <si>
    <t xml:space="preserve">  pOS</t>
  </si>
  <si>
    <t xml:space="preserve">    Dww</t>
  </si>
  <si>
    <t xml:space="preserve">   IPC</t>
  </si>
  <si>
    <t xml:space="preserve">    Df</t>
  </si>
  <si>
    <t xml:space="preserve">   Dn</t>
  </si>
  <si>
    <t xml:space="preserve">  pYG</t>
  </si>
  <si>
    <t xml:space="preserve">    Pg</t>
  </si>
  <si>
    <t xml:space="preserve">    ^FS</t>
  </si>
  <si>
    <t xml:space="preserve">    FS</t>
  </si>
  <si>
    <t xml:space="preserve">  fOS</t>
  </si>
  <si>
    <t xml:space="preserve">  Pynk</t>
  </si>
  <si>
    <t>тренд</t>
  </si>
  <si>
    <t xml:space="preserve">    Pnk</t>
  </si>
  <si>
    <t xml:space="preserve"> *XOS</t>
  </si>
  <si>
    <t xml:space="preserve">  koZ</t>
  </si>
  <si>
    <t>консервативный 70,0 62,2 42,5 43,3 44,2 45,0 45,9</t>
  </si>
  <si>
    <t>б/р</t>
  </si>
  <si>
    <t>млрд руб</t>
  </si>
  <si>
    <t xml:space="preserve"> б/р</t>
  </si>
  <si>
    <t>млн чел</t>
  </si>
  <si>
    <t>054.07.2020</t>
  </si>
  <si>
    <t>Курс доллара среднегодовой, рублей за доллар США</t>
  </si>
  <si>
    <t>базовый 62,5 65,4 65,7 66,1 66,5 66,9 67,4</t>
  </si>
  <si>
    <t>целевой 62,5 65,4 65,1 65,4 65,9 66,2 66,7</t>
  </si>
  <si>
    <t>консервативный 62,5 65,4 68,7 69,3 69,8 70,1 70,5</t>
  </si>
  <si>
    <t>Индекс потребительских цен на конец года, в % к декабрю</t>
  </si>
  <si>
    <t>базовый 4,3 3,8 3,0 4,0 4,0 4,0 4,0</t>
  </si>
  <si>
    <t>целевой 4,3 3,8 4,0 4,0 4,0 4,0 4,0</t>
  </si>
  <si>
    <t>консервативный 4,3 3,8 3,2 4,0 4,0 4,0 4,0</t>
  </si>
  <si>
    <t>консервативный 2,3 1,3 1,1 1,9 2,3 2,5 2,5</t>
  </si>
  <si>
    <t>Инвестиции в основной капитал, %</t>
  </si>
  <si>
    <t>базовый 4,3 2,0 5,0 6,5 5,8 5,6 5,3</t>
  </si>
  <si>
    <t>целевой 4,3 2,0 5,8 6,5 5,8 5,6 5,3</t>
  </si>
  <si>
    <t>консервативный 4,3 2,0 3,6 3,4 3,1 3,4 3,8</t>
  </si>
  <si>
    <t>Промышленность, %</t>
  </si>
  <si>
    <t>базовый 2,9 2,3 2,4 2,6 2,9 3,0 3,1</t>
  </si>
  <si>
    <t>целевой 2,9 2,3 2,8 2,8 3,0 3,2 3,3</t>
  </si>
  <si>
    <t>консервативный 2,9 2,3 1,7 1,8 2,0 2,2 2,2</t>
  </si>
  <si>
    <t>Реальные располагаемые доходы населения, %</t>
  </si>
  <si>
    <t>базовый 0,1 0,1 1,5 2,2 2,3 2,3 2,4</t>
  </si>
  <si>
    <t>целевой 0,1 0,1 1,5 2,2 2,3 2,3 2,4</t>
  </si>
  <si>
    <t>консервативный 0,1 0,1 1,1 1,4 1,7 1,7 1,9</t>
  </si>
  <si>
    <t>Реальная заработная плата, %</t>
  </si>
  <si>
    <t>базовый 8,5 1,5 2,3 2,3 2,5 2,5 2,6</t>
  </si>
  <si>
    <t>целевой 8,5 1,5 2,5 2,4 2,5 2,5 2,6</t>
  </si>
  <si>
    <t>консервативный 8,5 1,5 1,8 1,4 1,9 2,0 2,1</t>
  </si>
  <si>
    <t>Оборот розничной торговли, %</t>
  </si>
  <si>
    <t>базовый 2,8 1,3 0,6 2,2 2,5 2,6 2,7</t>
  </si>
  <si>
    <t>целевой 2,8 1,3 1,1 2,2 2,5 2,6 2,7</t>
  </si>
  <si>
    <t>консервативный 2,8 1,3 0,5 1,4 1,9 2,1 2,3</t>
  </si>
  <si>
    <t>Экспорт товаров, млрд долларов США</t>
  </si>
  <si>
    <t>базовый 443,1 406,8 405,7 426,2 447,7 478,2 515,6</t>
  </si>
  <si>
    <t>целевой 443,1 406,8 424,7 441,2 458,9 484,5 515,6</t>
  </si>
  <si>
    <t>консервативный 443,1 406,8 337,7 354,8 374,9 396,6 424,2</t>
  </si>
  <si>
    <t>Импорт товаров, млрд долл. США</t>
  </si>
  <si>
    <t>базовый 248,7 247,7 259,2 276,0 296,0 318,1 343,9</t>
  </si>
  <si>
    <t>целевой 248,7 247,7 260,7 278,2 299,1 321,8 348,6</t>
  </si>
  <si>
    <t xml:space="preserve">консервативный 248,7 247,7 246,9 261,3 278,7 299,8 324,6 </t>
  </si>
  <si>
    <t xml:space="preserve"> </t>
  </si>
  <si>
    <t xml:space="preserve">                                   CВОДКА  ПРАВИЛ СНС И ГИПОТЕЗ  МОДЕЛИ Р1-4.0(2018-1)</t>
  </si>
  <si>
    <t xml:space="preserve"> WPR = XO - Z - OT - CN2 + CN1 = X - Z - OT - CN2</t>
  </si>
  <si>
    <t>ВВП - производственный метод</t>
  </si>
  <si>
    <t>^WWP = WDС + CN1 = X - Z</t>
  </si>
  <si>
    <t>WDC = XO - Z</t>
  </si>
  <si>
    <t>WDС = XO - Z</t>
  </si>
  <si>
    <t>WDCS = XOS - ZS = XOS*( 1 - aS)</t>
  </si>
  <si>
    <t>ВВП - метод использ доходов</t>
  </si>
  <si>
    <t>WWP = IN + Y +EXМ - IM + STR</t>
  </si>
  <si>
    <t xml:space="preserve">У ГКС сделана грубая ошибка с WN. Потоки перепутаны с запасами </t>
  </si>
  <si>
    <t xml:space="preserve"> Px = POx</t>
  </si>
  <si>
    <t>a = aS*(Dz/Dx)</t>
  </si>
  <si>
    <t>X = XO + CN 1</t>
  </si>
  <si>
    <t>X = XO + CN1</t>
  </si>
  <si>
    <t>WWP = X - Z = X*(1 - a)</t>
  </si>
  <si>
    <t>WWP = X - Z = X*( 1 - a )</t>
  </si>
  <si>
    <t>WWPS = XS - ZS = XS*(1 - aS)</t>
  </si>
  <si>
    <t>DBJ</t>
  </si>
  <si>
    <t>WWP</t>
  </si>
  <si>
    <t>Тренд1</t>
  </si>
  <si>
    <t>Тренд2</t>
  </si>
  <si>
    <t xml:space="preserve">    YD</t>
  </si>
  <si>
    <t xml:space="preserve">  DH</t>
  </si>
  <si>
    <t>ip</t>
  </si>
  <si>
    <t>RDH/100</t>
  </si>
  <si>
    <t xml:space="preserve"> RDH</t>
  </si>
  <si>
    <t>ВВП - метод исп. доходов (модификация)</t>
  </si>
  <si>
    <t>WWP = IN + YG + YD + YNG + EXМ - IM + STR</t>
  </si>
  <si>
    <t xml:space="preserve"> WPR = X - Z - OT - CN2 = X*(1 - a) - OT - CN2</t>
  </si>
  <si>
    <t xml:space="preserve">б / р  </t>
  </si>
  <si>
    <t xml:space="preserve">Xt = XOt + NLt - SBt = XOt + CN1t </t>
  </si>
  <si>
    <t>Px = POx</t>
  </si>
  <si>
    <t xml:space="preserve">     Рабочая гипотеза</t>
  </si>
  <si>
    <t xml:space="preserve"> WPR = X*(1 - a) - OT - CN2 = (XO + CN1)*(1 - a) - OT - CN2</t>
  </si>
  <si>
    <t>EXM = WWP - IN - YD - YG - YNK + IM - STR</t>
  </si>
  <si>
    <t>WWP = WPR + OT + CN2</t>
  </si>
  <si>
    <t>EXMS = WWPS - INS - YDS - YGS - YNKS + IMS</t>
  </si>
  <si>
    <t>X = ^WWP / (1 - a) = ^WWP*(1 - aS*(Dz/Dx))</t>
  </si>
  <si>
    <t xml:space="preserve">Z = X - ^WWP </t>
  </si>
  <si>
    <t>ВВП - формирование по ист доходов</t>
  </si>
  <si>
    <t xml:space="preserve">WWP = WPR + OT + CN2 </t>
  </si>
  <si>
    <t>Dz = Z / ZS</t>
  </si>
  <si>
    <t>XO - Z + CN1 = WPR + OT + CN2</t>
  </si>
  <si>
    <t>Следствие   WPR = XO - Z - OT - CN2 + CN1</t>
  </si>
  <si>
    <t>ZS = XS - WWPS</t>
  </si>
  <si>
    <t>Следствие   XO = Z + OT + WPR + CN2 - CN1       OT = s2*XO</t>
  </si>
  <si>
    <t>aS = 1 - (^WWPS / XS)</t>
  </si>
  <si>
    <t xml:space="preserve">Следствие   X =  Z + OT + WPR  + CN2 </t>
  </si>
  <si>
    <t>(Dz/Dx) = a / aS</t>
  </si>
  <si>
    <t xml:space="preserve">ВВП - метрическая гипотеза </t>
  </si>
  <si>
    <t xml:space="preserve"> WWPS = WDCS + CNS1</t>
  </si>
  <si>
    <t>Используется ГКС. Бред какой то …</t>
  </si>
  <si>
    <t>Dx = (^WWP/XS)*(1 - aS*(Dz/Dx))</t>
  </si>
  <si>
    <t xml:space="preserve"> WWPS = XS - ZS = XS*( 1 - aS)</t>
  </si>
  <si>
    <t xml:space="preserve">Следствие  aS = ZS/XS = 1 - WWPS / XS = 1 - (Pw*WWPo)/(Px*Xo) </t>
  </si>
  <si>
    <t xml:space="preserve"> WWPS = XS - ZS </t>
  </si>
  <si>
    <t>Следствие  ^Pw = (XS-ZS) / WWPo    Dw = WWP/ WWPS</t>
  </si>
  <si>
    <t xml:space="preserve">                                  О Ф И Ц И А Л Ь Н А Я      О Т Ч Ё Т Н О С Т Ь</t>
  </si>
  <si>
    <t xml:space="preserve">ВДС - метрическая гипотеза </t>
  </si>
  <si>
    <t xml:space="preserve"> WDСS = XOS - ZS</t>
  </si>
  <si>
    <t xml:space="preserve"> Источники</t>
  </si>
  <si>
    <t xml:space="preserve">версия </t>
  </si>
  <si>
    <t>исп. В.И.Антипов  8(909) 648-0767</t>
  </si>
  <si>
    <t>Темпы выпуска -рабочая гипотеза</t>
  </si>
  <si>
    <t>Следствие  XS = Px*Xo = POx*(XOo + CN1o)</t>
  </si>
  <si>
    <t>1.</t>
  </si>
  <si>
    <t>Национальные счета России в 1995-2002 годах: Стат. сб./ Росстат. - М., 2003. -157 с.</t>
  </si>
  <si>
    <t>ВВП исп - метрическая гипотеза</t>
  </si>
  <si>
    <t xml:space="preserve"> WWPS = INS + YMS + EXS - IMS </t>
  </si>
  <si>
    <t xml:space="preserve">Следствие  Pw = (INS+YMS+EXS-IMS) / WWPo  </t>
  </si>
  <si>
    <t>ОШИБКА !!!  ГКС</t>
  </si>
  <si>
    <t>X = XO + CN1 = XO*( 1+ n1 )</t>
  </si>
  <si>
    <t>2.</t>
  </si>
  <si>
    <t>Национальные счета России в 1998-2005 годах: Стат. сб./ Росстат. - М., 2006. -145 с.</t>
  </si>
  <si>
    <t>Сл-вие</t>
  </si>
  <si>
    <t xml:space="preserve">     Dw = (WWP - STR)/(INS + YMS + EXS - IMS)</t>
  </si>
  <si>
    <t xml:space="preserve">  n1t = CN1t / XOt  </t>
  </si>
  <si>
    <t>3.</t>
  </si>
  <si>
    <t>Национальные счета России в 2000-2007 годах: Стат. сб./ Росстат. - М., 2008. -213 с.</t>
  </si>
  <si>
    <t xml:space="preserve">ВВП по ист дох - метр.гипотеза </t>
  </si>
  <si>
    <t xml:space="preserve"> WWPS = WPRS + OTS + CNS2 </t>
  </si>
  <si>
    <t>Используется ГКС   Бред какой то…</t>
  </si>
  <si>
    <t>4.</t>
  </si>
  <si>
    <t>Россия в цифрах. 2010: Крат.стат.сб./Росстат - М.,2010. - 558 с.</t>
  </si>
  <si>
    <t xml:space="preserve">Занятые всего </t>
  </si>
  <si>
    <t xml:space="preserve"> LW = dA*N - BZ = A - BZ</t>
  </si>
  <si>
    <t>5.</t>
  </si>
  <si>
    <t>Российский статистический ежегодник. 2009: Стат.сб./ Росстат. - М., 2009 -795c.</t>
  </si>
  <si>
    <t>Зарегистрированные безработн</t>
  </si>
  <si>
    <t xml:space="preserve"> BRZ = qR*BZ </t>
  </si>
  <si>
    <t>WWPS = INS+YDS+YGMS+YNKS+EXS-IMS</t>
  </si>
  <si>
    <t>6.</t>
  </si>
  <si>
    <t>Национальные счета России в 2001-2008 годах: Стат. сб./ Росстат. - М., 2009. -253 с.</t>
  </si>
  <si>
    <t>Произв труда в СЦ по выпуску</t>
  </si>
  <si>
    <t xml:space="preserve"> POS = XOS / LW </t>
  </si>
  <si>
    <t xml:space="preserve">Следствие  XOS/POS = OT/UO    UO = OT*POS/XOS = kRU*IPC*UOo </t>
  </si>
  <si>
    <t>WWP =Dn*INS+Dd*YDS+Dgm*YGMS+Dnk*YNKS+De*EXS-Dm*IMS</t>
  </si>
  <si>
    <t>7.</t>
  </si>
  <si>
    <t>Национальные счета России в 2002-2009 годах: Стат. сб./ Росстат. - М., 2010. -325 с.</t>
  </si>
  <si>
    <t>Произв труда в СЦ по ВВП</t>
  </si>
  <si>
    <t xml:space="preserve"> PSw = WWPS / LW</t>
  </si>
  <si>
    <t>Dw = WWP / WWPS</t>
  </si>
  <si>
    <t>8.</t>
  </si>
  <si>
    <t>Национальные счета России в 2003-2010 годах: Стат. сб./ Росстат. - М., 2011. -333 с.</t>
  </si>
  <si>
    <t>Доля ОТ в составе ВВП</t>
  </si>
  <si>
    <t xml:space="preserve"> qOT = OT / WWP</t>
  </si>
  <si>
    <t>^WWP = WWP</t>
  </si>
  <si>
    <t>9.</t>
  </si>
  <si>
    <t>Национальные счета России в 2004-2011 годах: Стат. сб./ Росстат. - М., 2012. -341 с.</t>
  </si>
  <si>
    <t>Удельная оплата труда</t>
  </si>
  <si>
    <t xml:space="preserve"> UO = OT / LW  = kRU*IPC*UOo</t>
  </si>
  <si>
    <t>Pw = WWPS / WWPo</t>
  </si>
  <si>
    <t>10.</t>
  </si>
  <si>
    <t>Национальные счета России в 2005-2012 годах: Стат. сб./ Росстат. - М., 2013. -363 с.</t>
  </si>
  <si>
    <t>Коэффициент УОТ</t>
  </si>
  <si>
    <t xml:space="preserve"> kRU = qOT*(Dw / IPC)*PTw / UOo</t>
  </si>
  <si>
    <t>^Pw = Pw * ( 1 + dev )</t>
  </si>
  <si>
    <t>11.</t>
  </si>
  <si>
    <t>Национальные счета России в 2006-2013 годах: Стат. сб./ Росстат. - М., 2014.             эл. версия</t>
  </si>
  <si>
    <t>Коэффициент девиации ВВП</t>
  </si>
  <si>
    <t xml:space="preserve"> dev = (^Pw - Pw) / Pw</t>
  </si>
  <si>
    <t>^WWPS = ^Pw*WWPo</t>
  </si>
  <si>
    <t>12.</t>
  </si>
  <si>
    <t>Национальные счета России в 2007-2014 годах: Стат. сб./ Росстат. - М., 2015. - 304 c.</t>
  </si>
  <si>
    <t>Вводы ОФ в СЦ</t>
  </si>
  <si>
    <t xml:space="preserve"> WWSt = vSt*( 0,7*INSt + 0,2*INSt-1 + 0,1*INSt-2)</t>
  </si>
  <si>
    <t xml:space="preserve">XS = ^WWPS / (1- aS) </t>
  </si>
  <si>
    <t>13.</t>
  </si>
  <si>
    <t>Российский статистический ежегодник. 2016: Стат.сб./ Росстат. - М., 2016 -725c.</t>
  </si>
  <si>
    <t>Валовое накопление в СЦ</t>
  </si>
  <si>
    <t xml:space="preserve"> WNSt = WNOKSt + MSt - MSt-1 = nSt*WWSt + eSt*XOSt = nSt*vSt*( 0,7*INSt + 0,2*INSt-1 + 0,1*INSt-2 ) + eSt*XOSt</t>
  </si>
  <si>
    <t>14.</t>
  </si>
  <si>
    <t>Национальные счета России в 2011-2016 годах: Стат. сб./ Росстат. - М., 2017. - 263 c. эл. версия</t>
  </si>
  <si>
    <t>Текущая инвест х-ка экон России</t>
  </si>
  <si>
    <t>X = Dx*XS</t>
  </si>
  <si>
    <t>15.</t>
  </si>
  <si>
    <t>Россия в цифрах. 2017: Крат.стат.сб./Росстат- M., Р76 2017 - 511 с. ISBN 978-5-89476-435-1</t>
  </si>
  <si>
    <t>Коэффициент выбытия ОФ</t>
  </si>
  <si>
    <t xml:space="preserve">  kWBt =  WBt / Ft-1</t>
  </si>
  <si>
    <t xml:space="preserve">Следствие   </t>
  </si>
  <si>
    <t xml:space="preserve">  pFt = 1 + WWSt/FSt - kWBt</t>
  </si>
  <si>
    <t>a = 1 - WWP / X</t>
  </si>
  <si>
    <t>16.</t>
  </si>
  <si>
    <t>Национальные счета России в 2014-2018 годах: Стат. сб./ Росстат. - М., 2019. - 245 c. ISBN 978 - 5 - 89476 - 466 -5</t>
  </si>
  <si>
    <t>Динамика ОФ</t>
  </si>
  <si>
    <t xml:space="preserve">  FSt = FSt-1 + WWSt - WBSt</t>
  </si>
  <si>
    <t>Следствие</t>
  </si>
  <si>
    <t xml:space="preserve">  kWBt = 1 + WWSt/FSt-1 - pFt</t>
  </si>
  <si>
    <t>Dz = Dx*(a / aS)</t>
  </si>
  <si>
    <t>17.</t>
  </si>
  <si>
    <t>Инвестиции в России. 2019: Стат.сб./ Росстат.- М., 2019. - 228 с.   ISBN 978 - 5 - 89476 - 471 - 9</t>
  </si>
  <si>
    <t>Коэффициент импорта</t>
  </si>
  <si>
    <t xml:space="preserve">  bS = IMS / (YMS + INS )</t>
  </si>
  <si>
    <t>Z = Dz*ZS</t>
  </si>
  <si>
    <t>18.</t>
  </si>
  <si>
    <t>Российский статистический ежегодник. 2018: Стат.сб./ Росстат. - М., 2019 -694c. ISBN 978 - 5 - 89476 - 456 - 6</t>
  </si>
  <si>
    <t>Расходы КБ</t>
  </si>
  <si>
    <t xml:space="preserve">  RКB = DKB + DFB</t>
  </si>
  <si>
    <t>X = Z + WWP</t>
  </si>
  <si>
    <t>19.</t>
  </si>
  <si>
    <t>Доходы КБ</t>
  </si>
  <si>
    <t xml:space="preserve">  DKB = d* XO</t>
  </si>
  <si>
    <t>Dx = X /XS</t>
  </si>
  <si>
    <t>20.</t>
  </si>
  <si>
    <t>Выпуск в СЦ покупателей</t>
  </si>
  <si>
    <t xml:space="preserve">  XS = XOS + POx*CN1o =Px*XSo</t>
  </si>
  <si>
    <t>21.</t>
  </si>
  <si>
    <t>Доходы населения</t>
  </si>
  <si>
    <r>
      <t xml:space="preserve">   DH = OT + </t>
    </r>
    <r>
      <rPr>
        <charset val="204"/>
        <color indexed="8"/>
        <family val="2"/>
        <sz val="12"/>
        <rFont val="Calibri"/>
      </rPr>
      <t>µ*</t>
    </r>
    <r>
      <rPr>
        <charset val="204"/>
        <color indexed="8"/>
        <family val="2"/>
        <sz val="12"/>
        <rFont val="Arial"/>
      </rPr>
      <t xml:space="preserve">WWP  = OT + PDN( WWP ) </t>
    </r>
  </si>
  <si>
    <t>22.</t>
  </si>
  <si>
    <t xml:space="preserve"> WPR = ^WWP - OT - CN2</t>
  </si>
  <si>
    <r>
      <t xml:space="preserve">Экономически активное население = Рабочая сила = </t>
    </r>
    <r>
      <rPr>
        <b/>
        <charset val="204"/>
        <color indexed="62"/>
        <family val="2"/>
        <sz val="12"/>
        <rFont val="Tahoma"/>
      </rPr>
      <t>Занятые</t>
    </r>
    <r>
      <rPr>
        <b/>
        <charset val="204"/>
        <color indexed="8"/>
        <family val="2"/>
        <sz val="12"/>
        <rFont val="Tahoma"/>
      </rPr>
      <t xml:space="preserve"> + </t>
    </r>
    <r>
      <rPr>
        <b/>
        <charset val="204"/>
        <color indexed="62"/>
        <family val="2"/>
        <sz val="12"/>
        <rFont val="Tahoma"/>
      </rPr>
      <t>Безработные</t>
    </r>
  </si>
  <si>
    <t>XS &lt;  ^fos*FS</t>
  </si>
  <si>
    <t>Базисный год 1995</t>
  </si>
  <si>
    <t>Деноминированные рубли 1998 года.</t>
  </si>
  <si>
    <t>Источн.</t>
  </si>
  <si>
    <t>Обознач.</t>
  </si>
  <si>
    <t xml:space="preserve">           Наименование показателя</t>
  </si>
  <si>
    <t xml:space="preserve"> Ед. исч.</t>
  </si>
  <si>
    <t>млрд.руб</t>
  </si>
  <si>
    <t xml:space="preserve">   Dd</t>
  </si>
  <si>
    <t xml:space="preserve"> WWP</t>
  </si>
  <si>
    <t>8/c.20</t>
  </si>
  <si>
    <t>XO</t>
  </si>
  <si>
    <t>ВЫПУСК в основных ценах (ОЦ)</t>
  </si>
  <si>
    <t>млрд.руб.</t>
  </si>
  <si>
    <t>14/ п. 2.1.1.</t>
  </si>
  <si>
    <t>IM</t>
  </si>
  <si>
    <t>ИМПОРТ товаров и услуг</t>
  </si>
  <si>
    <t/>
  </si>
  <si>
    <t>NL</t>
  </si>
  <si>
    <t xml:space="preserve">НАЛОГИ на продукты </t>
  </si>
  <si>
    <t>SB</t>
  </si>
  <si>
    <t xml:space="preserve">СУБСИДИИ на продукты </t>
  </si>
  <si>
    <t>расчёт</t>
  </si>
  <si>
    <t>X</t>
  </si>
  <si>
    <t>ВЫПУСК в ценах покупателей  (ЦП)</t>
  </si>
  <si>
    <t xml:space="preserve">Zt </t>
  </si>
  <si>
    <t>ПРОМЕЖУТОЧНОЕ  ПОТРЕБЛЕНИЕ</t>
  </si>
  <si>
    <t>a=Z/Х</t>
  </si>
  <si>
    <t>КОЭФФИЦИЕНТ. ПРОМ. ПОТРЕБЛЕНИЯ</t>
  </si>
  <si>
    <t xml:space="preserve">     б/p</t>
  </si>
  <si>
    <t>WDC</t>
  </si>
  <si>
    <t>ВАЛОВАЯ ДОБАВЛ. СТОИМОСТЬ</t>
  </si>
  <si>
    <t>XO - Z</t>
  </si>
  <si>
    <t>КОНТРОЛЬ WDC</t>
  </si>
  <si>
    <t>Y</t>
  </si>
  <si>
    <t>КОНЕЧНОЕ  ПОТРЕБЛЕНИЕ</t>
  </si>
  <si>
    <t>WN</t>
  </si>
  <si>
    <t>ВАЛОВОЕ  НАКОПЛЕНИЕ</t>
  </si>
  <si>
    <t>EX</t>
  </si>
  <si>
    <t>ЭКСПОРТ товаров и услуг</t>
  </si>
  <si>
    <t>EX - IM</t>
  </si>
  <si>
    <t xml:space="preserve">ЧИСТЫЙ ЭКСПОРТ </t>
  </si>
  <si>
    <t>STR</t>
  </si>
  <si>
    <t>СТАТИСТИЧЕСКОЕ РАСХОЖДЕНИЕ</t>
  </si>
  <si>
    <t>^WWP</t>
  </si>
  <si>
    <t>ВВП в рыночных ценах (РЦ)</t>
  </si>
  <si>
    <t>CN1</t>
  </si>
  <si>
    <t>ЧИСТЫЕ НАЛОГИ на продукты</t>
  </si>
  <si>
    <t>WWP1</t>
  </si>
  <si>
    <t>контроль</t>
  </si>
  <si>
    <t>произв</t>
  </si>
  <si>
    <t>WWP2</t>
  </si>
  <si>
    <t>использ</t>
  </si>
  <si>
    <t>8/c.22</t>
  </si>
  <si>
    <t>YD</t>
  </si>
  <si>
    <t>КОНЕЧНОЕ  ПОТРЕБЛЕНИЕ ДХ</t>
  </si>
  <si>
    <t>14/ п. 2.1.6.</t>
  </si>
  <si>
    <t>YG</t>
  </si>
  <si>
    <t>КОНЕЧНОЕ  ПОТРЕБЛЕНИЕ ГОС</t>
  </si>
  <si>
    <t>YNК</t>
  </si>
  <si>
    <t>КОНЕЧНОЕ  ПОТРЕБЛЕНИЕ НКО</t>
  </si>
  <si>
    <t>k$</t>
  </si>
  <si>
    <t>КУРС ДОЛЛАРА</t>
  </si>
  <si>
    <t>РУБ/$</t>
  </si>
  <si>
    <t>РАСЧЁТ</t>
  </si>
  <si>
    <t>5/c.651</t>
  </si>
  <si>
    <t>IN</t>
  </si>
  <si>
    <t>ИНВЕСТИЦИИ в ОК</t>
  </si>
  <si>
    <t>15/ c.36</t>
  </si>
  <si>
    <t>8/c.23</t>
  </si>
  <si>
    <t>WNОК</t>
  </si>
  <si>
    <t>ВАЛОВОЕ НАКОПЛЕНИЕ ОК</t>
  </si>
  <si>
    <t>14/ п. 2.1.7.</t>
  </si>
  <si>
    <t>5/c.307</t>
  </si>
  <si>
    <t>Mt - Mt-1</t>
  </si>
  <si>
    <t>ИЗМЕНЕНИЕ ЗАПАСОВ МОС</t>
  </si>
  <si>
    <t>1/c.323</t>
  </si>
  <si>
    <t>F</t>
  </si>
  <si>
    <t>ОСНОВНЫЕ ФОНДЫ   (тек ц. на 1.01)</t>
  </si>
  <si>
    <t>15 / с.64</t>
  </si>
  <si>
    <t>5/с.336</t>
  </si>
  <si>
    <t>WW</t>
  </si>
  <si>
    <t>ВВОДЫ ОСНОВНЫХ ФОНДОВ</t>
  </si>
  <si>
    <t>сайт ГКС</t>
  </si>
  <si>
    <t>aS = ZS / XS</t>
  </si>
  <si>
    <t>aS</t>
  </si>
  <si>
    <t>aSt = ZS / XS</t>
  </si>
  <si>
    <t>Ra = Z / ZS</t>
  </si>
  <si>
    <t>Ra</t>
  </si>
  <si>
    <t>окраска КПП</t>
  </si>
  <si>
    <t>5/c.31</t>
  </si>
  <si>
    <t>N</t>
  </si>
  <si>
    <t>ЧИСЛЕННОСТЬ НАСЕЛЕНИЯ (на 1.01)</t>
  </si>
  <si>
    <t>млн.чел.</t>
  </si>
  <si>
    <t>15 / с.32</t>
  </si>
  <si>
    <t>М2</t>
  </si>
  <si>
    <t>ДЕНЕЖНАЯ МАССА М2</t>
  </si>
  <si>
    <t>7/с.21</t>
  </si>
  <si>
    <t>OT</t>
  </si>
  <si>
    <t>ОПЛАТА ТРУДА по СНС</t>
  </si>
  <si>
    <t>14/ п. 2.1.3.</t>
  </si>
  <si>
    <t>4/c.117</t>
  </si>
  <si>
    <t>DН</t>
  </si>
  <si>
    <t>ДЕНЕЖНЫЕ ДОХОДЫ НАСЕЛЕНИЯ</t>
  </si>
  <si>
    <t>15/ c.123</t>
  </si>
  <si>
    <t>qOT</t>
  </si>
  <si>
    <t>Доля оплаты труда в ВВП</t>
  </si>
  <si>
    <t xml:space="preserve">    YGS</t>
  </si>
  <si>
    <t xml:space="preserve">  Pg</t>
  </si>
  <si>
    <t xml:space="preserve">    YG</t>
  </si>
  <si>
    <t xml:space="preserve">   Dg</t>
  </si>
  <si>
    <t>IPC</t>
  </si>
  <si>
    <t>5/c.129</t>
  </si>
  <si>
    <t>LZW</t>
  </si>
  <si>
    <t>ЗАНЯТЫЕ ВСЕГО</t>
  </si>
  <si>
    <t>15/ c.92</t>
  </si>
  <si>
    <t>СЦЕН</t>
  </si>
  <si>
    <t>Dd</t>
  </si>
  <si>
    <t xml:space="preserve">  Dg</t>
  </si>
  <si>
    <t xml:space="preserve">   Dnk</t>
  </si>
  <si>
    <t>Dm</t>
  </si>
  <si>
    <t xml:space="preserve">  Dem</t>
  </si>
  <si>
    <t xml:space="preserve">  Dn</t>
  </si>
  <si>
    <t>WK</t>
  </si>
  <si>
    <t>FA</t>
  </si>
  <si>
    <t>CN</t>
  </si>
  <si>
    <t>POXS</t>
  </si>
  <si>
    <t>ПРОИЗВОДИТЕЛЬНОСТЬ ТРУДА</t>
  </si>
  <si>
    <t>ТЫС РУБ/Ч</t>
  </si>
  <si>
    <t xml:space="preserve">   $/бар</t>
  </si>
  <si>
    <t>4/c.29</t>
  </si>
  <si>
    <t>BZ</t>
  </si>
  <si>
    <t>ЧИСЛЕННОСТЬ БЕЗРАБОТНЫХ</t>
  </si>
  <si>
    <t>LA-LZW</t>
  </si>
  <si>
    <t>КОНТРОЛЬ БЕЗРАБОТНЫХ</t>
  </si>
  <si>
    <t>A-LZW</t>
  </si>
  <si>
    <t>qRBZ = RBZ / BZ</t>
  </si>
  <si>
    <t>qR</t>
  </si>
  <si>
    <t>ДОЛЯ ЗАРЕГИСТР  БЕЗРАБОТНЫХ</t>
  </si>
  <si>
    <t>4/c.101</t>
  </si>
  <si>
    <t>ZBR</t>
  </si>
  <si>
    <t>ЗАРЕГИСТРИРОВАННЫЕ БЕЗРАБОТН</t>
  </si>
  <si>
    <t>4/c.91</t>
  </si>
  <si>
    <t>A</t>
  </si>
  <si>
    <t>ЭКОНОМИЧЕСКИ АКТИВНОЕ НАСЕЛЕНИЕ</t>
  </si>
  <si>
    <t>7/c.20</t>
  </si>
  <si>
    <t>NL2</t>
  </si>
  <si>
    <t>НАЛОГИ НА ПРОИЗВ. И ИМП.</t>
  </si>
  <si>
    <t>8/c.21</t>
  </si>
  <si>
    <t>SB2</t>
  </si>
  <si>
    <t>СУБСИДИИ НА ПРОИЗВ. И ИМП.</t>
  </si>
  <si>
    <t>CN2</t>
  </si>
  <si>
    <t>ЧИСТЫЕ НАЛОГИ НА ПРОИЗВ. И ИМП.</t>
  </si>
  <si>
    <t>3/ c.21</t>
  </si>
  <si>
    <t>WPR</t>
  </si>
  <si>
    <t>ВАЛОВАЯ ПРИБЫЛЬ ЭКОНОМИКИ И ВСД</t>
  </si>
  <si>
    <t>3/ c.22</t>
  </si>
  <si>
    <t>RBJ</t>
  </si>
  <si>
    <t>РАСХОДЫ КОНС. БЮДЖЕТА</t>
  </si>
  <si>
    <t>4/c.32</t>
  </si>
  <si>
    <t>3/ c.23</t>
  </si>
  <si>
    <t>ДОХОДЫ КОНС. БЮДЖЕТА</t>
  </si>
  <si>
    <t>4/c.31</t>
  </si>
  <si>
    <t>WWP3</t>
  </si>
  <si>
    <t>по источн доходов</t>
  </si>
  <si>
    <t xml:space="preserve">произведенный </t>
  </si>
  <si>
    <t>ВВП произв</t>
  </si>
  <si>
    <t>гипотеза</t>
  </si>
  <si>
    <t>TM</t>
  </si>
  <si>
    <t>ТРУДОВАЯ МИГРАЦИЯ</t>
  </si>
  <si>
    <t>UO = OTt/ LZWt</t>
  </si>
  <si>
    <t>UO</t>
  </si>
  <si>
    <t>УДЕЛЬНАЯ ОПЛАТА ТРУДА</t>
  </si>
  <si>
    <t>тыс р/чел</t>
  </si>
  <si>
    <t>kRUt = UOt / IPCt*UOo</t>
  </si>
  <si>
    <t>kRU</t>
  </si>
  <si>
    <t>КОЭФФ. РЕАЛЬНОЙ УДЕЛЬНОЙ О.Т.</t>
  </si>
  <si>
    <t>sOTt = OTt / WWPt</t>
  </si>
  <si>
    <t>sOT</t>
  </si>
  <si>
    <t>по ВВП</t>
  </si>
  <si>
    <t>dI1</t>
  </si>
  <si>
    <t>Доля ИНВЕСТИЦИЙ в ОК  ГОС</t>
  </si>
  <si>
    <t>dI2</t>
  </si>
  <si>
    <t>Доля ИНВЕСТИЦИЙ в ОК  КОРП</t>
  </si>
  <si>
    <t>dI3</t>
  </si>
  <si>
    <t>Доля ИНВЕСТИЦИЙ в ОК  ДХ</t>
  </si>
  <si>
    <t>dI4</t>
  </si>
  <si>
    <t>Доля ИНВЕСТИЦИЙ в ОК  ОМ</t>
  </si>
  <si>
    <t>h1t = YGt /RBJt</t>
  </si>
  <si>
    <t>h1</t>
  </si>
  <si>
    <t xml:space="preserve">КОЭФФ. расх. сектора ГОС на КП </t>
  </si>
  <si>
    <t>h2t = IN1t /RBJt</t>
  </si>
  <si>
    <t>h2</t>
  </si>
  <si>
    <t xml:space="preserve">КОЭФФ. расх. сектора ГОС на инвест. </t>
  </si>
  <si>
    <t xml:space="preserve">h3 = (DHt - OTt)/WWPt  </t>
  </si>
  <si>
    <t>h3</t>
  </si>
  <si>
    <t>КОЭФФ. прочих поступлений ДХ</t>
  </si>
  <si>
    <t xml:space="preserve">h4t = YDt/DHt </t>
  </si>
  <si>
    <t>h4</t>
  </si>
  <si>
    <t xml:space="preserve">КОЭФФ. расх. сектора ДХ  на КП </t>
  </si>
  <si>
    <t>h5t = IN3t /DHt</t>
  </si>
  <si>
    <t>h5</t>
  </si>
  <si>
    <t xml:space="preserve">КОЭФФ. расх. сектора ДХ на инвест. </t>
  </si>
  <si>
    <t>h6t = IN2t /WPRt</t>
  </si>
  <si>
    <t>h6</t>
  </si>
  <si>
    <t xml:space="preserve">КОЭФФ. расх. сектора КОРП на инвест. </t>
  </si>
  <si>
    <t>h7t = IN4t /INt</t>
  </si>
  <si>
    <t>h7</t>
  </si>
  <si>
    <t xml:space="preserve">КОЭФФ. расх. сектора ОМ на инвест. </t>
  </si>
  <si>
    <t>n1=CN1/ XO</t>
  </si>
  <si>
    <t>n1</t>
  </si>
  <si>
    <t>КОЭФФ. чистых нал на продукты</t>
  </si>
  <si>
    <t>n2=CN2/(XO+IM)</t>
  </si>
  <si>
    <t>n2</t>
  </si>
  <si>
    <t>КОЭФФ. чистых нал на произв и импорт</t>
  </si>
  <si>
    <t>4/c.33</t>
  </si>
  <si>
    <t>ip  (д/д)</t>
  </si>
  <si>
    <t>Годовой ИПЦ</t>
  </si>
  <si>
    <t>Темп произведенного (отчётного) ВВП</t>
  </si>
  <si>
    <t>7/c.182</t>
  </si>
  <si>
    <t>p^WWP</t>
  </si>
  <si>
    <t>ТЕМП ВВП в рыночных ценах (РЦ)</t>
  </si>
  <si>
    <t>14 / 2.7.6.</t>
  </si>
  <si>
    <t>Темп использованного ВВП</t>
  </si>
  <si>
    <t>pWWP</t>
  </si>
  <si>
    <t>pWDC</t>
  </si>
  <si>
    <t>pХО</t>
  </si>
  <si>
    <t>ТЕМП ВЫПУСКА в ОЦ</t>
  </si>
  <si>
    <t>14 / 2.7.2.</t>
  </si>
  <si>
    <t>pХ</t>
  </si>
  <si>
    <t>ТЕМП ВЫПУСКА в ЦП</t>
  </si>
  <si>
    <t>3/ c.105</t>
  </si>
  <si>
    <t>pWN</t>
  </si>
  <si>
    <t>ТЕМП валового накопления в ЦП</t>
  </si>
  <si>
    <t>14 / 2.7.14.</t>
  </si>
  <si>
    <t>pWNOK</t>
  </si>
  <si>
    <t>ТЕМП влового накопления ОК</t>
  </si>
  <si>
    <t>PОk</t>
  </si>
  <si>
    <t>Базисный ТЕМП Вал нак ОК</t>
  </si>
  <si>
    <t>pY</t>
  </si>
  <si>
    <t>ТЕМП конечного потребления</t>
  </si>
  <si>
    <t xml:space="preserve">  YNKS</t>
  </si>
  <si>
    <t xml:space="preserve">  Pnk</t>
  </si>
  <si>
    <t xml:space="preserve">    YNK</t>
  </si>
  <si>
    <t>ТРЕНД1</t>
  </si>
  <si>
    <t>ТРЕНД2</t>
  </si>
  <si>
    <t>pYD</t>
  </si>
  <si>
    <t>ТЕМП КП ДХ</t>
  </si>
  <si>
    <t>pYG</t>
  </si>
  <si>
    <t>ТЕМП КП ГОС</t>
  </si>
  <si>
    <t>версия</t>
  </si>
  <si>
    <t xml:space="preserve">      CN</t>
  </si>
  <si>
    <t>тренд1</t>
  </si>
  <si>
    <t>тренд2</t>
  </si>
  <si>
    <t>pYNK</t>
  </si>
  <si>
    <t>ТЕМП КП НКО</t>
  </si>
  <si>
    <t>pEX</t>
  </si>
  <si>
    <t>ТЕМП экспорта</t>
  </si>
  <si>
    <t>pIM</t>
  </si>
  <si>
    <t>ТЕМП импорта</t>
  </si>
  <si>
    <t>4/ c.36</t>
  </si>
  <si>
    <t>pIN</t>
  </si>
  <si>
    <t>ТЕМП инвестиций в ОК</t>
  </si>
  <si>
    <t>15/ c.39</t>
  </si>
  <si>
    <t>pF</t>
  </si>
  <si>
    <t>ТЕМП основных фондов</t>
  </si>
  <si>
    <t>15 / c/65</t>
  </si>
  <si>
    <t>pWW</t>
  </si>
  <si>
    <t>ТЕМП вводов ОФ</t>
  </si>
  <si>
    <t>kWBt = 1 - pFt + WWSt/FSt-1</t>
  </si>
  <si>
    <t>kWB</t>
  </si>
  <si>
    <t>Коэффициент ВЫБЫТИЯ ОФ</t>
  </si>
  <si>
    <t xml:space="preserve">kwbt =  1 + WWSt / FSt  -  pFt .          </t>
  </si>
  <si>
    <t>WWPS = XS - ZS</t>
  </si>
  <si>
    <t>ZS</t>
  </si>
  <si>
    <t>Промежут. потребление в СЦ</t>
  </si>
  <si>
    <t>bS = IMS / (YMS + INS )</t>
  </si>
  <si>
    <t>bS</t>
  </si>
  <si>
    <t>Коэфф. ИМПОРТА в соп. ценах</t>
  </si>
  <si>
    <t>r = RCB / WWP</t>
  </si>
  <si>
    <t>r</t>
  </si>
  <si>
    <t>Коэфф. расходов КОНС.БЮДЖЕТА</t>
  </si>
  <si>
    <t>d = DCB / WWP</t>
  </si>
  <si>
    <t>d</t>
  </si>
  <si>
    <t>Коэфф. доходов КОНС.БЮДЖЕТА</t>
  </si>
  <si>
    <t>XS = XOS + POx*CN1o =Px*XSo</t>
  </si>
  <si>
    <t>XS</t>
  </si>
  <si>
    <t>ВЫПУСК в сопоставимых ЦП</t>
  </si>
  <si>
    <t>Базисный ИПЦ</t>
  </si>
  <si>
    <t>Рw</t>
  </si>
  <si>
    <t>Базисный ТЕМП ВВП</t>
  </si>
  <si>
    <t>Рх</t>
  </si>
  <si>
    <t>Базисный ТЕМП выпуска в ЦП</t>
  </si>
  <si>
    <t>РОх</t>
  </si>
  <si>
    <t>Базисный ТЕМП выпуска в ОЦ</t>
  </si>
  <si>
    <t>Pzt = ZSt / ZSo</t>
  </si>
  <si>
    <t>Рz</t>
  </si>
  <si>
    <t>Базисный ТЕМП пром.потребления</t>
  </si>
  <si>
    <t>РOk</t>
  </si>
  <si>
    <t>Базисный ТЕМП вал нак ОК</t>
  </si>
  <si>
    <t>Рn</t>
  </si>
  <si>
    <t>Базисный ТЕМП инвестиций в ОК</t>
  </si>
  <si>
    <t>Рk</t>
  </si>
  <si>
    <t>Базисный ТЕМП валового накопления</t>
  </si>
  <si>
    <t>Рd</t>
  </si>
  <si>
    <t>Базисный ТЕМП КПДХ</t>
  </si>
  <si>
    <t>Рg</t>
  </si>
  <si>
    <t>Базисный ТЕМП ГОС</t>
  </si>
  <si>
    <t>Рnk</t>
  </si>
  <si>
    <t>Базисный ТЕМП НКО</t>
  </si>
  <si>
    <t>Рe</t>
  </si>
  <si>
    <t>Базисный ТЕМП экспорта</t>
  </si>
  <si>
    <t>Рm</t>
  </si>
  <si>
    <t>Базисный ТЕМП импорта</t>
  </si>
  <si>
    <t>Pn</t>
  </si>
  <si>
    <t>Рf</t>
  </si>
  <si>
    <t>Базисный ТЕМП основных фондов</t>
  </si>
  <si>
    <t>Рww</t>
  </si>
  <si>
    <t>Базисный ТЕМП вводов</t>
  </si>
  <si>
    <t>XOS</t>
  </si>
  <si>
    <t>ВЫПУСК в сопоставимых ОЦ</t>
  </si>
  <si>
    <t>n1 = CN1 / XO</t>
  </si>
  <si>
    <t>Коэфф. Ч.Н. на продкты</t>
  </si>
  <si>
    <t>n2 = CN2 / (XO+IM)</t>
  </si>
  <si>
    <t>Коэфф. Ч.Н. на произв. и импорт</t>
  </si>
  <si>
    <t>POS = XOS /  LZ</t>
  </si>
  <si>
    <t>POS</t>
  </si>
  <si>
    <t>Произв труда (по выпуску в ОЦ)</t>
  </si>
  <si>
    <t>тср / чел</t>
  </si>
  <si>
    <t xml:space="preserve">Коэф  промежуточного потребления </t>
  </si>
  <si>
    <t>nS = WNOKS / WWS</t>
  </si>
  <si>
    <t>nS</t>
  </si>
  <si>
    <t xml:space="preserve">Коэф  валового накопления </t>
  </si>
  <si>
    <t>v</t>
  </si>
  <si>
    <t>Коэф перевода инв во вводы ОФ</t>
  </si>
  <si>
    <t>PTSw</t>
  </si>
  <si>
    <t>Производительность труда по ВВП</t>
  </si>
  <si>
    <t>EXS</t>
  </si>
  <si>
    <t>Экспорт в ценах 1995 года</t>
  </si>
  <si>
    <t>WNS</t>
  </si>
  <si>
    <t>WNOKS</t>
  </si>
  <si>
    <t>eSt = ( WNS -WNOKSt ) / XOS</t>
  </si>
  <si>
    <t>eS</t>
  </si>
  <si>
    <t>Коэффициент прироста МОС</t>
  </si>
  <si>
    <t>Dw</t>
  </si>
  <si>
    <t>Базисный ДЕФЛ ВВП</t>
  </si>
  <si>
    <t>Dх</t>
  </si>
  <si>
    <t>Базисный ДЕФЛ выпуска в ЦП</t>
  </si>
  <si>
    <t xml:space="preserve">  INS</t>
  </si>
  <si>
    <t>Тренд</t>
  </si>
  <si>
    <t xml:space="preserve"> Прогн</t>
  </si>
  <si>
    <t>DОх</t>
  </si>
  <si>
    <t>Базисный ДЕФЛ выпуска в ОЦ</t>
  </si>
  <si>
    <t xml:space="preserve"> INS</t>
  </si>
  <si>
    <t xml:space="preserve">    INS</t>
  </si>
  <si>
    <t xml:space="preserve">  Pn</t>
  </si>
  <si>
    <t xml:space="preserve">    IN</t>
  </si>
  <si>
    <t xml:space="preserve"> qINS</t>
  </si>
  <si>
    <t xml:space="preserve">    Dn</t>
  </si>
  <si>
    <t xml:space="preserve">  Pw</t>
  </si>
  <si>
    <t xml:space="preserve">    FA</t>
  </si>
  <si>
    <t>Dk</t>
  </si>
  <si>
    <t>Базисный ДЕФЛ валового накопления</t>
  </si>
  <si>
    <t>сцен</t>
  </si>
  <si>
    <t>сценар</t>
  </si>
  <si>
    <t>Базисный ДЕФЛ КПДХ</t>
  </si>
  <si>
    <t>Dg</t>
  </si>
  <si>
    <t>Базисный ДЕФЛ ГОС</t>
  </si>
  <si>
    <t>Dnk</t>
  </si>
  <si>
    <t>Базисный ДЕФЛ НКО</t>
  </si>
  <si>
    <t>De</t>
  </si>
  <si>
    <t>Базисный ДЕФЛ экспорта</t>
  </si>
  <si>
    <t xml:space="preserve">  Xft = 0,4*Pwt +0,5*Pwt-1 +0,1*Pwt-2  </t>
  </si>
  <si>
    <t>Базисный ДЕФЛ импорта</t>
  </si>
  <si>
    <t>Dn</t>
  </si>
  <si>
    <t>Базисный ДЕФЛ инвестиций в ОК</t>
  </si>
  <si>
    <t>Df</t>
  </si>
  <si>
    <t>Базисный ДЕФЛ основных фондов</t>
  </si>
  <si>
    <t>Dww</t>
  </si>
  <si>
    <t>Базисный ДЕФЛ вводов</t>
  </si>
  <si>
    <t>Dz</t>
  </si>
  <si>
    <t>Базисный ДЕФЛ промежут.потребл.</t>
  </si>
  <si>
    <t>WWS</t>
  </si>
  <si>
    <t>IMS</t>
  </si>
  <si>
    <t>Импорт в СЦ</t>
  </si>
  <si>
    <t>Инвестиции в ОК в СЦ</t>
  </si>
  <si>
    <t>YS</t>
  </si>
  <si>
    <t>Конечное потребление в СЦ</t>
  </si>
  <si>
    <t>FS</t>
  </si>
  <si>
    <t>ОФ в сопоставимых ценах</t>
  </si>
  <si>
    <t>fOS = XOS / FS</t>
  </si>
  <si>
    <t>fOS</t>
  </si>
  <si>
    <t>Фондоотдача  (по выпуску) в СЦ</t>
  </si>
  <si>
    <t>WWPS = WWPo*Pw</t>
  </si>
  <si>
    <t>WWPS</t>
  </si>
  <si>
    <t>ВВП в СЦ</t>
  </si>
  <si>
    <t>сайт МФ</t>
  </si>
  <si>
    <t>DHF</t>
  </si>
  <si>
    <t>Фактические доходы ФБ</t>
  </si>
  <si>
    <t>RHF</t>
  </si>
  <si>
    <t>Фактические расходы ФБ</t>
  </si>
  <si>
    <t>DF</t>
  </si>
  <si>
    <t>Дефицит ФБ</t>
  </si>
  <si>
    <t>NLF</t>
  </si>
  <si>
    <t>Налоговых доходы ФБ</t>
  </si>
  <si>
    <t>REN</t>
  </si>
  <si>
    <t>Рентабельность общ. Произв</t>
  </si>
  <si>
    <t>qDHF = DHF / ^WWP</t>
  </si>
  <si>
    <t>qDHF</t>
  </si>
  <si>
    <t>Доля доходов ФБ отн  ВВП</t>
  </si>
  <si>
    <t>qRHF</t>
  </si>
  <si>
    <t>Доля расходов ФБ отн ВВП</t>
  </si>
  <si>
    <t>qDEF</t>
  </si>
  <si>
    <t>Доля дефицита ФБ отн ВВП</t>
  </si>
  <si>
    <t>qNLF</t>
  </si>
  <si>
    <t xml:space="preserve">Доля налоговых доходов ФБ </t>
  </si>
  <si>
    <t>ОФ на к.г. (по полной уч.стоимости)</t>
  </si>
  <si>
    <t>XOS отч</t>
  </si>
  <si>
    <t>XOS расч</t>
  </si>
  <si>
    <t>FS  отч</t>
  </si>
  <si>
    <t>FS  расч</t>
  </si>
  <si>
    <t>отчёт</t>
  </si>
  <si>
    <t>Наличие основных фондов в Российской Федерации</t>
  </si>
  <si>
    <t xml:space="preserve">  XOS</t>
  </si>
  <si>
    <t xml:space="preserve">    qIM</t>
  </si>
  <si>
    <t xml:space="preserve"> POx</t>
  </si>
  <si>
    <t xml:space="preserve"> Pm</t>
  </si>
  <si>
    <t>ИСТОЧНИК</t>
  </si>
  <si>
    <t>"Россия в цифрах 2018"</t>
  </si>
  <si>
    <t>Сценар</t>
  </si>
  <si>
    <t>счёт</t>
  </si>
  <si>
    <t xml:space="preserve">  Pm</t>
  </si>
  <si>
    <t xml:space="preserve">    IM</t>
  </si>
  <si>
    <t xml:space="preserve">   Dm</t>
  </si>
  <si>
    <t xml:space="preserve">    WK</t>
  </si>
  <si>
    <t xml:space="preserve"> IPC</t>
  </si>
  <si>
    <t xml:space="preserve"> млрд руб</t>
  </si>
  <si>
    <t xml:space="preserve">   руб/$</t>
  </si>
  <si>
    <t xml:space="preserve"> Pe</t>
  </si>
  <si>
    <t xml:space="preserve">    EX</t>
  </si>
  <si>
    <t xml:space="preserve">  счёт</t>
  </si>
  <si>
    <t xml:space="preserve">   pEX</t>
  </si>
  <si>
    <t xml:space="preserve">  Pe</t>
  </si>
  <si>
    <t xml:space="preserve">   De</t>
  </si>
  <si>
    <t xml:space="preserve">   dEX</t>
  </si>
  <si>
    <t xml:space="preserve">   WK</t>
  </si>
  <si>
    <t>CNF</t>
  </si>
  <si>
    <t xml:space="preserve">     FA</t>
  </si>
  <si>
    <t xml:space="preserve">     EX</t>
  </si>
  <si>
    <t xml:space="preserve">    XO</t>
  </si>
  <si>
    <t>руб/$</t>
  </si>
  <si>
    <t>трлн руб</t>
  </si>
  <si>
    <t xml:space="preserve">    ^М2</t>
  </si>
  <si>
    <t xml:space="preserve">    М2</t>
  </si>
  <si>
    <t>kMZ</t>
  </si>
  <si>
    <t>млрд</t>
  </si>
  <si>
    <t>трлн р</t>
  </si>
  <si>
    <t>по данным Банка России (ЦБ РФ)</t>
  </si>
  <si>
    <t>^WK</t>
  </si>
  <si>
    <t xml:space="preserve">  PPS 1</t>
  </si>
  <si>
    <t xml:space="preserve">  PPS 2</t>
  </si>
  <si>
    <t xml:space="preserve">  PPS 3</t>
  </si>
  <si>
    <t>ОПОРА</t>
  </si>
  <si>
    <t>$/бар</t>
  </si>
  <si>
    <t>СЦЕН 1</t>
  </si>
  <si>
    <t>СЦЕН 2</t>
  </si>
  <si>
    <t>Сцен 1</t>
  </si>
  <si>
    <t>Сцен 2</t>
  </si>
  <si>
    <t xml:space="preserve">  IPC</t>
  </si>
  <si>
    <t xml:space="preserve">   FA</t>
  </si>
  <si>
    <t xml:space="preserve">   DJB</t>
  </si>
  <si>
    <t xml:space="preserve">   EX</t>
  </si>
  <si>
    <t xml:space="preserve">  EXM</t>
  </si>
  <si>
    <t>опора</t>
  </si>
  <si>
    <t>МОДИФИКАЦИЯ СЧЁТА  ТОВАРОВ И УСЛУГ ПУТЁМ ИЗМЕНЕНИЯ ЭКСПОРТА</t>
  </si>
  <si>
    <t>XO + NL1 - SB + IM = Z + IN +YD + YG + YNK + EXM + STR</t>
  </si>
  <si>
    <t>EXM = X + IM - Z - IN - YD - YG - YNK - STR</t>
  </si>
  <si>
    <t>EXMS = XS + IMS - ZS - INS - YDS - YGS - YNKS</t>
  </si>
  <si>
    <t>EXMS = WWPS + IMS - INS - YDS - YGS - YNKS</t>
  </si>
  <si>
    <t>Demt = EXMt / EXMSt</t>
  </si>
  <si>
    <t>Pemt = EXMSt / EXMSo</t>
  </si>
  <si>
    <t xml:space="preserve">     pX</t>
  </si>
  <si>
    <t xml:space="preserve">Px  </t>
  </si>
  <si>
    <t xml:space="preserve">    X</t>
  </si>
  <si>
    <t xml:space="preserve">    XS</t>
  </si>
  <si>
    <t xml:space="preserve"> pIM</t>
  </si>
  <si>
    <t xml:space="preserve">Pm  </t>
  </si>
  <si>
    <t xml:space="preserve">   IMS</t>
  </si>
  <si>
    <t xml:space="preserve">   pZ</t>
  </si>
  <si>
    <t xml:space="preserve">Pz  </t>
  </si>
  <si>
    <t xml:space="preserve">   Z</t>
  </si>
  <si>
    <t xml:space="preserve">  ZS</t>
  </si>
  <si>
    <t xml:space="preserve">Pn  </t>
  </si>
  <si>
    <t xml:space="preserve">   IN</t>
  </si>
  <si>
    <t xml:space="preserve"> pYD</t>
  </si>
  <si>
    <t xml:space="preserve">Pd  </t>
  </si>
  <si>
    <t xml:space="preserve">   YD</t>
  </si>
  <si>
    <t xml:space="preserve"> YDS</t>
  </si>
  <si>
    <t xml:space="preserve"> pYG</t>
  </si>
  <si>
    <t>Pg</t>
  </si>
  <si>
    <t xml:space="preserve"> YG</t>
  </si>
  <si>
    <t xml:space="preserve"> YGS</t>
  </si>
  <si>
    <t>Pnk</t>
  </si>
  <si>
    <t xml:space="preserve"> YNK</t>
  </si>
  <si>
    <t xml:space="preserve"> YNKS</t>
  </si>
  <si>
    <t xml:space="preserve">  STR</t>
  </si>
  <si>
    <t>Pw</t>
  </si>
  <si>
    <t xml:space="preserve">  Dw</t>
  </si>
  <si>
    <t xml:space="preserve"> pEXM</t>
  </si>
  <si>
    <t xml:space="preserve">Pem  </t>
  </si>
  <si>
    <t xml:space="preserve">Dem  </t>
  </si>
  <si>
    <t>qEXMS</t>
  </si>
  <si>
    <t xml:space="preserve"> EXMS</t>
  </si>
  <si>
    <t xml:space="preserve">   EXS</t>
  </si>
  <si>
    <t>qEXM</t>
  </si>
  <si>
    <t xml:space="preserve"> Dem</t>
  </si>
  <si>
    <t xml:space="preserve"> Dme</t>
  </si>
  <si>
    <t xml:space="preserve"> Pem</t>
  </si>
  <si>
    <t xml:space="preserve"> Pk</t>
  </si>
  <si>
    <t xml:space="preserve">   Xf</t>
  </si>
  <si>
    <t>WNOS</t>
  </si>
  <si>
    <t>kWN</t>
  </si>
  <si>
    <t>kIN</t>
  </si>
  <si>
    <t xml:space="preserve"> Pww</t>
  </si>
  <si>
    <t xml:space="preserve"> IN</t>
  </si>
  <si>
    <t>LZ</t>
  </si>
  <si>
    <t xml:space="preserve">   XO</t>
  </si>
  <si>
    <t>UOT</t>
  </si>
  <si>
    <t>RUO</t>
  </si>
  <si>
    <t xml:space="preserve">   DH</t>
  </si>
  <si>
    <t>µ</t>
  </si>
  <si>
    <t xml:space="preserve"> PDN</t>
  </si>
  <si>
    <t>МЛН ЧЕЛ</t>
  </si>
  <si>
    <t xml:space="preserve"> тср/чел </t>
  </si>
  <si>
    <t xml:space="preserve">б/р  </t>
  </si>
  <si>
    <t>WNО</t>
  </si>
  <si>
    <t xml:space="preserve"> PОk</t>
  </si>
  <si>
    <t>DОk</t>
  </si>
  <si>
    <t>WNO</t>
  </si>
  <si>
    <t>POk</t>
  </si>
  <si>
    <t xml:space="preserve">  F</t>
  </si>
  <si>
    <t xml:space="preserve">   Pf</t>
  </si>
  <si>
    <t xml:space="preserve">   Df</t>
  </si>
  <si>
    <r>
      <t xml:space="preserve">   X</t>
    </r>
    <r>
      <rPr>
        <b/>
        <charset val="204"/>
        <family val="2"/>
        <sz val="14"/>
        <rFont val="Arial"/>
      </rPr>
      <t>f</t>
    </r>
  </si>
  <si>
    <t>Pf</t>
  </si>
  <si>
    <t>Тренд 1</t>
  </si>
  <si>
    <t>Тренд 2</t>
  </si>
  <si>
    <t>б / р</t>
  </si>
  <si>
    <t xml:space="preserve">   Dz</t>
  </si>
  <si>
    <t>POx</t>
  </si>
  <si>
    <t xml:space="preserve">   fOS</t>
  </si>
  <si>
    <t xml:space="preserve">    fOT</t>
  </si>
  <si>
    <t xml:space="preserve">     DOx</t>
  </si>
  <si>
    <t xml:space="preserve">   Dw</t>
  </si>
  <si>
    <t xml:space="preserve">   DOx</t>
  </si>
  <si>
    <t xml:space="preserve">     POx</t>
  </si>
  <si>
    <t xml:space="preserve">   Pw</t>
  </si>
  <si>
    <t xml:space="preserve">   POx</t>
  </si>
  <si>
    <t xml:space="preserve">  ^WWPS</t>
  </si>
  <si>
    <t xml:space="preserve"> FS</t>
  </si>
  <si>
    <t>^WWPS/LZ</t>
  </si>
  <si>
    <t xml:space="preserve">    FS / LZ</t>
  </si>
  <si>
    <t xml:space="preserve"> млн чел</t>
  </si>
  <si>
    <t xml:space="preserve"> тср /чел</t>
  </si>
  <si>
    <t>FSt = FSt-1 + WWSt -WBSt</t>
  </si>
  <si>
    <t>kWBt = WBSt / Ft-1</t>
  </si>
  <si>
    <t>kWWt = WWSt / FSt</t>
  </si>
  <si>
    <t>^Dww</t>
  </si>
  <si>
    <t xml:space="preserve"> Dww</t>
  </si>
  <si>
    <t xml:space="preserve">  FS</t>
  </si>
  <si>
    <t xml:space="preserve">   б/р</t>
  </si>
  <si>
    <t>ПРОГНОЗ</t>
  </si>
  <si>
    <t xml:space="preserve">               НАСТРОЙКА  ПАРАМЕТРОВ  МОДЕЛИ  Р1-4.0(2020-1)</t>
  </si>
  <si>
    <t>на конец года</t>
  </si>
  <si>
    <t xml:space="preserve">kWBt  =  1 – pFt  +WWSt/FSt-1 </t>
  </si>
  <si>
    <t>pF = (1- kвыб)/(1 - kобн)</t>
  </si>
  <si>
    <t>БАЗА</t>
  </si>
  <si>
    <t>1995 г.</t>
  </si>
  <si>
    <t xml:space="preserve">      F</t>
  </si>
  <si>
    <t xml:space="preserve">     DF</t>
  </si>
  <si>
    <t xml:space="preserve">     Pf</t>
  </si>
  <si>
    <t xml:space="preserve">    pF</t>
  </si>
  <si>
    <t xml:space="preserve">   ^FS</t>
  </si>
  <si>
    <t xml:space="preserve">   FS</t>
  </si>
  <si>
    <t xml:space="preserve">  pWW</t>
  </si>
  <si>
    <t xml:space="preserve"> ^WWS</t>
  </si>
  <si>
    <t xml:space="preserve"> ^WBS</t>
  </si>
  <si>
    <t xml:space="preserve"> WBS</t>
  </si>
  <si>
    <t xml:space="preserve">  ^Кобн</t>
  </si>
  <si>
    <t xml:space="preserve">  ^Квыб</t>
  </si>
  <si>
    <t xml:space="preserve">  Кобн</t>
  </si>
  <si>
    <t xml:space="preserve">  Квыб</t>
  </si>
  <si>
    <t>WBS</t>
  </si>
  <si>
    <t xml:space="preserve">    eS</t>
  </si>
  <si>
    <t xml:space="preserve"> прогн</t>
  </si>
  <si>
    <t>СЦЕНАР</t>
  </si>
  <si>
    <t xml:space="preserve">    б/р</t>
  </si>
  <si>
    <t xml:space="preserve">                       ФУНДАМЕНТАЛЬНАЯ  МАТРИЦА "СЧЁТА ТОВАРОВ И УСЛУГ" </t>
  </si>
  <si>
    <t xml:space="preserve">произв </t>
  </si>
  <si>
    <t xml:space="preserve">исп </t>
  </si>
  <si>
    <t>^WWPS</t>
  </si>
  <si>
    <t>Росстат</t>
  </si>
  <si>
    <t>выпуск в ОЦ</t>
  </si>
  <si>
    <t xml:space="preserve">    ^pW</t>
  </si>
  <si>
    <t xml:space="preserve">    pW</t>
  </si>
  <si>
    <t xml:space="preserve">    ^Pw</t>
  </si>
  <si>
    <t>pXO = pX</t>
  </si>
  <si>
    <t>декларация ГКС</t>
  </si>
  <si>
    <t>pXO</t>
  </si>
  <si>
    <t>DOx</t>
  </si>
  <si>
    <t>выпуск в СОЦ</t>
  </si>
  <si>
    <t>импорт</t>
  </si>
  <si>
    <t>Pm</t>
  </si>
  <si>
    <t>чистые налоги на прод.</t>
  </si>
  <si>
    <t>pCN1</t>
  </si>
  <si>
    <t>Pcn1</t>
  </si>
  <si>
    <t>***???</t>
  </si>
  <si>
    <t>Dcn1</t>
  </si>
  <si>
    <t>CNS1 = ^WWPS - WDCS</t>
  </si>
  <si>
    <t>CNS1</t>
  </si>
  <si>
    <t>выпуск в ЦП</t>
  </si>
  <si>
    <t>pX</t>
  </si>
  <si>
    <t>Pxt = XSt / XSt-1</t>
  </si>
  <si>
    <t>Px</t>
  </si>
  <si>
    <t>Dx = X / XS</t>
  </si>
  <si>
    <t>Dx</t>
  </si>
  <si>
    <t>XS = XOS + CNS1</t>
  </si>
  <si>
    <t>промежуточное потр.</t>
  </si>
  <si>
    <t>Z</t>
  </si>
  <si>
    <t>pZ</t>
  </si>
  <si>
    <t>Pz</t>
  </si>
  <si>
    <t xml:space="preserve">ZS = XS - ^WWPS </t>
  </si>
  <si>
    <t>валовое накопление</t>
  </si>
  <si>
    <t>Pk</t>
  </si>
  <si>
    <t xml:space="preserve">КП ГОС </t>
  </si>
  <si>
    <t xml:space="preserve">   Pe</t>
  </si>
  <si>
    <t xml:space="preserve">   Pem</t>
  </si>
  <si>
    <t>YGS</t>
  </si>
  <si>
    <t>КП НКО</t>
  </si>
  <si>
    <t>YNK</t>
  </si>
  <si>
    <t xml:space="preserve">    POk</t>
  </si>
  <si>
    <t>^WWS</t>
  </si>
  <si>
    <t xml:space="preserve">  б/р</t>
  </si>
  <si>
    <t>YNKS</t>
  </si>
  <si>
    <t>КП ДХ</t>
  </si>
  <si>
    <t xml:space="preserve">   ^ fOS</t>
  </si>
  <si>
    <r>
      <t xml:space="preserve">    </t>
    </r>
    <r>
      <rPr>
        <charset val="204"/>
        <family val="2"/>
        <sz val="14"/>
        <rFont val="Arial"/>
      </rPr>
      <t xml:space="preserve">  fOS</t>
    </r>
  </si>
  <si>
    <t xml:space="preserve">   СЦЕН</t>
  </si>
  <si>
    <t>Pd</t>
  </si>
  <si>
    <t>руб/руб</t>
  </si>
  <si>
    <t xml:space="preserve">          ПРОИЗВОДСТВЕННАЯ ФУНКЦИЯ</t>
  </si>
  <si>
    <t>YDS</t>
  </si>
  <si>
    <t xml:space="preserve">          ФУНКЦИЯ  (типа Кобба-Дугласа)</t>
  </si>
  <si>
    <t xml:space="preserve">КП </t>
  </si>
  <si>
    <r>
      <t xml:space="preserve">          </t>
    </r>
    <r>
      <rPr>
        <b/>
        <charset val="204"/>
        <color theme="1"/>
        <family val="2"/>
        <sz val="16"/>
        <rFont val="Arial"/>
      </rPr>
      <t>ЭКОНОМИКИ РОССИИ</t>
    </r>
  </si>
  <si>
    <t>КП отчётн ГКС</t>
  </si>
  <si>
    <r>
      <t xml:space="preserve">             </t>
    </r>
    <r>
      <rPr>
        <charset val="204"/>
        <color theme="1"/>
        <family val="2"/>
        <sz val="16"/>
        <rFont val="Arial"/>
      </rPr>
      <t>ВВП и ОСНОВНЫЕ ФОНДЫ</t>
    </r>
  </si>
  <si>
    <r>
      <t xml:space="preserve">                          </t>
    </r>
    <r>
      <rPr>
        <charset val="204"/>
        <color theme="1"/>
        <family val="2"/>
        <sz val="16"/>
        <rFont val="Arial"/>
      </rPr>
      <t xml:space="preserve">  в ценах 1995 год</t>
    </r>
    <r>
      <rPr>
        <charset val="204"/>
        <color theme="1"/>
        <family val="2"/>
        <sz val="14"/>
        <rFont val="Arial"/>
      </rPr>
      <t>а</t>
    </r>
  </si>
  <si>
    <t>экспорт</t>
  </si>
  <si>
    <t xml:space="preserve"> ^WWPS</t>
  </si>
  <si>
    <r>
      <t xml:space="preserve">   </t>
    </r>
    <r>
      <rPr>
        <charset val="204"/>
        <color theme="1"/>
        <family val="2"/>
        <sz val="14"/>
        <rFont val="Arial"/>
      </rPr>
      <t xml:space="preserve">  FS</t>
    </r>
  </si>
  <si>
    <r>
      <t xml:space="preserve">    </t>
    </r>
    <r>
      <rPr>
        <charset val="204"/>
        <color theme="1"/>
        <family val="2"/>
        <sz val="16"/>
        <rFont val="Arial"/>
      </rPr>
      <t xml:space="preserve">  L</t>
    </r>
  </si>
  <si>
    <t>^WWPS/L</t>
  </si>
  <si>
    <t xml:space="preserve">    FS/L</t>
  </si>
  <si>
    <t>МЛРД РУБ</t>
  </si>
  <si>
    <t xml:space="preserve"> МЛН ЧЕЛ</t>
  </si>
  <si>
    <t>Pe</t>
  </si>
  <si>
    <t>Стат расхождение</t>
  </si>
  <si>
    <t>^STR</t>
  </si>
  <si>
    <t>ИСП</t>
  </si>
  <si>
    <t>КОНТРОЛЬ</t>
  </si>
  <si>
    <t>ВВП</t>
  </si>
  <si>
    <t>РАЗНОСТЬ</t>
  </si>
  <si>
    <t>Баз темп ВВП</t>
  </si>
  <si>
    <t>^Pw</t>
  </si>
  <si>
    <t>ВВП в сц 1995</t>
  </si>
  <si>
    <t xml:space="preserve">КОНТP СУММА </t>
  </si>
  <si>
    <t xml:space="preserve"> Pw</t>
  </si>
  <si>
    <t>а</t>
  </si>
  <si>
    <t>прогн</t>
  </si>
  <si>
    <t>МОДИФИЦИРОВАННЫЙ ЭКСПОРТ</t>
  </si>
  <si>
    <t xml:space="preserve">      </t>
  </si>
  <si>
    <t>инвестиции в ОК</t>
  </si>
  <si>
    <t>EXM = WWP- STR + IM -YGM -YNK -YD - IN</t>
  </si>
  <si>
    <t>ОЦЕНКА ЭКСПОРТА МОД</t>
  </si>
  <si>
    <t>EXM</t>
  </si>
  <si>
    <t>EXMS = WWPS + IMS -YGMS -YNKS -YDS - INS</t>
  </si>
  <si>
    <t>EXMS</t>
  </si>
  <si>
    <t xml:space="preserve">Pemt = EXMSt / EXMo </t>
  </si>
  <si>
    <t>ОЦЕНКА БАЗ ТЕМПА</t>
  </si>
  <si>
    <t>Pem</t>
  </si>
  <si>
    <t>ОЦЕНКА БАЗ ДЕФЛЯТОРА</t>
  </si>
  <si>
    <t>Dem</t>
  </si>
  <si>
    <t>Валовая добавл ст.</t>
  </si>
  <si>
    <t>Темпы</t>
  </si>
  <si>
    <t>pWD</t>
  </si>
  <si>
    <t>Базисные темпы</t>
  </si>
  <si>
    <t>Pwd</t>
  </si>
  <si>
    <t>Базисный дефлятор</t>
  </si>
  <si>
    <t>Dwd</t>
  </si>
  <si>
    <t>WDCS = XOS - ZS</t>
  </si>
  <si>
    <t>ВДС  в ценах 1995</t>
  </si>
  <si>
    <t>WDCS</t>
  </si>
  <si>
    <t>x</t>
  </si>
  <si>
    <t>ОТЧЁТ</t>
  </si>
  <si>
    <t xml:space="preserve">   kRU</t>
  </si>
  <si>
    <t xml:space="preserve"> тренд2</t>
  </si>
  <si>
    <t>тренд3</t>
  </si>
  <si>
    <t>ZS = XOS - WDCS</t>
  </si>
  <si>
    <t>Пром потребление</t>
  </si>
  <si>
    <t xml:space="preserve">    d</t>
  </si>
  <si>
    <t xml:space="preserve"> прогноз</t>
  </si>
  <si>
    <t xml:space="preserve">      r</t>
  </si>
  <si>
    <t>прогноз</t>
  </si>
  <si>
    <t xml:space="preserve">  млрд руб</t>
  </si>
  <si>
    <r>
      <t xml:space="preserve">   </t>
    </r>
    <r>
      <rPr>
        <charset val="204"/>
        <color theme="1"/>
        <family val="2"/>
        <sz val="16"/>
        <rFont val="Arial"/>
      </rPr>
      <t xml:space="preserve">  б/р</t>
    </r>
  </si>
  <si>
    <t>Контроль</t>
  </si>
  <si>
    <t>Коэфф. пром.потребл.</t>
  </si>
  <si>
    <t>a = Z / X</t>
  </si>
  <si>
    <t>a</t>
  </si>
  <si>
    <t>Ra = a / aS</t>
  </si>
  <si>
    <t xml:space="preserve">   с.г.</t>
  </si>
  <si>
    <t>WKU</t>
  </si>
  <si>
    <t xml:space="preserve"> PPS</t>
  </si>
  <si>
    <t xml:space="preserve"> руб/$</t>
  </si>
  <si>
    <t>СЦЕНАРИЙ</t>
  </si>
  <si>
    <t xml:space="preserve">  ip</t>
  </si>
  <si>
    <t xml:space="preserve"> сцен</t>
  </si>
  <si>
    <r>
      <t xml:space="preserve">  </t>
    </r>
    <r>
      <rPr>
        <charset val="204"/>
        <family val="2"/>
        <sz val="14"/>
        <rFont val="Arial"/>
      </rPr>
      <t>IPC</t>
    </r>
  </si>
  <si>
    <t xml:space="preserve">  RDH</t>
  </si>
  <si>
    <t xml:space="preserve">  PDH</t>
  </si>
  <si>
    <t xml:space="preserve">     n1</t>
  </si>
  <si>
    <t xml:space="preserve">   n2</t>
  </si>
  <si>
    <t xml:space="preserve">                      И С Х О Д Н Ы Е     Д А Н Н Ы Е</t>
  </si>
  <si>
    <t xml:space="preserve">  БАЗА</t>
  </si>
  <si>
    <t xml:space="preserve">      О</t>
  </si>
  <si>
    <t>Т</t>
  </si>
  <si>
    <t>Ч</t>
  </si>
  <si>
    <t>Ё</t>
  </si>
  <si>
    <t>RS</t>
  </si>
  <si>
    <t>FOS</t>
  </si>
  <si>
    <t>даты форм.</t>
  </si>
  <si>
    <t xml:space="preserve">ч и с л о в ы е      р я д ы </t>
  </si>
  <si>
    <t>тср/чел</t>
  </si>
  <si>
    <t>прогноз РОССТАТА</t>
  </si>
  <si>
    <t>млн.чел</t>
  </si>
  <si>
    <t>числен населения России</t>
  </si>
  <si>
    <t>экспертный прогноз</t>
  </si>
  <si>
    <t>dA</t>
  </si>
  <si>
    <t>доля рабочей силы</t>
  </si>
  <si>
    <t>RC = dA*N</t>
  </si>
  <si>
    <t>RC</t>
  </si>
  <si>
    <t>рабочая сила = dA*N</t>
  </si>
  <si>
    <t>стат расхождение</t>
  </si>
  <si>
    <t xml:space="preserve">коэфф пром потребл в СЦ </t>
  </si>
  <si>
    <t>$ / барель</t>
  </si>
  <si>
    <t>Цена нефти марки BRENT</t>
  </si>
  <si>
    <t>руб / $</t>
  </si>
  <si>
    <t>Валютный курс рубля</t>
  </si>
  <si>
    <t>*</t>
  </si>
  <si>
    <t>qIM</t>
  </si>
  <si>
    <t>доля имп на вн рынке в СЦ</t>
  </si>
  <si>
    <t>баз индекс потреб цен (д/д)</t>
  </si>
  <si>
    <t>индекс потреб цен (д/д)</t>
  </si>
  <si>
    <t>доля мод экспорта в XOS</t>
  </si>
  <si>
    <t xml:space="preserve">Dd = 1,2605*IPC - 0,4807 </t>
  </si>
  <si>
    <t xml:space="preserve">базисный дефлятор КП ДХ </t>
  </si>
  <si>
    <t xml:space="preserve">Dg = 2,7818*IPC - 8,4488  </t>
  </si>
  <si>
    <t xml:space="preserve">базисный дефлятор КП ГОС </t>
  </si>
  <si>
    <t>Dnk = 1,0711*IPC + 4</t>
  </si>
  <si>
    <t>базисный дефлятор КП НКО</t>
  </si>
  <si>
    <t>базисный темп КП НКО</t>
  </si>
  <si>
    <t xml:space="preserve">Dd = 0,026*+0,627*IPC + 0,945 </t>
  </si>
  <si>
    <t>баз дефлятор мод экспорта</t>
  </si>
  <si>
    <t>Dn = 1,6567*IPC - 7,0242</t>
  </si>
  <si>
    <t xml:space="preserve">баз дефлятор инвестиций </t>
  </si>
  <si>
    <t>Df = 1,1042*IPC - 0,3884</t>
  </si>
  <si>
    <t>базисный дефлятор ОФ</t>
  </si>
  <si>
    <t>Dww = 0,1975*IPC +11,04</t>
  </si>
  <si>
    <t>баз дефлятор вводов ОФ</t>
  </si>
  <si>
    <t xml:space="preserve">Dm = 0,6044*FA-2,3458 </t>
  </si>
  <si>
    <t>базисный дефлятор импорта</t>
  </si>
  <si>
    <t>FA = 0,25*WK+0,75*IPC</t>
  </si>
  <si>
    <t>фактор дефлятора импорта</t>
  </si>
  <si>
    <t xml:space="preserve">коэфф чист налогов на прод </t>
  </si>
  <si>
    <t>коэфф чист нал на произв и</t>
  </si>
  <si>
    <t>базисный темп затрат НКО</t>
  </si>
  <si>
    <t>базисный темп мод экспорта</t>
  </si>
  <si>
    <t>FSt = 9,2931*t*t - 73,126*t + 5393,1</t>
  </si>
  <si>
    <t>^FSt</t>
  </si>
  <si>
    <t>динамика ОФ в СЦ</t>
  </si>
  <si>
    <t>^fOS</t>
  </si>
  <si>
    <t>максимальная фондоотдача по выпуску</t>
  </si>
  <si>
    <t xml:space="preserve">З   А  В   И   С   И   М   О   С   Т   И </t>
  </si>
  <si>
    <t>DBJ = 0,5355*WWP - 18298</t>
  </si>
  <si>
    <t>регрессия доходов Конс Бюдж от ВВП</t>
  </si>
  <si>
    <t>YD = 0,8584*DH - 814,01</t>
  </si>
  <si>
    <t>регрессия КП ДХ от доходов населения</t>
  </si>
  <si>
    <t>YD = 0,5229*WWP - 378,17</t>
  </si>
  <si>
    <t>регрессия КП ДХ от ВВП</t>
  </si>
  <si>
    <t>YG = 0,1814*WWP - 46,215</t>
  </si>
  <si>
    <t>регрессия  расх на КП ГОС от WWP</t>
  </si>
  <si>
    <t>IN = 0,1331*WWP + 3765,2</t>
  </si>
  <si>
    <t>27,04,2020</t>
  </si>
  <si>
    <t>регрессия инвестиций от ВВП</t>
  </si>
  <si>
    <t>DH = 0,1909*WWP + 37701</t>
  </si>
  <si>
    <t>DH</t>
  </si>
  <si>
    <t>регрессия  денежн дох населения от WWP</t>
  </si>
  <si>
    <t>БЛОК 1 - ОСНОВНЫ ФОНДЫ // ВВОДЫ // ИНВЕСТИЦИИ</t>
  </si>
  <si>
    <t>ОТ = 0,3889*WWP + 7900,7</t>
  </si>
  <si>
    <t>регрессия оплаты труда от WWP</t>
  </si>
  <si>
    <t>Kвыб = 0,5373*Кобн + 0,0135</t>
  </si>
  <si>
    <t>FSt / FSt-1 = 1 + (WWSt / FSt)*(FSt / FSt-1) - WBSt / FSt-1</t>
  </si>
  <si>
    <t>LZ =0,0071*WWPS + 52,535</t>
  </si>
  <si>
    <t>трудовая характеристика экономики</t>
  </si>
  <si>
    <t>Kвыб = WBSt / FSt-1</t>
  </si>
  <si>
    <t>pFt = 1 + Kобнt *pFt - Kвыбt</t>
  </si>
  <si>
    <t>M2 = 0,4832*WWP - 7280,3</t>
  </si>
  <si>
    <t>регрессия денежной массы М2 от WWP</t>
  </si>
  <si>
    <t>Кобн  = WWSt / FSt</t>
  </si>
  <si>
    <t>IN = 0,1458*WWP + 2379,9</t>
  </si>
  <si>
    <t>FSt = FSt-1 +WWSt - WBt</t>
  </si>
  <si>
    <t>FSt</t>
  </si>
  <si>
    <t>динамика ОФ в сопоставимых ценах</t>
  </si>
  <si>
    <t>WWt =0,9558*(0,7*INt+0,2*INt-1 + 0,1*INt-2) -1632,2</t>
  </si>
  <si>
    <t>FSt = FSt-1 + WWSt - WBSt</t>
  </si>
  <si>
    <t>WBSt = 0,5435*WWSt +70,941</t>
  </si>
  <si>
    <t>регрессия выбытия от вводов ОФ в СЦ</t>
  </si>
  <si>
    <t>WBS = 0,5435*WWS + 70,941</t>
  </si>
  <si>
    <t>зависимость от ОФ</t>
  </si>
  <si>
    <t>WWS = 2,191*(FSt - FSt-1 +70,942)</t>
  </si>
  <si>
    <t>FSt = FSt-1 + WWSt - 0,5435*WWS - 70,941</t>
  </si>
  <si>
    <t>WWt = WWSt*Dwwt</t>
  </si>
  <si>
    <t>оценка вводов ОФ</t>
  </si>
  <si>
    <t>WWSt*(1 - 0,5435) = FSt - FSt-1 + 70,941</t>
  </si>
  <si>
    <t>0,7*INt + 0,2*INt-1 + 0,1*INt-2 = (WWt + 1632,2) / 0,9558</t>
  </si>
  <si>
    <t xml:space="preserve">WWSt = (FSt - FSt-1 + 70,942) / (1 - 0,5435) </t>
  </si>
  <si>
    <t>0,7*INt = (WWt + 1632,2) / 0,9559 - 0,2*INt-1 - 0,1*INt-2</t>
  </si>
  <si>
    <t>регрессия вводов ОФ от инвестиций в ОК</t>
  </si>
  <si>
    <t>WWt = 0,9558*( 0,7*INt + 0,2*INt-1 + 0,1*INt-2 ) - 1632,2</t>
  </si>
  <si>
    <t>WWSt = (FSt - FSt-1 + 70,942) / 0,457</t>
  </si>
  <si>
    <t>INt = [(WWt + 1632,2) / 0,9559 - 0,2*INt-1 - 0,1*INt-2] / 0,7</t>
  </si>
  <si>
    <t>INS = IN / Dn</t>
  </si>
  <si>
    <t>оценка инвестиций в СЦ</t>
  </si>
  <si>
    <t>Dz = 0,888*Dw - 3,038</t>
  </si>
  <si>
    <t>базисный дефлятор пром потребления</t>
  </si>
  <si>
    <r>
      <t>FSt = 9,2931t</t>
    </r>
    <r>
      <rPr>
        <b/>
        <charset val="204"/>
        <color theme="1"/>
        <family val="2"/>
        <vertAlign val="superscript"/>
        <sz val="14"/>
        <rFont val="Arial"/>
      </rPr>
      <t>2</t>
    </r>
    <r>
      <rPr>
        <b/>
        <charset val="204"/>
        <color theme="1"/>
        <family val="2"/>
        <sz val="14"/>
        <rFont val="Arial"/>
      </rPr>
      <t xml:space="preserve"> - 73,126t + 5393,1</t>
    </r>
  </si>
  <si>
    <t>PDH = - 0,2007*WWP + 30064</t>
  </si>
  <si>
    <t>PDH</t>
  </si>
  <si>
    <t>прочие доходы населения</t>
  </si>
  <si>
    <t xml:space="preserve">WWSt = 2,191*(FSt - FSt-1 + 70,942) </t>
  </si>
  <si>
    <t xml:space="preserve">баз дефлятор модифиц экспорта </t>
  </si>
  <si>
    <r>
      <t>Dеm = 0,0265*IPC</t>
    </r>
    <r>
      <rPr>
        <charset val="204"/>
        <color theme="1"/>
        <family val="2"/>
        <vertAlign val="superscript"/>
        <scheme val="minor"/>
        <sz val="16"/>
        <rFont val="Calibri"/>
      </rPr>
      <t>2</t>
    </r>
    <r>
      <rPr>
        <charset val="204"/>
        <color theme="1"/>
        <family val="2"/>
        <scheme val="minor"/>
        <sz val="11"/>
        <rFont val="Calibri"/>
      </rPr>
      <t xml:space="preserve"> + </t>
    </r>
    <r>
      <rPr>
        <charset val="204"/>
        <color theme="1"/>
        <family val="2"/>
        <sz val="14"/>
        <rFont val="Arial"/>
      </rPr>
      <t>0,6278*IPC + 0,9441</t>
    </r>
  </si>
  <si>
    <t>Dww = 0,1975*IPC + 11,04</t>
  </si>
  <si>
    <t>WW = WWS*Dww</t>
  </si>
  <si>
    <t>БЛОК 2 - ВВП // КП ДХ // КП ГОС // КП НКО // Экспорт // Импорт</t>
  </si>
  <si>
    <t xml:space="preserve">YDS = YD / Dd </t>
  </si>
  <si>
    <t>YGS = YG / Dg</t>
  </si>
  <si>
    <t>pYNKt = 0,0061*t - 11,355</t>
  </si>
  <si>
    <t>Pnkt = Pnkt-1 * pYNKt</t>
  </si>
  <si>
    <t xml:space="preserve">YNKSt = YNKo * Pnkt </t>
  </si>
  <si>
    <t xml:space="preserve">      РАСЧЁТНЫЙ  АЛГОРИТМ  МОДЕЛИ  Р1-4 -0.(2020 -1)</t>
  </si>
  <si>
    <t>YNKt = Dnkt*YNKSt</t>
  </si>
  <si>
    <t xml:space="preserve">Зарядка счетчика времени </t>
  </si>
  <si>
    <t>t = 1   ( 1996 г.)</t>
  </si>
  <si>
    <t>Demt = 0,0265t2 + 0,6278t + 0,9441</t>
  </si>
  <si>
    <t>Формирование начальных приближений</t>
  </si>
  <si>
    <t>Pem = экспертный прогноз</t>
  </si>
  <si>
    <t>EXM = EXMo*Dem*Pem</t>
  </si>
  <si>
    <t>qIM = экспертный прогноз</t>
  </si>
  <si>
    <t>IMS = qIM*XOS</t>
  </si>
  <si>
    <t>IM = Dm*IMS</t>
  </si>
  <si>
    <t xml:space="preserve">WWP = IN + YD + YG + YNK + EX - IM + STR </t>
  </si>
  <si>
    <t xml:space="preserve">WWPS = INS + YDS + YGS + YNKS + EXS - IMS </t>
  </si>
  <si>
    <t>Решение системы нелинейных уравнений</t>
  </si>
  <si>
    <t xml:space="preserve">Отчёт / </t>
  </si>
  <si>
    <t>INS = Dn/INS</t>
  </si>
  <si>
    <t>INS = 0,156*XOS - 299,7</t>
  </si>
  <si>
    <t>Dw = WWP /  WWPS</t>
  </si>
  <si>
    <t>Решение системы  уравнений</t>
  </si>
  <si>
    <t>Отчёт /</t>
  </si>
  <si>
    <t xml:space="preserve">  IN = 0,1331*WWP + 3765,2</t>
  </si>
  <si>
    <t xml:space="preserve">БЛОК 3 - ВВП // выпуск // промежуточное потребление // </t>
  </si>
  <si>
    <t>базисный дефлятор инвестиций</t>
  </si>
  <si>
    <t>инвестициив ОК в СЦ</t>
  </si>
  <si>
    <t>aS = экспертный прогноз</t>
  </si>
  <si>
    <t>XO + IM + CN1 = Z + Y + IN + EX + STR</t>
  </si>
  <si>
    <t>базисный дефлятор ДХ</t>
  </si>
  <si>
    <t>XS = WWPS / (1 - aS)</t>
  </si>
  <si>
    <t>XO + CN1 = Z + Y + IN + EX - IM + STR</t>
  </si>
  <si>
    <t>конечное потребление ДХ</t>
  </si>
  <si>
    <t>Px = XS / Xo</t>
  </si>
  <si>
    <t>XO + CN1 = Z + WWP</t>
  </si>
  <si>
    <t>конечное потребление ДХ в СЦ 1995 г.</t>
  </si>
  <si>
    <t>YDS = YD / Dd</t>
  </si>
  <si>
    <t>POx = Px</t>
  </si>
  <si>
    <t>CN1 = n1*XO</t>
  </si>
  <si>
    <t>XOS = PO*XOo</t>
  </si>
  <si>
    <t>CN2 = n2*(XO+IM)</t>
  </si>
  <si>
    <t>конечное потребление ГОС</t>
  </si>
  <si>
    <t>0,1814*WWP - 46,215</t>
  </si>
  <si>
    <t>Yg = 0,1814*WWP - 46,215</t>
  </si>
  <si>
    <t>ZS = aS*XS</t>
  </si>
  <si>
    <t>X = XO+CN1 = XO*(1+n1)</t>
  </si>
  <si>
    <t xml:space="preserve">конечное потребление ГОС в СЦ </t>
  </si>
  <si>
    <t xml:space="preserve">Dz = 0,888*Dw -3,038 </t>
  </si>
  <si>
    <t>базисный темп конечного потребления НКО</t>
  </si>
  <si>
    <t>годовой темп НКО</t>
  </si>
  <si>
    <t>X = WWP + Z</t>
  </si>
  <si>
    <t>a = aS*Dz / Dx</t>
  </si>
  <si>
    <t>n1 = экспертный прогноз</t>
  </si>
  <si>
    <t>Dz = 0,894*Dx +0,0401</t>
  </si>
  <si>
    <t>конечное потребление НКО в СЦ</t>
  </si>
  <si>
    <t xml:space="preserve">Отчёт /  </t>
  </si>
  <si>
    <t xml:space="preserve">YNKS = YNKo*Pnk  </t>
  </si>
  <si>
    <t>YNKS = YNKo*Pnk</t>
  </si>
  <si>
    <t>XO = X / (1+n1)</t>
  </si>
  <si>
    <t>X = WWP*(1-a)</t>
  </si>
  <si>
    <t xml:space="preserve">конечное потребление НКО </t>
  </si>
  <si>
    <t>Отчёт /  YNK = YNKS* Dnk</t>
  </si>
  <si>
    <t>YNK = Dnk*YNKS</t>
  </si>
  <si>
    <t>WWP = X-Z</t>
  </si>
  <si>
    <t>экспорт модифицированный в СЦ</t>
  </si>
  <si>
    <t>Отчёт /  EXMS = qEXM*XOS</t>
  </si>
  <si>
    <t>EXM =EXMo*Dem*Ptm</t>
  </si>
  <si>
    <t>DOx = XO / XOS</t>
  </si>
  <si>
    <t xml:space="preserve">экспорт модифицированный </t>
  </si>
  <si>
    <t>Отчёт /  EXM = Dem*EXMS</t>
  </si>
  <si>
    <t>WWPS = XS*(1 - aS)</t>
  </si>
  <si>
    <t>импорт в СЦ</t>
  </si>
  <si>
    <t>Отчёт /  IMS = qIM*XOS</t>
  </si>
  <si>
    <t xml:space="preserve">РOх = 1,0318*Рw -0,0328 </t>
  </si>
  <si>
    <t>Отчёт /  FA= 0,25*WK + 0,75*IPC</t>
  </si>
  <si>
    <t>FA = 0,25*WK + 0,75*IPC</t>
  </si>
  <si>
    <t>Отчёт /  YDSt = YDt / Ddt</t>
  </si>
  <si>
    <t xml:space="preserve">БЛОК 4 -  // выпуск // промежуточное потребление // </t>
  </si>
  <si>
    <t xml:space="preserve">Отчёт /  IM = Dm*IMS </t>
  </si>
  <si>
    <t xml:space="preserve">БЛОК 4 - ДОХОДы //бюджет //население //оплата труда// </t>
  </si>
  <si>
    <t>валовый внутренний продукт</t>
  </si>
  <si>
    <t>WWP = IN+YD+YG+YNK+EX-IM + STR</t>
  </si>
  <si>
    <t>WWP = IN+YD+YG+YNK+EX-IM+STR</t>
  </si>
  <si>
    <t xml:space="preserve">WWPS = INS+YDS+YGS+YNKS+EXS-IMS </t>
  </si>
  <si>
    <t>YD = 0,9446*DH - 4657</t>
  </si>
  <si>
    <t>базисный темп ВВП</t>
  </si>
  <si>
    <t>Отчёт /  WWPS / WWPo</t>
  </si>
  <si>
    <t>Pw =WWPS / WWPo</t>
  </si>
  <si>
    <t>M2 = 0,4832*WWP - 7,2803</t>
  </si>
  <si>
    <t>Xf = 0,25*WK + 0,75*M2</t>
  </si>
  <si>
    <t>базисный дефлятор ВВП</t>
  </si>
  <si>
    <t>Отчёт /  WWP / WWPS</t>
  </si>
  <si>
    <t>DBJ = -6E-06*EXM2 + 1,22*EXM - 888,87</t>
  </si>
  <si>
    <t>выпуск в СЦ</t>
  </si>
  <si>
    <t>Отчёт /  XS = WWS / (1-aS)</t>
  </si>
  <si>
    <t>BZ = A - LZ</t>
  </si>
  <si>
    <t>А = численность эк активного населения</t>
  </si>
  <si>
    <t>базисный темп выпуска</t>
  </si>
  <si>
    <t>Отчёт /  Px = XS / Xo</t>
  </si>
  <si>
    <t>выпуск в основных СЦ</t>
  </si>
  <si>
    <t>Отчёт /  XOS = Px*XOo</t>
  </si>
  <si>
    <t>IPC = экспертный прогноз</t>
  </si>
  <si>
    <t>промежуточное потребление в СЦ</t>
  </si>
  <si>
    <t>Отчёт / ZS = aS*XS</t>
  </si>
  <si>
    <t>RDH = DH / IPC</t>
  </si>
  <si>
    <t>базисный дефлятор промежуточного потребления</t>
  </si>
  <si>
    <t>Отчёт /  Dz = 0,888*Dw - 3,038</t>
  </si>
  <si>
    <t>PDH = -0,2007*WWP + 30064</t>
  </si>
  <si>
    <t>промежуточное поребление</t>
  </si>
  <si>
    <t>Отчёт /  Z = Dz*ZS</t>
  </si>
  <si>
    <t>OT = 0,3889*WWP + 7900,7</t>
  </si>
  <si>
    <t>выпуск в рыночных ценах</t>
  </si>
  <si>
    <t>Отчёт /  X = WWP + Z</t>
  </si>
  <si>
    <t>DH = OT + PDH</t>
  </si>
  <si>
    <t>выпуск в основных ценах</t>
  </si>
  <si>
    <t>Отчёт /  XO =X / (1+n1)</t>
  </si>
  <si>
    <t>n2 = экспертный прогноз</t>
  </si>
  <si>
    <t>базисный дефлятор выпуска</t>
  </si>
  <si>
    <t>Отчёт /  Dx = X / XS</t>
  </si>
  <si>
    <t>базисный дефлятор выпуска в основных ценах</t>
  </si>
  <si>
    <t>Отчёт /  DOx = XO / XOS</t>
  </si>
  <si>
    <t>WPR = WWP - OT - CN2 = XO - Z - OT - CN2 +CN1</t>
  </si>
  <si>
    <t>коэффициент промежуточного потребления</t>
  </si>
  <si>
    <t>Отчёт /  a = aS*Dz / Dx</t>
  </si>
  <si>
    <t>доходы консолидированного бюджета</t>
  </si>
  <si>
    <t>денежная масса М2</t>
  </si>
  <si>
    <t>M2</t>
  </si>
  <si>
    <t>численность занятых</t>
  </si>
  <si>
    <t>безработные</t>
  </si>
  <si>
    <t>Отчёт /  BZ = RS - LZ</t>
  </si>
  <si>
    <t>денежные доходы населения</t>
  </si>
  <si>
    <t>реальные доходы населения</t>
  </si>
  <si>
    <t>RDH</t>
  </si>
  <si>
    <t>оплата труда занятых</t>
  </si>
  <si>
    <t>денежные доходы населения (контроль)</t>
  </si>
  <si>
    <t>чистые налоги на производство и импорт</t>
  </si>
  <si>
    <t>CN2 = n2*(XO + IM)</t>
  </si>
  <si>
    <t>валовая прибыль экономики</t>
  </si>
  <si>
    <t>WPR = WWP - OT - CN2</t>
  </si>
  <si>
    <t>валовая добавленная стоимость экономики</t>
  </si>
  <si>
    <t>базисный дефлятор вводов ОФ</t>
  </si>
  <si>
    <t xml:space="preserve">Отчёт / Dww = 0,1975*IPC+11,04 </t>
  </si>
  <si>
    <t>фактор вводов</t>
  </si>
  <si>
    <t>FA = 0,7*INt + 0,2*INt-1 + 0,1*INt-2</t>
  </si>
  <si>
    <t>вводы ОФ в текущих ценах</t>
  </si>
  <si>
    <t>WWt = 0,9558*FA - 1632,2</t>
  </si>
  <si>
    <t>вводы ОФ в СЦ 1995 г.</t>
  </si>
  <si>
    <t>WWS = WW / Dww</t>
  </si>
  <si>
    <t>выбытие ОФ в СЦ 1995 г.</t>
  </si>
  <si>
    <t>WBS = 0,545*WWS+ 75,668</t>
  </si>
  <si>
    <t>FSt = FSt-1 + WWSt - WBt</t>
  </si>
  <si>
    <t>регрессия базисного дефлятора ОФ</t>
  </si>
  <si>
    <t>динамика ОФ в текущих рыночных ценах</t>
  </si>
  <si>
    <t>POS = XOS / LZ</t>
  </si>
  <si>
    <t>FOS = FS / XOS</t>
  </si>
  <si>
    <t>КОНТРОЛЬ наличия производственных мощностей</t>
  </si>
  <si>
    <t>располагаемые  произв. мощности</t>
  </si>
  <si>
    <t>RXOS</t>
  </si>
  <si>
    <t>RXOSt = ^fOSt * FSt</t>
  </si>
  <si>
    <t>Выпуск в ОЦ</t>
  </si>
  <si>
    <t>Точность счёта по ВВП</t>
  </si>
  <si>
    <t>Расчёт производных показателей</t>
  </si>
  <si>
    <t>Баз. дефлятор произв ВВП</t>
  </si>
  <si>
    <t>баз.темп произв. ВВП</t>
  </si>
  <si>
    <t>Pw = ^WWPS / WWPo</t>
  </si>
  <si>
    <t>баз.темп исп. ВВП</t>
  </si>
  <si>
    <t>баз.дефлятор выпуска в ЦП</t>
  </si>
  <si>
    <t>баз.темп выпуска в ЦП</t>
  </si>
  <si>
    <t>баз.дефлятор выпуска в ОЦ</t>
  </si>
  <si>
    <t>баз.темп выпуска в ОЦ</t>
  </si>
  <si>
    <t>PОx</t>
  </si>
  <si>
    <t>баз. темп промежуточного потребления</t>
  </si>
  <si>
    <t>Pz = ZS / Zo</t>
  </si>
  <si>
    <t>баз. темп модиф экспорта</t>
  </si>
  <si>
    <t>Pеm</t>
  </si>
  <si>
    <t>Pem = EXMS / EXMo</t>
  </si>
  <si>
    <t>баз. темп импорта в ЦП</t>
  </si>
  <si>
    <t>Pm = IMS / IMo</t>
  </si>
  <si>
    <t>баз. темп инвестиций в ОК</t>
  </si>
  <si>
    <t>Pn = INS / INo</t>
  </si>
  <si>
    <t>баз. темп КП НКО в ЦП</t>
  </si>
  <si>
    <t>Pnk = YNKS / YNKo</t>
  </si>
  <si>
    <t>баз. темп КП ГОС в ЦП</t>
  </si>
  <si>
    <t>Pg = YGS / YGo</t>
  </si>
  <si>
    <t>баз. темп КП ДХ в ЦП</t>
  </si>
  <si>
    <t>Pd = YDS / YDo</t>
  </si>
  <si>
    <t>баз. темп вводов ОФ</t>
  </si>
  <si>
    <t>Pww</t>
  </si>
  <si>
    <t>Pww = WWS / WWo</t>
  </si>
  <si>
    <t>баз. темп ОФ</t>
  </si>
  <si>
    <t>Pf = FS / Fo</t>
  </si>
  <si>
    <t>регрессия ВНОК в СЦ</t>
  </si>
  <si>
    <t>WNOS =1,0315*INS + 11,554</t>
  </si>
  <si>
    <t>валовое накопление в СЦ</t>
  </si>
  <si>
    <t>WNS = WNOS + eS*XOS</t>
  </si>
  <si>
    <t>регрессия дефлятора валового накопления</t>
  </si>
  <si>
    <t>Dk = 2,1159*Dn - 17,631</t>
  </si>
  <si>
    <t xml:space="preserve">валовое накопление </t>
  </si>
  <si>
    <t>WN = WNOS*Dk</t>
  </si>
  <si>
    <t>чистые налоги на производство</t>
  </si>
  <si>
    <t>Отчёт / CN1 = n1*XO</t>
  </si>
  <si>
    <t>Отчёт / CN2 = n2*(XO+IM)</t>
  </si>
  <si>
    <t>валовая добавленная стоимость в СЦ  ( вариант 1 )</t>
  </si>
  <si>
    <t xml:space="preserve"> WDCS = XOS - ZS </t>
  </si>
  <si>
    <t>баз. темп валовой добавленной стоимости</t>
  </si>
  <si>
    <t>Pwdt = WDCSt / WDCo</t>
  </si>
  <si>
    <t>валовая добавленная стоимость</t>
  </si>
  <si>
    <t>баз. темп экспорта в ЦП</t>
  </si>
  <si>
    <t xml:space="preserve">Pe = EXS / EXo       </t>
  </si>
  <si>
    <t>баз. темп вал.накопл. в ЦП</t>
  </si>
  <si>
    <t>Pk = WNS / WNo</t>
  </si>
  <si>
    <t>баз. темп вал.накопл. OK</t>
  </si>
  <si>
    <t>POk = WNOS / WNOo</t>
  </si>
  <si>
    <t>численность занятых (всего)</t>
  </si>
  <si>
    <t>Отчёт / LZ = 3,6132*XOS + 52,885</t>
  </si>
  <si>
    <t>фондоотдача по выпуску в ОЦ</t>
  </si>
  <si>
    <t>производительность труда по выпуску в ОЦ</t>
  </si>
  <si>
    <t>производительность труда по ВВП</t>
  </si>
  <si>
    <t>PWS</t>
  </si>
  <si>
    <t>PWS = WWPS / LZ</t>
  </si>
  <si>
    <t>регрессия оплаты труда от выпуска в ОЦ</t>
  </si>
  <si>
    <t>Отчёт / OT = 0,2718*XO - 0,103</t>
  </si>
  <si>
    <t>регрессия прочих дох населения от выпуска в ОЦ</t>
  </si>
  <si>
    <t>PDN</t>
  </si>
  <si>
    <t>Отчёт / OT = 0,0902*XO + 344</t>
  </si>
  <si>
    <t>валовая прибыль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</si>
  <si>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WPR = ^WWP-OT-CN2 = XO-Z+CN1-OT-CN2</t>
    </r>
  </si>
  <si>
    <t>регрессия баз дефл офиц экспорта от факторов</t>
  </si>
  <si>
    <t>регрессия баз темпа офиц экспорта от выпуска в ОЦ</t>
  </si>
  <si>
    <t>официальный экспорт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</si>
  <si>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EX = Pe*De*EXo</t>
    </r>
  </si>
  <si>
    <t>произведенный ВВП</t>
  </si>
  <si>
    <t>^WWP = XO - Z + CN1</t>
  </si>
  <si>
    <t>модифицированный использованный ВВП</t>
  </si>
  <si>
    <t>WWP = IN + YD + YG + YNK + EXM - IM + STR</t>
  </si>
  <si>
    <t>ОТКЛОНЕНИЕ от произведенного ВВП</t>
  </si>
  <si>
    <t>DEL 1</t>
  </si>
  <si>
    <t>DEL 1 = WWP - ^WWP</t>
  </si>
  <si>
    <t>официальный использованный ВВП</t>
  </si>
  <si>
    <t>ofWWP</t>
  </si>
  <si>
    <t>ofWWP = WN + YD + YG + YNK + EX - IM + STR</t>
  </si>
  <si>
    <t>DEL 2</t>
  </si>
  <si>
    <t>DEL 2 = ofWWP - ^WWP</t>
  </si>
  <si>
    <t>Вычисление цепных темпов</t>
  </si>
  <si>
    <t>годовой.темп произв. ВВП</t>
  </si>
  <si>
    <t>pW</t>
  </si>
  <si>
    <t>pWt = Pwt / Pwt-1</t>
  </si>
  <si>
    <t>годовой темп выпуска в ЦП</t>
  </si>
  <si>
    <t>pXt = Pxt / Pxt-1</t>
  </si>
  <si>
    <t>годовой.темп выпуска в ОЦ</t>
  </si>
  <si>
    <t>pOX</t>
  </si>
  <si>
    <t>pXOt = POxt / POxt-1</t>
  </si>
  <si>
    <t>годовой темп промежуточного потребления</t>
  </si>
  <si>
    <t>pZt = Pzt / Pzt-1</t>
  </si>
  <si>
    <t>годовой темп вал.накопл. в ЦП</t>
  </si>
  <si>
    <t>pWNt = Pkt / Pkt-1</t>
  </si>
  <si>
    <t>годовой темп вал.накопл. OK</t>
  </si>
  <si>
    <t>pWNO</t>
  </si>
  <si>
    <t>pWNOt = POkt / POkt-1</t>
  </si>
  <si>
    <t>годовой темп КП ДХ в ЦП</t>
  </si>
  <si>
    <t>pYDt = Pdt / Pdt-1</t>
  </si>
  <si>
    <t>годовой темп КП ГОС в ЦП</t>
  </si>
  <si>
    <t>pYGM</t>
  </si>
  <si>
    <t>pYGMt = Pgmt / Pgmt-1</t>
  </si>
  <si>
    <t>годовой темп КП НКО в ЦП</t>
  </si>
  <si>
    <t>pNK</t>
  </si>
  <si>
    <t>pYNKt = Pnkt / Pnkt-1</t>
  </si>
  <si>
    <t>годовой темп экспорта в ЦП</t>
  </si>
  <si>
    <t>pEXt = Pet / Pet-1</t>
  </si>
  <si>
    <t>годовой темп импорта в ЦП</t>
  </si>
  <si>
    <t>pIMt = Pmt / Pmt-1</t>
  </si>
  <si>
    <t>годовой темп инвестиций в ОК</t>
  </si>
  <si>
    <t>pINt = Pnt / Pnt-1</t>
  </si>
  <si>
    <t>Вычисление цепных дефляторов</t>
  </si>
  <si>
    <t>годовой.дефл. произв. ВВП</t>
  </si>
  <si>
    <t>dW</t>
  </si>
  <si>
    <t>dWt = Dwt /Dwt-1</t>
  </si>
  <si>
    <t>годовой.дефл. исп. ВВП</t>
  </si>
  <si>
    <t>годовой.дефл. выпуска в ЦП</t>
  </si>
  <si>
    <t>dX</t>
  </si>
  <si>
    <t>dXt = Dxt / Dxt-1</t>
  </si>
  <si>
    <t>годовой.дефл. выпуска в ОЦ</t>
  </si>
  <si>
    <t>dXO</t>
  </si>
  <si>
    <t>dXOt = DOxt / DOxt-1</t>
  </si>
  <si>
    <t>годовой  дефл. промежуточного потребления</t>
  </si>
  <si>
    <t>dZ</t>
  </si>
  <si>
    <t>dZt = Dzt / Dzt-1</t>
  </si>
  <si>
    <t>годовой  дефл. вал.накопл. в ЦП</t>
  </si>
  <si>
    <t>dWN</t>
  </si>
  <si>
    <t>dWNt = Dkt / Dkt-1</t>
  </si>
  <si>
    <t>годовой  дефл вал.накопл. OK</t>
  </si>
  <si>
    <t>dWNO</t>
  </si>
  <si>
    <t>dWNOt = Dwnot / Dwnot-1</t>
  </si>
  <si>
    <t>годовой  дефл КП ДХ в ЦП</t>
  </si>
  <si>
    <t>dYD</t>
  </si>
  <si>
    <t>dYDt = Ddt / Ddt-1</t>
  </si>
  <si>
    <t xml:space="preserve"> годовой дефл КП ГОС в ЦП</t>
  </si>
  <si>
    <t>dYGM</t>
  </si>
  <si>
    <t>dYGMt = Dgmt / Dgmt-1</t>
  </si>
  <si>
    <t xml:space="preserve"> годовой дефл КП НКО в ЦП</t>
  </si>
  <si>
    <t>dNK</t>
  </si>
  <si>
    <t>dYNKt = Pnkt / Dnkt-1</t>
  </si>
  <si>
    <t>годовой  дефл экспорта в ЦП</t>
  </si>
  <si>
    <t>dEX</t>
  </si>
  <si>
    <t>dEXt = Det / Det-1</t>
  </si>
  <si>
    <t xml:space="preserve"> годовой дефл импорта в ЦП</t>
  </si>
  <si>
    <t>dIM</t>
  </si>
  <si>
    <t>dIMt = Dmt / Dmt-1</t>
  </si>
  <si>
    <t>годовой  дефл инвестиций в ОК</t>
  </si>
  <si>
    <t>dIN</t>
  </si>
  <si>
    <t>dINt = Dnt / Dnt-1</t>
  </si>
  <si>
    <t>годовой  дефл валовой добавленной стоимости</t>
  </si>
  <si>
    <t>dWD</t>
  </si>
  <si>
    <t>dWDt = Dwdt / Dwdt-1</t>
  </si>
  <si>
    <t>Занятые, безработные и зарегистрированные</t>
  </si>
  <si>
    <t>LP</t>
  </si>
  <si>
    <t>LPt</t>
  </si>
  <si>
    <t>Экономически активное население</t>
  </si>
  <si>
    <t>At = dA*N</t>
  </si>
  <si>
    <t>LZWt = LPt</t>
  </si>
  <si>
    <t>BZt  = dAt*Nt - LZW</t>
  </si>
  <si>
    <t>RBZ</t>
  </si>
  <si>
    <t>RBZt = qRBZt * BZt</t>
  </si>
  <si>
    <t>КОНТРОЛЬ ПЕРИОДА ПРОГНОЗА</t>
  </si>
  <si>
    <t>Счетчик</t>
  </si>
  <si>
    <t>t=t+1</t>
  </si>
  <si>
    <t>Если t &gt; 16  ,              то переход в п.136,  иначе - п.1</t>
  </si>
  <si>
    <t>Трафарет "ВАРИАНТ ГОТОВ ! "</t>
  </si>
  <si>
    <t>СТОП</t>
  </si>
  <si>
    <t>Xt = Xt-1 + Rt - Ut + SMt</t>
  </si>
  <si>
    <t>ПРОСТЕЙШИЕ УРАВНЕНИЯ ДЕМОГРАФИЧЕСКОГО БАЛАНСА РОССИИ</t>
  </si>
  <si>
    <t>на к.г.</t>
  </si>
  <si>
    <t>Тысяч человек</t>
  </si>
  <si>
    <t>3 / с.80</t>
  </si>
  <si>
    <t>расчет</t>
  </si>
  <si>
    <t>рабочая гип</t>
  </si>
  <si>
    <t>4 / с.51</t>
  </si>
  <si>
    <t>1 / с.81</t>
  </si>
  <si>
    <t>3 / с.28</t>
  </si>
  <si>
    <r>
      <t xml:space="preserve">    </t>
    </r>
    <r>
      <rPr>
        <charset val="204"/>
        <family val="2"/>
        <sz val="14"/>
        <rFont val="Arial"/>
      </rPr>
      <t>r</t>
    </r>
  </si>
  <si>
    <r>
      <t xml:space="preserve">    </t>
    </r>
    <r>
      <rPr>
        <charset val="204"/>
        <family val="2"/>
        <sz val="14"/>
        <rFont val="Arial"/>
      </rPr>
      <t>u</t>
    </r>
  </si>
  <si>
    <r>
      <t xml:space="preserve">    </t>
    </r>
    <r>
      <rPr>
        <charset val="204"/>
        <family val="2"/>
        <sz val="14"/>
        <rFont val="Arial"/>
      </rPr>
      <t>sm</t>
    </r>
  </si>
  <si>
    <t xml:space="preserve">   LZW</t>
  </si>
  <si>
    <t xml:space="preserve">    BZ</t>
  </si>
  <si>
    <t xml:space="preserve">      ^N</t>
  </si>
  <si>
    <t xml:space="preserve">    ^А</t>
  </si>
  <si>
    <t xml:space="preserve">    dA</t>
  </si>
  <si>
    <t xml:space="preserve"> dA*100</t>
  </si>
  <si>
    <t>сценарий</t>
  </si>
  <si>
    <t xml:space="preserve">общий прирост
</t>
  </si>
  <si>
    <t xml:space="preserve">естест- венный прирост
</t>
  </si>
  <si>
    <t xml:space="preserve">миграцион-ный прирост
</t>
  </si>
  <si>
    <t xml:space="preserve">естест-венный прирост
</t>
  </si>
  <si>
    <r>
      <t>ЧИСЛЕННОСТЬ МУЖЧИН И ЖЕНЩИН</t>
    </r>
    <r>
      <rPr>
        <charset val="204"/>
        <family val="2"/>
        <vertAlign val="superscript"/>
        <sz val="11"/>
        <rFont val="Arial"/>
      </rPr>
      <t>1)</t>
    </r>
  </si>
  <si>
    <t>Экономически активное население — всего</t>
  </si>
  <si>
    <t xml:space="preserve">     ^N</t>
  </si>
  <si>
    <t xml:space="preserve">       Nпр</t>
  </si>
  <si>
    <t xml:space="preserve">       N2</t>
  </si>
  <si>
    <t xml:space="preserve">       Х</t>
  </si>
  <si>
    <t xml:space="preserve">      c</t>
  </si>
  <si>
    <t xml:space="preserve">     d</t>
  </si>
  <si>
    <t xml:space="preserve">     IM</t>
  </si>
  <si>
    <t xml:space="preserve">     EM</t>
  </si>
  <si>
    <t xml:space="preserve">     SM</t>
  </si>
  <si>
    <t xml:space="preserve">     sm</t>
  </si>
  <si>
    <t xml:space="preserve">      R</t>
  </si>
  <si>
    <t xml:space="preserve">     r</t>
  </si>
  <si>
    <t xml:space="preserve">       U</t>
  </si>
  <si>
    <t xml:space="preserve">     u</t>
  </si>
  <si>
    <t xml:space="preserve">      х1</t>
  </si>
  <si>
    <t xml:space="preserve">     A</t>
  </si>
  <si>
    <t xml:space="preserve">    N</t>
  </si>
  <si>
    <t xml:space="preserve">     dA</t>
  </si>
  <si>
    <t>в том числе:</t>
  </si>
  <si>
    <t>ИСТОЧНИКИ ИНФОРМАЦИИ</t>
  </si>
  <si>
    <t>Годы</t>
  </si>
  <si>
    <t>Все население,</t>
  </si>
  <si>
    <t>в том числе</t>
  </si>
  <si>
    <t>В общей численности населения, процентов</t>
  </si>
  <si>
    <t>занятые в экономике</t>
  </si>
  <si>
    <t xml:space="preserve">Российский статистический ежегодник </t>
  </si>
  <si>
    <t>млн.</t>
  </si>
  <si>
    <t>Стат.сб./ Госкосстат России. - М.,2006 -806с.</t>
  </si>
  <si>
    <t>человек</t>
  </si>
  <si>
    <t>мужчины</t>
  </si>
  <si>
    <t>женщины</t>
  </si>
  <si>
    <t>Мужчины</t>
  </si>
  <si>
    <t>Россия в цифрах. 2006:</t>
  </si>
  <si>
    <t>Крат.стат.сб./ Росстат - М.,2006. - 462 с.</t>
  </si>
  <si>
    <t>Россия в цифрах. 2007:</t>
  </si>
  <si>
    <t>Крат.стат.сб./ Росстат - М.,2007. - 494 с.</t>
  </si>
  <si>
    <t>Женщины</t>
  </si>
  <si>
    <t xml:space="preserve">Вопросы статистики N4, 2007,  </t>
  </si>
  <si>
    <t>Шайкин Д.Н.</t>
  </si>
  <si>
    <t xml:space="preserve">Перспективная оценка численности населения </t>
  </si>
  <si>
    <t>России в среднесрочном периоде  с.47-52</t>
  </si>
  <si>
    <t>В процентах к итогу</t>
  </si>
  <si>
    <t xml:space="preserve">Россия в цифрах 2010 : </t>
  </si>
  <si>
    <t xml:space="preserve">Экономически </t>
  </si>
  <si>
    <t>Крат.стат.сб./ Росстат - М.,2010. - 558 с.</t>
  </si>
  <si>
    <t>активное население — всего</t>
  </si>
  <si>
    <t>Наблюдаемые величины</t>
  </si>
  <si>
    <t>Nt =Nt-1 + Rt - Ut + SMt + dt</t>
  </si>
  <si>
    <t>Модель 1</t>
  </si>
  <si>
    <r>
      <t>^Nt = ^Nt-</t>
    </r>
    <r>
      <rPr>
        <charset val="204"/>
        <family val="2"/>
        <sz val="10"/>
        <rFont val="Arial"/>
      </rPr>
      <t>1</t>
    </r>
    <r>
      <rPr>
        <family val="2"/>
        <sz val="14"/>
        <rFont val="Arial"/>
      </rPr>
      <t>*( 1+ rt -ut + smt  + с)</t>
    </r>
  </si>
  <si>
    <r>
      <t>rt = Rt / ^Nt-</t>
    </r>
    <r>
      <rPr>
        <charset val="204"/>
        <family val="2"/>
        <sz val="11"/>
        <rFont val="Arial"/>
      </rPr>
      <t>1</t>
    </r>
  </si>
  <si>
    <r>
      <t>ut = Ut / ^Nt-</t>
    </r>
    <r>
      <rPr>
        <charset val="204"/>
        <family val="2"/>
        <sz val="10"/>
        <rFont val="Arial"/>
      </rPr>
      <t>1</t>
    </r>
  </si>
  <si>
    <r>
      <t>smt =SMt / ^Nt-</t>
    </r>
    <r>
      <rPr>
        <charset val="204"/>
        <family val="2"/>
        <sz val="10"/>
        <rFont val="Arial"/>
      </rPr>
      <t>1</t>
    </r>
  </si>
  <si>
    <t>Оt = Xt - ^Xt</t>
  </si>
  <si>
    <t xml:space="preserve">        Nt -</t>
  </si>
  <si>
    <t>численность населения России</t>
  </si>
  <si>
    <t xml:space="preserve">        Rt -</t>
  </si>
  <si>
    <t>количество родившихся</t>
  </si>
  <si>
    <t>1) Данные приведены: 1926 г. - по переписи на 17 декабря, 1939 и 1979 гг. - по переписи на 17 января, 1959 и 1970 гг. - по переписи на 15 января, 1989 г. - по пеpеписи на 12 января, 2002 г. - по переписи на 9 октября, 2010 г. - по переписи на 14 октября, за остальные годы - оценка на 1 января соответствующего года.  1926, 1939 гг. - наличное население, за последующие годы - постоянное население. Данные на 1 января 2004-2010 гг. пересчитаны с учетом итогов Всероссийской переписи населения 2010 года.</t>
  </si>
  <si>
    <t xml:space="preserve">         rt -</t>
  </si>
  <si>
    <t>коэффициент рождаемости населения</t>
  </si>
  <si>
    <t xml:space="preserve">       Ut -</t>
  </si>
  <si>
    <t>количество умерших</t>
  </si>
  <si>
    <t xml:space="preserve">        ut -</t>
  </si>
  <si>
    <t>коэффициент смертности населения</t>
  </si>
  <si>
    <t xml:space="preserve">     SMt -</t>
  </si>
  <si>
    <t>сальдо миграции</t>
  </si>
  <si>
    <t>коэфф. сальдо миграции</t>
  </si>
  <si>
    <t xml:space="preserve">        Xt -</t>
  </si>
  <si>
    <t>прочие факторы</t>
  </si>
  <si>
    <t xml:space="preserve">         с -</t>
  </si>
  <si>
    <t>параметр идентификации модели</t>
  </si>
  <si>
    <t>УДК 31:331(470) ББК 65.051.5(2Рос) Р13</t>
  </si>
  <si>
    <t>Рабочая сила, занятость и безработица в России (по результатам выборочных обследований рабочей силы). 2018: Стат.сб./Росстат.  M., 2018.  142 c. ISBN 978-5-89476-451-1</t>
  </si>
  <si>
    <t xml:space="preserve">    ^N</t>
  </si>
  <si>
    <r>
      <t xml:space="preserve"> </t>
    </r>
    <r>
      <rPr>
        <charset val="204"/>
        <family val="2"/>
        <sz val="14"/>
        <rFont val="Arial"/>
      </rPr>
      <t xml:space="preserve"> прогн</t>
    </r>
  </si>
  <si>
    <t xml:space="preserve">    RC</t>
  </si>
  <si>
    <t xml:space="preserve">    LZ</t>
  </si>
  <si>
    <t xml:space="preserve">   BZ</t>
  </si>
  <si>
    <t xml:space="preserve">   ^N</t>
  </si>
  <si>
    <t xml:space="preserve">   RC</t>
  </si>
  <si>
    <t>С Ц Е Н А Р И Й     И С Х О Д Н Ы Х     Д А Н Н Ы Х</t>
  </si>
  <si>
    <t>О</t>
  </si>
  <si>
    <t>П</t>
  </si>
  <si>
    <t>Р</t>
  </si>
  <si>
    <t>Г</t>
  </si>
  <si>
    <t>Н</t>
  </si>
  <si>
    <t>З</t>
  </si>
  <si>
    <t xml:space="preserve">С     Л     О     В     А     Р     Ь </t>
  </si>
  <si>
    <t>доля экономически активного населения</t>
  </si>
  <si>
    <t>общая численность безработных</t>
  </si>
  <si>
    <t>лимит использования  трудовой миграции</t>
  </si>
  <si>
    <t>Fо</t>
  </si>
  <si>
    <t>основные фонды (ОФ) в начале года</t>
  </si>
  <si>
    <t xml:space="preserve">коэффициент промежуточного потребления </t>
  </si>
  <si>
    <t xml:space="preserve">коэффициент промежуточного потребления в СЦ </t>
  </si>
  <si>
    <t>окраска КПП (прогноз)</t>
  </si>
  <si>
    <t>окраска КПП (расчёт)</t>
  </si>
  <si>
    <t>тыс.руб/чел</t>
  </si>
  <si>
    <t>производительность труда в СОЦ 1995г.</t>
  </si>
  <si>
    <t>фондоотдача в СОЦ 1995г.</t>
  </si>
  <si>
    <t>базсный индекс потребительских цен (д/д)</t>
  </si>
  <si>
    <t>индекс потребительских цен (д/д)</t>
  </si>
  <si>
    <t>удельная оплата труда всех работников за год</t>
  </si>
  <si>
    <t xml:space="preserve">коэффициент реальной удельной оплаты труда </t>
  </si>
  <si>
    <t>базисный дефлятор валового накопления</t>
  </si>
  <si>
    <t>базисный дефлятор НКО</t>
  </si>
  <si>
    <t>базисный дефлятор экспорта</t>
  </si>
  <si>
    <t xml:space="preserve">базисный дефлятор инвестиций </t>
  </si>
  <si>
    <t>коэффициент импорта в СОЦ 1995</t>
  </si>
  <si>
    <t xml:space="preserve">коэффициент валового накопления </t>
  </si>
  <si>
    <t xml:space="preserve">коэффициент чистых налогов на продукты </t>
  </si>
  <si>
    <t>коэффициент чистых налогов на производство и импорт</t>
  </si>
  <si>
    <t>qRBZ</t>
  </si>
  <si>
    <t>коэффициент регистрации  безработных</t>
  </si>
  <si>
    <t>расходы консолидированного бюджета</t>
  </si>
  <si>
    <t>валовая прибыль экономики и смешанные доходы</t>
  </si>
  <si>
    <t>отечественный выпуск</t>
  </si>
  <si>
    <t>чистые налоги на продукты</t>
  </si>
  <si>
    <t>Xo</t>
  </si>
  <si>
    <t>выпуск в ценах покупателей</t>
  </si>
  <si>
    <t>vS</t>
  </si>
  <si>
    <t>коэффициент перевода инв. во вводы ОФ в СЦП 1995г.</t>
  </si>
  <si>
    <t>коэффициент выбытия ОФ в СЦП 1995г.</t>
  </si>
  <si>
    <t>коэффициент ассигнований ГОС на КП</t>
  </si>
  <si>
    <t>коэффициент ассигнований ГОС на инвестиции в ОК</t>
  </si>
  <si>
    <t>доля прочих поступлений в доходы ДХ</t>
  </si>
  <si>
    <t xml:space="preserve">доля ассигнований ДХ на КП  </t>
  </si>
  <si>
    <t>доля ассигнований ДХ на инвестиции в ОК</t>
  </si>
  <si>
    <t>коэффициент ассигнований КОРП на инвестиции в ОК</t>
  </si>
  <si>
    <t>доля ассигнований ОМ в суммарных инвестициях в ОК</t>
  </si>
  <si>
    <t>g</t>
  </si>
  <si>
    <t xml:space="preserve">пропорция затрат на КП НКО </t>
  </si>
  <si>
    <t>c</t>
  </si>
  <si>
    <t>доля расходов консолидированного бюджета в ВВП</t>
  </si>
  <si>
    <t>доля доходов консолидированного бюджета в ВВП</t>
  </si>
  <si>
    <t>коэффициент прироста МОС</t>
  </si>
  <si>
    <t>базисный темп экспорта</t>
  </si>
  <si>
    <t>ЕXo</t>
  </si>
  <si>
    <t>валовой внутренний продукт</t>
  </si>
  <si>
    <t>статистическое расхождение</t>
  </si>
  <si>
    <t>de</t>
  </si>
  <si>
    <t xml:space="preserve">коэффициент девиации баз. темпов ВВП </t>
  </si>
  <si>
    <t xml:space="preserve">    С Ц Е Н А Р И Й     И С Х О Д Н Ы Х     Д А Н Н Ы Х</t>
  </si>
  <si>
    <t>тс руб/чел</t>
  </si>
  <si>
    <t>удельная оплата труда</t>
  </si>
  <si>
    <t xml:space="preserve">пропорция затрат конс бюджета на КП НКО </t>
  </si>
  <si>
    <t>коэффициент изменения запасов МОС</t>
  </si>
  <si>
    <t>dev</t>
  </si>
  <si>
    <t xml:space="preserve">РАЗНОСТЬ   СЦЕНАРИЕВ    </t>
  </si>
  <si>
    <t xml:space="preserve">    WW</t>
  </si>
  <si>
    <t xml:space="preserve">    v</t>
  </si>
  <si>
    <t xml:space="preserve">      v</t>
  </si>
  <si>
    <t xml:space="preserve">      v1</t>
  </si>
  <si>
    <t xml:space="preserve"> YGM</t>
  </si>
  <si>
    <t xml:space="preserve"> qYGM</t>
  </si>
  <si>
    <t xml:space="preserve">    ip</t>
  </si>
  <si>
    <t xml:space="preserve">   CNF</t>
  </si>
  <si>
    <t xml:space="preserve">  WKU</t>
  </si>
  <si>
    <t xml:space="preserve">    De</t>
  </si>
  <si>
    <t xml:space="preserve">    Dm</t>
  </si>
  <si>
    <t xml:space="preserve">    Pm</t>
  </si>
  <si>
    <t xml:space="preserve">  руб / $</t>
  </si>
  <si>
    <t>kurs-dollar-euro.ru›Среднегодовые курсы валют</t>
  </si>
  <si>
    <t xml:space="preserve">    CNF</t>
  </si>
  <si>
    <t xml:space="preserve">    WKU</t>
  </si>
  <si>
    <t>Среднегодовой курс доллара на 2007 год:</t>
  </si>
  <si>
    <t>Среднегодовой курс доллара на 2008 год:</t>
  </si>
  <si>
    <t>1982 год — 33,4[1]</t>
  </si>
  <si>
    <t>Среднегодовой курс доллара на 2009 год:</t>
  </si>
  <si>
    <t>1983 год — 29,8[2]</t>
  </si>
  <si>
    <t>Среднегодовой курс доллара на 2010 год:</t>
  </si>
  <si>
    <t>1984 год — 28,7[3]</t>
  </si>
  <si>
    <t>Среднегодовой курс доллара на 2011 год:</t>
  </si>
  <si>
    <t>1985 год — 27,6[4]</t>
  </si>
  <si>
    <t>Среднегодовой курс доллара на 2012 год:</t>
  </si>
  <si>
    <t>1986 год — 14,4[5]</t>
  </si>
  <si>
    <t>Среднегодовой курс доллара на 2013 год:</t>
  </si>
  <si>
    <t>1987 год — 18,4[6]</t>
  </si>
  <si>
    <t>Среднегодовой курс доллара на 2014 год:</t>
  </si>
  <si>
    <t>1988 год — 15,0[7]</t>
  </si>
  <si>
    <t>Среднегодовой курс доллара на 2015 год:</t>
  </si>
  <si>
    <t>1989 год — 18,2[8]</t>
  </si>
  <si>
    <t>Среднегодовой курс доллара на 2016 год:</t>
  </si>
  <si>
    <t>1990 год — 23,7[9]</t>
  </si>
  <si>
    <t>Среднегодовой курс доллара на 2017 год:</t>
  </si>
  <si>
    <t>1991 год — 20,0[10]</t>
  </si>
  <si>
    <t>Дата</t>
  </si>
  <si>
    <t>Долларов за баррель</t>
  </si>
  <si>
    <t>1992 год — 19,4[11]</t>
  </si>
  <si>
    <t>66.870000</t>
  </si>
  <si>
    <t>1993 год — 17,0[12]</t>
  </si>
  <si>
    <r>
      <t>newsruss.ru</t>
    </r>
    <r>
      <rPr>
        <charset val="204"/>
        <color rgb="FF007700"/>
        <family val="2"/>
        <sz val="14"/>
        <rFont val="Verdana"/>
      </rPr>
      <t>›</t>
    </r>
    <r>
      <rPr>
        <charset val="204"/>
        <color rgb="FF007700"/>
        <family val="2"/>
        <sz val="14"/>
        <rFont val="Arial"/>
      </rPr>
      <t>doc/index.php/Нефть_в_2000-х_годах</t>
    </r>
  </si>
  <si>
    <t>62.610000</t>
  </si>
  <si>
    <t>1994 год — 15,8[13]</t>
  </si>
  <si>
    <t>C.Г. Цены на нефть марки БРЕНТ</t>
  </si>
  <si>
    <t>61.370000</t>
  </si>
  <si>
    <t>1995 год — 17,1[14]</t>
  </si>
  <si>
    <t>56.790000</t>
  </si>
  <si>
    <t>1996 год — 20,5[15]</t>
  </si>
  <si>
    <t>52.380000</t>
  </si>
  <si>
    <t>1997 год — 19,1[16]</t>
  </si>
  <si>
    <t>52.650000</t>
  </si>
  <si>
    <t>1998 год — 12,7[17]</t>
  </si>
  <si>
    <t>47.910000</t>
  </si>
  <si>
    <t>1999 год — 17,7[18]</t>
  </si>
  <si>
    <t>50.290000</t>
  </si>
  <si>
    <t>2000 год — 28,3[19]</t>
  </si>
  <si>
    <t>51.710000</t>
  </si>
  <si>
    <t>2001 год — 24,4[20]</t>
  </si>
  <si>
    <t>52.740000</t>
  </si>
  <si>
    <t>2002 год — 25,0[21]</t>
  </si>
  <si>
    <t>55.560000</t>
  </si>
  <si>
    <t>2003 год — 28,9[22]</t>
  </si>
  <si>
    <t>55.680000</t>
  </si>
  <si>
    <t>2004 год — 38,3[23]</t>
  </si>
  <si>
    <t>СУММА</t>
  </si>
  <si>
    <t>2005 год — 54,4[24]</t>
  </si>
  <si>
    <t>2006 год — 65,4[25]</t>
  </si>
  <si>
    <t>Среднее</t>
  </si>
  <si>
    <t>2007 год — 72,7[26]</t>
  </si>
  <si>
    <t xml:space="preserve">     x</t>
  </si>
  <si>
    <t xml:space="preserve">     x1</t>
  </si>
  <si>
    <t xml:space="preserve">    x</t>
  </si>
  <si>
    <t xml:space="preserve">    x1</t>
  </si>
  <si>
    <t xml:space="preserve">  YG</t>
  </si>
  <si>
    <t>2008 год — 97,7[27]</t>
  </si>
  <si>
    <t>2009 год — 61,9[28]</t>
  </si>
  <si>
    <t>2010 год — 79,6[29]</t>
  </si>
  <si>
    <t>2011 год — 111,0[30]</t>
  </si>
  <si>
    <t>2012 год — 121,4[31]</t>
  </si>
  <si>
    <t>2013 год — 108,8[32]</t>
  </si>
  <si>
    <t>2014 год — 98,9[33]</t>
  </si>
  <si>
    <t>2015 год — 52,4[34]</t>
  </si>
  <si>
    <t>2016 год — 44,0[35]</t>
  </si>
  <si>
    <t xml:space="preserve">  F1</t>
  </si>
  <si>
    <t xml:space="preserve">   F2</t>
  </si>
  <si>
    <t xml:space="preserve"> WKU</t>
  </si>
  <si>
    <t xml:space="preserve">  Dm</t>
  </si>
  <si>
    <t xml:space="preserve">верс+CC56:CW66ия </t>
  </si>
  <si>
    <t xml:space="preserve">   ^pW</t>
  </si>
  <si>
    <t xml:space="preserve">   pW</t>
  </si>
  <si>
    <t xml:space="preserve">  ^Pw</t>
  </si>
  <si>
    <t xml:space="preserve">   pIN</t>
  </si>
  <si>
    <t xml:space="preserve">    Dx</t>
  </si>
  <si>
    <t xml:space="preserve">  F(*)</t>
  </si>
  <si>
    <t xml:space="preserve">  Df</t>
  </si>
  <si>
    <t>БАЗА ДАННЫХ ( корпораций, предприятий, отраслей )</t>
  </si>
  <si>
    <t>выпуски</t>
  </si>
  <si>
    <t>цены</t>
  </si>
  <si>
    <t>рентабельность</t>
  </si>
  <si>
    <t xml:space="preserve">составляющие затрат </t>
  </si>
  <si>
    <t xml:space="preserve"> Ввод в действие основных фондов в Российской Федерации</t>
  </si>
  <si>
    <t>на конец отчетного года по полной учетной стоимости</t>
  </si>
  <si>
    <t>инвестиции</t>
  </si>
  <si>
    <t>налоги</t>
  </si>
  <si>
    <t>базисн темп вводов</t>
  </si>
  <si>
    <t>Млн. руб.</t>
  </si>
  <si>
    <t xml:space="preserve">в % к предыдущему году </t>
  </si>
  <si>
    <t xml:space="preserve">в % к 1990г. </t>
  </si>
  <si>
    <t>амортизация</t>
  </si>
  <si>
    <t>(до 1998г. - млрд. руб.)</t>
  </si>
  <si>
    <t xml:space="preserve"> (в сопоставимых ценах)</t>
  </si>
  <si>
    <t>(в сопоставимых ценах)</t>
  </si>
  <si>
    <r>
      <t xml:space="preserve">млрд руб </t>
    </r>
    <r>
      <rPr>
        <charset val="204"/>
        <family val="2"/>
        <sz val="14"/>
        <rFont val="Arial"/>
      </rPr>
      <t>WW</t>
    </r>
  </si>
  <si>
    <t>(до 1998 г. - млрд. руб.)</t>
  </si>
  <si>
    <t>млрд руб     F</t>
  </si>
  <si>
    <t>МОДЕЛИ взаимосвязи отраслей, рынков, цен</t>
  </si>
  <si>
    <t>на федеральном уровне</t>
  </si>
  <si>
    <t>на региональном уровне</t>
  </si>
  <si>
    <t>на отраслевом уровне</t>
  </si>
  <si>
    <t>на уровне локальных рынков</t>
  </si>
  <si>
    <t xml:space="preserve">СЦЕНАРИИ мероприятий по ограничению цен </t>
  </si>
  <si>
    <t xml:space="preserve">и регулированию рентабельности корпораций, </t>
  </si>
  <si>
    <t>предприятий, отраслей</t>
  </si>
  <si>
    <t xml:space="preserve">ОЦЕНКИ мероприятий по ограничению цен </t>
  </si>
  <si>
    <t xml:space="preserve">РЕШЕНИЯ О ПРОВЕДЕНИИ мероприятий по ограниче- </t>
  </si>
  <si>
    <t xml:space="preserve">нию цен и регулированию рентабельности корпораций, </t>
  </si>
  <si>
    <t xml:space="preserve">МОНИТОРИНГ ЭФФЕКТИВНОСТИ мероприятий по </t>
  </si>
  <si>
    <t xml:space="preserve">ограничению цен и регулированию рентабельности </t>
  </si>
  <si>
    <t>корпораций, предприятий, отраслей</t>
  </si>
  <si>
    <t>24.2. ИНВЕСТИЦИИ В ОСНОВНОЙ КАПИТАЛ</t>
  </si>
  <si>
    <t>инфляция</t>
  </si>
  <si>
    <t>выпуск от</t>
  </si>
  <si>
    <t>ИСТОЧНИКИ</t>
  </si>
  <si>
    <t>1. Российский статистический ежегодник . 2003: Стат.сб./Госкомстат России.- М.,2003. - 705 с.</t>
  </si>
  <si>
    <t xml:space="preserve">    IPC</t>
  </si>
  <si>
    <t xml:space="preserve">    Dw</t>
  </si>
  <si>
    <t xml:space="preserve">    Dng</t>
  </si>
  <si>
    <t>2. Российский статистический ежегодник . 2009: Стат.сб./Госкомстат России.- М.,2009. - 795 с.</t>
  </si>
  <si>
    <t xml:space="preserve">Инвестиции в основ-ной капитал (в факти-чески действовавших ценах), млрд. руб. </t>
  </si>
  <si>
    <t>3. Статистическое обозрение N 1(88) Ежеквартальный журнал ФСГС.  2014.</t>
  </si>
  <si>
    <t>(до 2000 г. - трлн. руб.)</t>
  </si>
  <si>
    <t>4. .Федеральный закон РФ от 1 декабря 2014 г. N 384-ФЗ     ( принят ГД РФ 21 ноября 2014 г.)</t>
  </si>
  <si>
    <t xml:space="preserve">Индексы физического </t>
  </si>
  <si>
    <t>Данные Росстата    / Прогноз  ИПУ РАН</t>
  </si>
  <si>
    <t>/ Минфин РФ</t>
  </si>
  <si>
    <t xml:space="preserve">объема инвестиций </t>
  </si>
  <si>
    <t xml:space="preserve">   DFB</t>
  </si>
  <si>
    <t xml:space="preserve">в основной капитал </t>
  </si>
  <si>
    <t>(в сопоставимых це-нах):</t>
  </si>
  <si>
    <t>в процентах к пре-дыдущему году</t>
  </si>
  <si>
    <t>в процентах к 1995 г.</t>
  </si>
  <si>
    <t>Федеральный закон Российской Федерации от 1 декабря 2014 г. N 384-ФЗ</t>
  </si>
  <si>
    <t xml:space="preserve">О федеральном бюджете на 2015 год и на плановый период 2016 и 2017 годов </t>
  </si>
  <si>
    <t xml:space="preserve">24.4. СТРУКТУРА ИНВЕСТИЦИЙ В ОСНОВНОЙ КАПИТАЛ </t>
  </si>
  <si>
    <t>ПО ИСТОЧНИКАМ ФИНАНСИРОВАНИЯ1)</t>
  </si>
  <si>
    <t>(в процентах к итогу)</t>
  </si>
  <si>
    <t>Инвестиции в основной капитал - всего</t>
  </si>
  <si>
    <t>в том числе по источ-никам финансирования:</t>
  </si>
  <si>
    <t xml:space="preserve">собственные средства </t>
  </si>
  <si>
    <t>привлеченные средства</t>
  </si>
  <si>
    <t>их них:</t>
  </si>
  <si>
    <t>кредиты банков</t>
  </si>
  <si>
    <t>в том числе кредиты иностранных банков</t>
  </si>
  <si>
    <t xml:space="preserve">заемные средства </t>
  </si>
  <si>
    <t>других организаций</t>
  </si>
  <si>
    <t xml:space="preserve">бюджетные средства </t>
  </si>
  <si>
    <t>из федерального     бюджета</t>
  </si>
  <si>
    <t xml:space="preserve">из бюджетов субъек-тов Российской </t>
  </si>
  <si>
    <t xml:space="preserve">Федерации </t>
  </si>
  <si>
    <t>из средств местных   бюджетов</t>
  </si>
  <si>
    <t>…</t>
  </si>
  <si>
    <t>средства внебюджет-ных фондов</t>
  </si>
  <si>
    <t xml:space="preserve">средства организаций </t>
  </si>
  <si>
    <t>и населения на долевое строительство</t>
  </si>
  <si>
    <t>-</t>
  </si>
  <si>
    <t xml:space="preserve">из них средства </t>
  </si>
  <si>
    <t>населения</t>
  </si>
  <si>
    <t>прочие</t>
  </si>
  <si>
    <t xml:space="preserve">1) С 2000 г. - без субъектов малого предпринимательства и объема инвестиций, не </t>
  </si>
  <si>
    <t>наблюдаемых прямыми статистическими методами.</t>
  </si>
  <si>
    <t>Д О Х О Д Ы     Н А С Е Л Е Н И Я</t>
  </si>
  <si>
    <t xml:space="preserve">       Ф  А  К  Т  О  Р  Ы</t>
  </si>
  <si>
    <t>Оплата труда ( включая скрытую заработную плату)</t>
  </si>
  <si>
    <t xml:space="preserve">  OT = UO*(LW+ TM)</t>
  </si>
  <si>
    <t xml:space="preserve">  ^h31</t>
  </si>
  <si>
    <t xml:space="preserve">   h31</t>
  </si>
  <si>
    <t xml:space="preserve">  ^h32</t>
  </si>
  <si>
    <t xml:space="preserve">   h32</t>
  </si>
  <si>
    <t xml:space="preserve">    h31</t>
  </si>
  <si>
    <r>
      <t xml:space="preserve">     ^</t>
    </r>
    <r>
      <rPr>
        <charset val="204"/>
        <family val="2"/>
        <sz val="14"/>
        <rFont val="Calibri"/>
      </rPr>
      <t>µ</t>
    </r>
  </si>
  <si>
    <r>
      <t xml:space="preserve">     </t>
    </r>
    <r>
      <rPr>
        <charset val="204"/>
        <family val="2"/>
        <sz val="14"/>
        <rFont val="Calibri"/>
      </rPr>
      <t>µ</t>
    </r>
  </si>
  <si>
    <t xml:space="preserve">  ^h33</t>
  </si>
  <si>
    <t xml:space="preserve">   h33</t>
  </si>
  <si>
    <r>
      <t xml:space="preserve">    </t>
    </r>
    <r>
      <rPr>
        <charset val="204"/>
        <family val="2"/>
        <sz val="16"/>
        <rFont val="Calibri"/>
      </rPr>
      <t>µ</t>
    </r>
  </si>
  <si>
    <t xml:space="preserve">    ^DH</t>
  </si>
  <si>
    <t xml:space="preserve">    ^OT</t>
  </si>
  <si>
    <t xml:space="preserve">   ^Kpd</t>
  </si>
  <si>
    <t xml:space="preserve">   Kpd</t>
  </si>
  <si>
    <t>Номинальные и реальные доходы</t>
  </si>
  <si>
    <t>Доходы от предпринимательской деятельности</t>
  </si>
  <si>
    <t>DP</t>
  </si>
  <si>
    <t>Валовая прибыль и ВСД</t>
  </si>
  <si>
    <t xml:space="preserve">  DP = h31*WPR = h31*WWP*(1-qOT-CN2)</t>
  </si>
  <si>
    <t>Социальные выплаты</t>
  </si>
  <si>
    <t>SW</t>
  </si>
  <si>
    <t>Расходы консолидированного бюджета</t>
  </si>
  <si>
    <t xml:space="preserve">  SW = h32*RBJ = h32*r*WWP</t>
  </si>
  <si>
    <t>Под доходами населения понимается сумма денежных средств и материальных благ, полученных или произведенных домашними хозяйствами за определенный промежуток времени. Роль доходов определяется тем, что уровень потребления населения прямо зависит от уровня доходов.</t>
  </si>
  <si>
    <t>Доходы от собственности</t>
  </si>
  <si>
    <t>DS</t>
  </si>
  <si>
    <t>Стоимость основных фондов</t>
  </si>
  <si>
    <t xml:space="preserve">   DS =  h33*F</t>
  </si>
  <si>
    <t>Другие доходы</t>
  </si>
  <si>
    <t>DD</t>
  </si>
  <si>
    <t>Экспертная оценка доли от ДН</t>
  </si>
  <si>
    <r>
      <t xml:space="preserve">   DH = (OT + DP + SW + DS) / ( 1-</t>
    </r>
    <r>
      <rPr>
        <charset val="204"/>
        <color indexed="8"/>
        <family val="2"/>
        <sz val="11"/>
        <rFont val="Calibri"/>
      </rPr>
      <t>µ )</t>
    </r>
  </si>
  <si>
    <t>Для оценки уровня и динамики доходов населения используются показатели номинального, располагаемого и реального дохода.</t>
  </si>
  <si>
    <t xml:space="preserve">Источники </t>
  </si>
  <si>
    <r>
      <t xml:space="preserve">                 DH = WWP*(qOT + h31*(1-qOT-CN2) + h32 + h33*(F/WWP)) / (1-</t>
    </r>
    <r>
      <rPr>
        <charset val="204"/>
        <color indexed="8"/>
        <family val="2"/>
        <sz val="11"/>
        <rFont val="Calibri"/>
      </rPr>
      <t>µ)</t>
    </r>
  </si>
  <si>
    <t>Российский статистический ежегодник. 2009: Стат.сб./ Росстат.-М., 2009. - 795 с.</t>
  </si>
  <si>
    <t>Номинальный доход (NT) – количество денег, полученное отдельными лицами в течение определенного периода, также он характеризует уровень денежных доходов независимо от налогообложения.</t>
  </si>
  <si>
    <t>Россия в цифрах. 2010: Крат.стат.сб./Росстат-М., 2010. - 558 с.</t>
  </si>
  <si>
    <t>Сайт GKS.RU</t>
  </si>
  <si>
    <t>Располагаемый доход (DI) – доход, который может быть использован на личное потребление и личные сбережения. Располагаемый доход меньше номинального дохода на сумму налогов и обязательных платежей, т. е. это средства, используемые на потребление и сбережение. Для измерения динамики располагаемых доходов применяется показатель «реальные располагаемые доходы», рассчитываемый с учетом индекса цен.</t>
  </si>
  <si>
    <t>2/117</t>
  </si>
  <si>
    <t>Реальный доход (RI) представляет собой количество товаров и услуг, которое можно купить на располагаемый доход в течение определенного периода, т. е. с поправкой на изменение уровня цен.</t>
  </si>
  <si>
    <t xml:space="preserve">   ^DP</t>
  </si>
  <si>
    <t xml:space="preserve">   ^SW</t>
  </si>
  <si>
    <t xml:space="preserve">   ^DS</t>
  </si>
  <si>
    <t xml:space="preserve">   ^DD</t>
  </si>
  <si>
    <t xml:space="preserve">    kRU</t>
  </si>
  <si>
    <t xml:space="preserve">   POS</t>
  </si>
  <si>
    <t xml:space="preserve">   WPR</t>
  </si>
  <si>
    <t xml:space="preserve">   RBJ</t>
  </si>
  <si>
    <t xml:space="preserve">     F</t>
  </si>
  <si>
    <r>
      <t xml:space="preserve">    </t>
    </r>
    <r>
      <rPr>
        <charset val="204"/>
        <family val="2"/>
        <sz val="10"/>
        <rFont val="Arial"/>
      </rPr>
      <t>h31</t>
    </r>
    <r>
      <rPr>
        <charset val="204"/>
        <family val="2"/>
        <sz val="14"/>
        <rFont val="Arial"/>
      </rPr>
      <t xml:space="preserve"> </t>
    </r>
  </si>
  <si>
    <r>
      <t xml:space="preserve">    </t>
    </r>
    <r>
      <rPr>
        <charset val="204"/>
        <family val="2"/>
        <sz val="10"/>
        <rFont val="Arial"/>
      </rPr>
      <t>h32</t>
    </r>
    <r>
      <rPr>
        <charset val="204"/>
        <family val="2"/>
        <sz val="14"/>
        <rFont val="Arial"/>
      </rPr>
      <t/>
    </r>
  </si>
  <si>
    <r>
      <t xml:space="preserve">    </t>
    </r>
    <r>
      <rPr>
        <charset val="204"/>
        <family val="2"/>
        <sz val="10"/>
        <rFont val="Arial"/>
      </rPr>
      <t>h33</t>
    </r>
    <r>
      <rPr>
        <charset val="204"/>
        <family val="2"/>
        <sz val="14"/>
        <rFont val="Arial"/>
      </rPr>
      <t/>
    </r>
  </si>
  <si>
    <t xml:space="preserve">     б/р</t>
  </si>
  <si>
    <t>Стремление к максимизации своего дохода диктует экономическую логику поведения любому рыночному субъекту. Доход является конечной целью действий каждого активного участника рыночной экономики, объективным и мощным стимулом его повседневной деятельности.</t>
  </si>
  <si>
    <t>Доход есть денежная оценка результатов деятельности физического (или юридического) лица как субъекта рыночной экономики. В экономической теории под «доходом» имеют в виду денежную сумму, регулярно и законно поступающую в непосредственное распоряжение рыночного субъекта.</t>
  </si>
  <si>
    <t>Доход всегда представлен деньгами. Это значит, что условием его получения является эффективное участие в экономической жизни общества: живем мы на зарплату или за счет собственной предпринимательской деятельности, – в любом случае мы должны сделать нечто полезное для других людей. Лишь тогда они передадут нам часть находящихся в их распоряжении денег.</t>
  </si>
  <si>
    <t xml:space="preserve">                    С Т Р У К Т У Р А    Д О Х О Д О В</t>
  </si>
  <si>
    <t xml:space="preserve">    годы</t>
  </si>
  <si>
    <t>%   OT</t>
  </si>
  <si>
    <t>%    DP</t>
  </si>
  <si>
    <t>%   SW</t>
  </si>
  <si>
    <t>%   DS</t>
  </si>
  <si>
    <t>%    DD</t>
  </si>
  <si>
    <t>Следовательно, сам факт получения денежного дохода есть объективное свидетельство участия данного лица в экономической жизни общества, а размер дохода – показатель масштаба такого участия. Ведь деньги, пожалуй, единственная на свете вещь, которую нельзя выдать самому себе: деньги можно получить только от других людей.</t>
  </si>
  <si>
    <t>Прямая зависимость дохода от результатов рыночной деятельности нарушается лишь в одном случае – при объективной невозможности участвовать в ней (пенсионеры, молодежь в дотрудоспособном возрасте, инвалиды, иждивенцы, безработные).</t>
  </si>
  <si>
    <t>Названные категории населения поддерживаются всем обществом, от имени которого правительство регулярно выплачивает им денежные пособия. Конечно, эти выплаты образуют особый элемент совокупного дохода, но «рыночными» они, строго говоря, не являются.</t>
  </si>
  <si>
    <t>Рыночный же доход всегда есть результат наших полезных – для других людей – усилий. Значит, он во многом определяется совпадением предлагаемых нами товаров и услуг с предъявляемым «другими людьми» спросом.</t>
  </si>
  <si>
    <t>Взаимодействие спроса и предложения – объективный механизм образования доходов в рыночной экономике, в том числе и доходов населения.</t>
  </si>
  <si>
    <t>РАСЧЁТ ДЕФЛЯТОРОВ СДЕЛАТЬ ОТДЕЛЬНЫМ БЛОКОМ !!!</t>
  </si>
  <si>
    <t>Dd = 1,1764*IPC - 0,1212</t>
  </si>
  <si>
    <t xml:space="preserve">Всего денежных доходов, млрд.  рублей  </t>
  </si>
  <si>
    <t>Dw = Dd*Rd +Dng*Rg + Dnk*Rnk + De*Re - Dm*Rm</t>
  </si>
  <si>
    <t xml:space="preserve">X = WWP / (1-0,489) </t>
  </si>
  <si>
    <t xml:space="preserve"> в том числе (в процентах): </t>
  </si>
  <si>
    <t>оплата труда , включая скрытую зарплату</t>
  </si>
  <si>
    <t>IPC = 0,585*Dx +2,066</t>
  </si>
  <si>
    <t>доходы от предпринимательской деятельности</t>
  </si>
  <si>
    <r>
      <t xml:space="preserve"> </t>
    </r>
    <r>
      <rPr>
        <charset val="204"/>
        <family val="2"/>
        <sz val="16"/>
        <rFont val="Calibri"/>
      </rPr>
      <t>µ</t>
    </r>
  </si>
  <si>
    <t>социальные выплаты</t>
  </si>
  <si>
    <t>IPC = 0,5901*Dw +1,2487</t>
  </si>
  <si>
    <t>доходы от собственности</t>
  </si>
  <si>
    <t>другие доходы</t>
  </si>
  <si>
    <t>ПРОГН</t>
  </si>
  <si>
    <t xml:space="preserve">  тренд</t>
  </si>
  <si>
    <t xml:space="preserve">    Dd</t>
  </si>
  <si>
    <t xml:space="preserve">    DH</t>
  </si>
  <si>
    <t xml:space="preserve">    OT</t>
  </si>
  <si>
    <t xml:space="preserve">      WWP</t>
  </si>
  <si>
    <t xml:space="preserve">  WWP</t>
  </si>
  <si>
    <t xml:space="preserve">    qOT</t>
  </si>
  <si>
    <t xml:space="preserve">   тренд</t>
  </si>
  <si>
    <t xml:space="preserve">       б/р</t>
  </si>
  <si>
    <t>УПРОЩЁННЫЙ  ВАРИАНТ  РАСЧЁТА  ДОХОДОВ</t>
  </si>
  <si>
    <t>Таблица 1. Динамика общего объема денежных доходов населения Российской Федерации</t>
  </si>
  <si>
    <t>Год</t>
  </si>
  <si>
    <t>Всего денежных доходов, млрд.рублей *</t>
  </si>
  <si>
    <t>Всего денежных доходов, млрд.рублей</t>
  </si>
  <si>
    <t>2012*</t>
  </si>
  <si>
    <t>* до 1998 г. включительно – в недоминированных рублях</t>
  </si>
  <si>
    <t>Источник:http://www.gks.ru/wps/wcm/connect/rosstat_main/rosstat/ru/statistics/population/level/Обновлено 16.12.2013</t>
  </si>
  <si>
    <t>Уровень Инфляции в России, %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</si>
  <si>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</si>
  <si>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</si>
  <si>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</si>
  <si>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</si>
  <si>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</si>
  <si>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</si>
  <si>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</si>
  <si>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</si>
  <si>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</si>
  <si>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</si>
  <si>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</si>
  <si>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</si>
  <si>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Инфляция по месяцам. Инфляция по годам.</t>
  </si>
  <si>
    <t>Примечание:</t>
  </si>
  <si>
    <t>* Данные до 2002 года округлены до одного десятичного знака.</t>
  </si>
  <si>
    <t>** Красным цветом в таблице обозначена дефляция.</t>
  </si>
  <si>
    <t>*** Инфляция по месяцам складывается в годовую неалгебраически. Для расчета инфляции за произвольный период используйте Инфляционны</t>
  </si>
  <si>
    <t>Динамика изменения наличия основных фондов на конец года</t>
  </si>
  <si>
    <t xml:space="preserve"> в Российской Федерации (в сопоставимых ценах)</t>
  </si>
  <si>
    <t>В % к предыдущему</t>
  </si>
  <si>
    <t>В % к 1990 г.</t>
  </si>
  <si>
    <t>году</t>
  </si>
  <si>
    <t xml:space="preserve">   ^PWS</t>
  </si>
  <si>
    <t xml:space="preserve"> Счёт</t>
  </si>
  <si>
    <t>ВВП в ц 95</t>
  </si>
  <si>
    <t>ТРЕНД 1</t>
  </si>
  <si>
    <t>ТРЕНД 2</t>
  </si>
  <si>
    <t>Оценка</t>
  </si>
  <si>
    <t>тс.руб/ч</t>
  </si>
  <si>
    <r>
      <t xml:space="preserve">    </t>
    </r>
    <r>
      <rPr>
        <charset val="204"/>
        <family val="2"/>
        <sz val="16"/>
        <rFont val="Arial"/>
      </rPr>
      <t>Pw</t>
    </r>
  </si>
  <si>
    <r>
      <t xml:space="preserve">   </t>
    </r>
    <r>
      <rPr>
        <charset val="204"/>
        <family val="2"/>
        <sz val="14"/>
        <rFont val="Arial"/>
      </rPr>
      <t>kRU</t>
    </r>
  </si>
  <si>
    <r>
      <t xml:space="preserve">      </t>
    </r>
    <r>
      <rPr>
        <charset val="204"/>
        <family val="2"/>
        <sz val="16"/>
        <rFont val="Arial"/>
      </rPr>
      <t>х</t>
    </r>
  </si>
  <si>
    <t xml:space="preserve">   Pg</t>
  </si>
  <si>
    <t xml:space="preserve">   Pgm</t>
  </si>
  <si>
    <t xml:space="preserve">   YG</t>
  </si>
  <si>
    <t xml:space="preserve">  YGM</t>
  </si>
  <si>
    <t xml:space="preserve">  ПРОИЗВОДСТВЕННАЯ</t>
  </si>
  <si>
    <t xml:space="preserve">  ФУНКЦИЯ</t>
  </si>
  <si>
    <t>Произв =  2,8763* Фондоввор - 209,32</t>
  </si>
  <si>
    <t xml:space="preserve"> (типа Кобба-Дугласа)</t>
  </si>
  <si>
    <t xml:space="preserve">          k =</t>
  </si>
  <si>
    <t xml:space="preserve"> ЭКОНОМИКИ</t>
  </si>
  <si>
    <t xml:space="preserve">          b =</t>
  </si>
  <si>
    <t xml:space="preserve">  РОССИИ</t>
  </si>
  <si>
    <t xml:space="preserve">      ВВП и</t>
  </si>
  <si>
    <t xml:space="preserve">     основные фонды </t>
  </si>
  <si>
    <t xml:space="preserve">    в ценах 1995 года</t>
  </si>
  <si>
    <t>поизвед</t>
  </si>
  <si>
    <t>с.г. Зан</t>
  </si>
  <si>
    <t xml:space="preserve"> Безр</t>
  </si>
  <si>
    <r>
      <t xml:space="preserve">       </t>
    </r>
    <r>
      <rPr>
        <charset val="204"/>
        <color indexed="8"/>
        <family val="2"/>
        <sz val="14"/>
        <rFont val="Arial"/>
      </rPr>
      <t xml:space="preserve"> F</t>
    </r>
  </si>
  <si>
    <r>
      <t xml:space="preserve">  </t>
    </r>
    <r>
      <rPr>
        <charset val="204"/>
        <color indexed="8"/>
        <family val="2"/>
        <sz val="14"/>
        <rFont val="Arial"/>
      </rPr>
      <t>FS</t>
    </r>
  </si>
  <si>
    <r>
      <t xml:space="preserve">   </t>
    </r>
    <r>
      <rPr>
        <charset val="204"/>
        <color indexed="8"/>
        <family val="2"/>
        <sz val="14"/>
        <rFont val="Arial"/>
      </rPr>
      <t>pF</t>
    </r>
  </si>
  <si>
    <t xml:space="preserve">       Pf</t>
  </si>
  <si>
    <r>
      <t xml:space="preserve">   </t>
    </r>
    <r>
      <rPr>
        <charset val="204"/>
        <color indexed="8"/>
        <family val="2"/>
        <sz val="14"/>
        <rFont val="Arial"/>
      </rPr>
      <t>dF</t>
    </r>
  </si>
  <si>
    <r>
      <t xml:space="preserve">  </t>
    </r>
    <r>
      <rPr>
        <charset val="204"/>
        <color indexed="8"/>
        <family val="2"/>
        <sz val="14"/>
        <rFont val="Arial"/>
      </rPr>
      <t xml:space="preserve"> Df</t>
    </r>
  </si>
  <si>
    <r>
      <t xml:space="preserve">   </t>
    </r>
    <r>
      <rPr>
        <charset val="204"/>
        <color indexed="8"/>
        <family val="2"/>
        <sz val="14"/>
        <rFont val="Arial"/>
      </rPr>
      <t xml:space="preserve"> ip</t>
    </r>
  </si>
  <si>
    <t xml:space="preserve">     IPC</t>
  </si>
  <si>
    <t xml:space="preserve">     WW</t>
  </si>
  <si>
    <t xml:space="preserve"> pWW</t>
  </si>
  <si>
    <t xml:space="preserve">     Pww</t>
  </si>
  <si>
    <t>dWW</t>
  </si>
  <si>
    <t xml:space="preserve"> ^WWP</t>
  </si>
  <si>
    <t xml:space="preserve">   ^WWPS</t>
  </si>
  <si>
    <t xml:space="preserve">  dW</t>
  </si>
  <si>
    <t xml:space="preserve">        LZW</t>
  </si>
  <si>
    <t xml:space="preserve">       BZ</t>
  </si>
  <si>
    <t xml:space="preserve"> млн.чел</t>
  </si>
  <si>
    <t xml:space="preserve">    ТРУДОВАЯ</t>
  </si>
  <si>
    <t xml:space="preserve">    ХАРАКТЕРИСТИКА</t>
  </si>
  <si>
    <t xml:space="preserve">   PОХS</t>
  </si>
  <si>
    <t xml:space="preserve">   FОS</t>
  </si>
  <si>
    <t xml:space="preserve">        F</t>
  </si>
  <si>
    <t xml:space="preserve">        FS</t>
  </si>
  <si>
    <t xml:space="preserve">       pF</t>
  </si>
  <si>
    <t xml:space="preserve">    WWP</t>
  </si>
  <si>
    <t xml:space="preserve">   WWPS</t>
  </si>
  <si>
    <t xml:space="preserve">       pW</t>
  </si>
  <si>
    <t xml:space="preserve">    LZW</t>
  </si>
  <si>
    <t xml:space="preserve">     LA</t>
  </si>
  <si>
    <t xml:space="preserve"> WWPS/L</t>
  </si>
  <si>
    <t xml:space="preserve">    ЭКОНОМИКИ</t>
  </si>
  <si>
    <t>Произв</t>
  </si>
  <si>
    <t>тср /чел</t>
  </si>
  <si>
    <t xml:space="preserve">     РОССИИ</t>
  </si>
  <si>
    <t xml:space="preserve">  ^WWP</t>
  </si>
  <si>
    <t xml:space="preserve">   YGm</t>
  </si>
  <si>
    <t xml:space="preserve">   Dgm</t>
  </si>
  <si>
    <t xml:space="preserve">  Dx</t>
  </si>
  <si>
    <t xml:space="preserve">    A</t>
  </si>
  <si>
    <t>Рабочая гипотеза    Y = k*X + A</t>
  </si>
  <si>
    <t>k =</t>
  </si>
  <si>
    <t>модель</t>
  </si>
  <si>
    <t>ошибка</t>
  </si>
  <si>
    <t>A =</t>
  </si>
  <si>
    <t>Трудовой пот</t>
  </si>
  <si>
    <t>Эконом активн</t>
  </si>
  <si>
    <t>Тренд 3</t>
  </si>
  <si>
    <t>R² = 0,9784</t>
  </si>
  <si>
    <t>y</t>
  </si>
  <si>
    <t xml:space="preserve"> LA</t>
  </si>
  <si>
    <t>y = 0,0055x + 56,572</t>
  </si>
  <si>
    <t>Инвестиции в основной капитал в Российской Федерации</t>
  </si>
  <si>
    <r>
      <t xml:space="preserve">Миллионов рублей (до 1998г. - млрд.руб.) </t>
    </r>
    <r>
      <rPr>
        <charset val="204"/>
        <family val="2"/>
        <vertAlign val="superscript"/>
        <sz val="12"/>
        <rFont val="Arial"/>
      </rPr>
      <t>1)</t>
    </r>
  </si>
  <si>
    <t>1918-1928</t>
  </si>
  <si>
    <t>5,5</t>
  </si>
  <si>
    <t>Динамика инвестиций в основной капитал в Российской Федерации</t>
  </si>
  <si>
    <t>1929-1932</t>
  </si>
  <si>
    <t>11,9</t>
  </si>
  <si>
    <t xml:space="preserve">в сопоставимых ценах </t>
  </si>
  <si>
    <t>1933-1937</t>
  </si>
  <si>
    <t>27,2</t>
  </si>
  <si>
    <t>1938-I полугодие 1941</t>
  </si>
  <si>
    <t xml:space="preserve">В процентах к предыдущему году                              </t>
  </si>
  <si>
    <t>8,7</t>
  </si>
  <si>
    <t>II полугодие 1941-1945</t>
  </si>
  <si>
    <t>29,3</t>
  </si>
  <si>
    <t>8,5</t>
  </si>
  <si>
    <t xml:space="preserve">Динамика соотношения минимального размера оплаты труда </t>
  </si>
  <si>
    <t>9,2</t>
  </si>
  <si>
    <t xml:space="preserve">и прожиточного минимума трудоспособного работника </t>
  </si>
  <si>
    <t>11,2</t>
  </si>
  <si>
    <t xml:space="preserve">за 2000-2010 гг. </t>
  </si>
  <si>
    <t>13,2</t>
  </si>
  <si>
    <t xml:space="preserve"> Прожиточный минимум </t>
  </si>
  <si>
    <t>15,8</t>
  </si>
  <si>
    <t xml:space="preserve">трудоспособного </t>
  </si>
  <si>
    <t>18,4</t>
  </si>
  <si>
    <t xml:space="preserve">работника (ПМ) </t>
  </si>
  <si>
    <t>20,9</t>
  </si>
  <si>
    <t xml:space="preserve">руб. в месяц </t>
  </si>
  <si>
    <t>21,7</t>
  </si>
  <si>
    <t xml:space="preserve">Минимальный размер </t>
  </si>
  <si>
    <t>25,6</t>
  </si>
  <si>
    <t>оплаты труда (МРОТ) 1</t>
  </si>
  <si>
    <t>28,6</t>
  </si>
  <si>
    <t>33,1</t>
  </si>
  <si>
    <t>36,8</t>
  </si>
  <si>
    <t>42,5</t>
  </si>
  <si>
    <t xml:space="preserve">Соотношение </t>
  </si>
  <si>
    <t>47,6</t>
  </si>
  <si>
    <t xml:space="preserve">МРОТ и ПМ </t>
  </si>
  <si>
    <t>51,2</t>
  </si>
  <si>
    <t>52,1</t>
  </si>
  <si>
    <t xml:space="preserve">процентов </t>
  </si>
  <si>
    <t>54,5</t>
  </si>
  <si>
    <t xml:space="preserve">2000 1320 107 8,1 </t>
  </si>
  <si>
    <t xml:space="preserve">2005 3255 740 22,7 </t>
  </si>
  <si>
    <t>61,4</t>
  </si>
  <si>
    <t xml:space="preserve">2006 3695 1025 27,7 </t>
  </si>
  <si>
    <t>65,8</t>
  </si>
  <si>
    <t xml:space="preserve">2007 4159 1400 33,7 </t>
  </si>
  <si>
    <t>69,9</t>
  </si>
  <si>
    <t xml:space="preserve">2008 4970 2300 46,3 </t>
  </si>
  <si>
    <t>75,6</t>
  </si>
  <si>
    <t xml:space="preserve">2009 5572 4330 77,7 </t>
  </si>
  <si>
    <t>82,1</t>
  </si>
  <si>
    <t xml:space="preserve">2010 6138 4330 70,5 </t>
  </si>
  <si>
    <t>84,6</t>
  </si>
  <si>
    <t>94,9</t>
  </si>
  <si>
    <t xml:space="preserve">Источники: </t>
  </si>
  <si>
    <t>102,5</t>
  </si>
  <si>
    <t xml:space="preserve">Россия в цифрах. 2008. Крат. стат. сб. / Росстат. – М., 2008. С. 126-127. </t>
  </si>
  <si>
    <t>110,1</t>
  </si>
  <si>
    <t xml:space="preserve">Россия в цифрах. 2009. Крат. стат. сб. / Росстат. – М., 2009. С. 124. </t>
  </si>
  <si>
    <t>115,1</t>
  </si>
  <si>
    <t xml:space="preserve">Социальное положение и уровень жизни населения России. 2010: Стат.сб. / Росстат - M., 2010. </t>
  </si>
  <si>
    <t>123,8</t>
  </si>
  <si>
    <t xml:space="preserve">С.138. </t>
  </si>
  <si>
    <t>136,4</t>
  </si>
  <si>
    <t xml:space="preserve">Постановление Правительства РФ от 18.05.2009 N 418. </t>
  </si>
  <si>
    <t>143,2</t>
  </si>
  <si>
    <t xml:space="preserve">Постановление Правительства РФ от 19.08.2009 N 666. </t>
  </si>
  <si>
    <t>Федеральный закон Российской Федерации от 24 июня 2008 г. № 91-ФЗ «О внесении измене-</t>
  </si>
  <si>
    <t xml:space="preserve">ния в статью 1 Федерального закона «О минимальном размере оплаты труда» </t>
  </si>
  <si>
    <t>158,6</t>
  </si>
  <si>
    <t>163,1</t>
  </si>
  <si>
    <t>169,7</t>
  </si>
  <si>
    <t>175,9</t>
  </si>
  <si>
    <t>183,4</t>
  </si>
  <si>
    <t>185,6</t>
  </si>
  <si>
    <t>209,6</t>
  </si>
  <si>
    <t>222,1</t>
  </si>
  <si>
    <t>239,2</t>
  </si>
  <si>
    <t xml:space="preserve">       IN</t>
  </si>
  <si>
    <t xml:space="preserve">     pIN</t>
  </si>
  <si>
    <t>Y=k*X + b</t>
  </si>
  <si>
    <t>248,9</t>
  </si>
  <si>
    <t>Млн руб</t>
  </si>
  <si>
    <t>Млрд руб</t>
  </si>
  <si>
    <t xml:space="preserve">            k =</t>
  </si>
  <si>
    <t>249,1</t>
  </si>
  <si>
    <t xml:space="preserve">            b =</t>
  </si>
  <si>
    <t>210,5</t>
  </si>
  <si>
    <t>2670,2</t>
  </si>
  <si>
    <t>27124,5</t>
  </si>
  <si>
    <t xml:space="preserve">        INS</t>
  </si>
  <si>
    <t xml:space="preserve">       pIN</t>
  </si>
  <si>
    <t>У</t>
  </si>
  <si>
    <t>Х</t>
  </si>
  <si>
    <t>108809,9</t>
  </si>
  <si>
    <t>266973,6</t>
  </si>
  <si>
    <t>375958,1</t>
  </si>
  <si>
    <t>408797,3</t>
  </si>
  <si>
    <t>407086,3</t>
  </si>
  <si>
    <t>670438,8</t>
  </si>
  <si>
    <t>1165234,2</t>
  </si>
  <si>
    <t>1504712,1</t>
  </si>
  <si>
    <t>1762407,3</t>
  </si>
  <si>
    <t>2186365,2</t>
  </si>
  <si>
    <t>2865013,9</t>
  </si>
  <si>
    <t>3611109,0</t>
  </si>
  <si>
    <t>4730022,9</t>
  </si>
  <si>
    <t>6716222,4</t>
  </si>
  <si>
    <t>8781616,4</t>
  </si>
  <si>
    <t>7976012,8</t>
  </si>
  <si>
    <r>
      <t>2010</t>
    </r>
    <r>
      <rPr>
        <charset val="204"/>
        <vertAlign val="superscript"/>
        <sz val="12"/>
        <rFont val="Arial Cyr"/>
      </rPr>
      <t>2)</t>
    </r>
  </si>
  <si>
    <r>
      <t>2010</t>
    </r>
    <r>
      <rPr>
        <charset val="204"/>
        <vertAlign val="superscript"/>
        <sz val="9"/>
        <rFont val="Arial Cyr"/>
      </rPr>
      <t>2)</t>
    </r>
  </si>
  <si>
    <t>1) В фактически действовавших ценах (до 1990г. - в ценах 1991г.)</t>
  </si>
  <si>
    <t>2) Данные уточнены на основании годовых отчетов и окончательных расчетов объема инвестиций, не наблюдаемых прямыми статистическими методами</t>
  </si>
  <si>
    <t>Дата последнего размещения данных - 02.04.2015г.</t>
  </si>
  <si>
    <t xml:space="preserve">Элементы использования валового внутреннего продукта </t>
  </si>
  <si>
    <t>(в ценах 2008 года, млрд руб.)</t>
  </si>
  <si>
    <r>
      <t xml:space="preserve">2014 </t>
    </r>
    <r>
      <rPr>
        <b/>
        <charset val="204"/>
        <family val="2"/>
        <vertAlign val="superscript"/>
        <sz val="8"/>
        <rFont val="Arial"/>
      </rPr>
      <t>3)</t>
    </r>
  </si>
  <si>
    <t xml:space="preserve">Валовой внутренний продукт </t>
  </si>
  <si>
    <t>расходы на конечное потребление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</si>
  <si>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</si>
  <si>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</si>
  <si>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</si>
  <si>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r>
      <t>валовое накопление основного капитала</t>
    </r>
    <r>
      <rPr>
        <charset val="204"/>
        <family val="2"/>
        <sz val="8"/>
        <rFont val="Arial"/>
      </rPr>
      <t xml:space="preserve"> 1</t>
    </r>
    <r>
      <rPr>
        <charset val="204"/>
        <family val="2"/>
        <vertAlign val="superscript"/>
        <sz val="8"/>
        <rFont val="Arial"/>
      </rPr>
      <t>)</t>
    </r>
  </si>
  <si>
    <r>
      <t>9095,3</t>
    </r>
    <r>
      <rPr>
        <charset val="204"/>
        <vertAlign val="superscript"/>
        <sz val="8"/>
        <rFont val="Arial Cyr"/>
      </rPr>
      <t>2)</t>
    </r>
  </si>
  <si>
    <t>импорт (-)</t>
  </si>
  <si>
    <t>Статистическое расхождение</t>
  </si>
  <si>
    <r>
      <t xml:space="preserve">1) </t>
    </r>
    <r>
      <rPr>
        <charset val="204"/>
        <sz val="8"/>
        <rFont val="Arial Cyr"/>
      </rPr>
      <t>Включая приобретение за вычетом выбытия ценностей.</t>
    </r>
  </si>
  <si>
    <r>
      <t>2)</t>
    </r>
    <r>
      <rPr>
        <charset val="204"/>
        <sz val="8"/>
        <rFont val="Arial Cyr"/>
      </rPr>
      <t xml:space="preserve"> Здесь и далее с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</si>
  <si>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 xml:space="preserve">3) </t>
    </r>
    <r>
      <rPr>
        <charset val="204"/>
        <sz val="8"/>
        <rFont val="Arial Cyr"/>
      </rPr>
      <t>Данные за 2014 год представлены с учетом данных по Крымскому федеральному округу.</t>
    </r>
  </si>
  <si>
    <t>ИСТОЧНИК ПРОГНОЗА</t>
  </si>
  <si>
    <r>
      <t xml:space="preserve">                       </t>
    </r>
    <r>
      <rPr>
        <charset val="204"/>
        <family val="2"/>
        <sz val="11"/>
        <rFont val="Arial Unicode MS"/>
      </rPr>
      <t>ДИСПЕТЧЕР МОДЕЛИ Р1-4-0(2020 - 1)</t>
    </r>
  </si>
  <si>
    <t>Модель Р1-4-0(2020-1)  от 23.08.2019</t>
  </si>
  <si>
    <t xml:space="preserve">  версия модели  21.05.2020</t>
  </si>
  <si>
    <t xml:space="preserve"> версия отчётности    Росстат - М, 2019</t>
  </si>
  <si>
    <t>Министерство экономики от 12.04.2017</t>
  </si>
  <si>
    <t xml:space="preserve">  базисный год    1995 </t>
  </si>
  <si>
    <t xml:space="preserve">  диапазон отчётности  1995 - 2018</t>
  </si>
  <si>
    <t xml:space="preserve">Институт "Центр развития" НИУ ВШЭ </t>
  </si>
  <si>
    <t xml:space="preserve">  диапазон прогноза   2019 - 2035 гг</t>
  </si>
  <si>
    <t xml:space="preserve">  текущий сценарий   N 1</t>
  </si>
  <si>
    <t>ИНП РАН от 23.11.2017</t>
  </si>
  <si>
    <t>N раздела</t>
  </si>
  <si>
    <t xml:space="preserve"> состоян</t>
  </si>
  <si>
    <t>Комплексный доклад РАН от 23.10.2017</t>
  </si>
  <si>
    <t xml:space="preserve">   текстовое описание модели</t>
  </si>
  <si>
    <t>**</t>
  </si>
  <si>
    <t xml:space="preserve">   отчётные показатели экономики России</t>
  </si>
  <si>
    <t xml:space="preserve">   настройка модели</t>
  </si>
  <si>
    <t xml:space="preserve">   фундаментальные характеристики экономики</t>
  </si>
  <si>
    <t xml:space="preserve">   архив сценариев исходных данных опорной траектории</t>
  </si>
  <si>
    <t xml:space="preserve">   архив сценариев исходных данных возмущённой траектории</t>
  </si>
  <si>
    <t xml:space="preserve">   архив опорных траекторий</t>
  </si>
  <si>
    <t xml:space="preserve">   архив возмущённых траекторий</t>
  </si>
  <si>
    <t xml:space="preserve">   контроль счёта</t>
  </si>
  <si>
    <t xml:space="preserve">   архив разности опорных и возмущённых траекторий </t>
  </si>
  <si>
    <t xml:space="preserve">   архив текстовых отчётов</t>
  </si>
  <si>
    <t xml:space="preserve">   выход</t>
  </si>
  <si>
    <t>YD 0</t>
  </si>
  <si>
    <t>YD 1</t>
  </si>
  <si>
    <t xml:space="preserve">     %</t>
  </si>
  <si>
    <t xml:space="preserve"> dYD</t>
  </si>
  <si>
    <t>DH 0</t>
  </si>
  <si>
    <t>DH 1</t>
  </si>
  <si>
    <t xml:space="preserve"> dDH</t>
  </si>
  <si>
    <t>WWP 0</t>
  </si>
  <si>
    <t>WWP 1</t>
  </si>
  <si>
    <t xml:space="preserve"> dWWP</t>
  </si>
  <si>
    <t>RBJ 0</t>
  </si>
  <si>
    <t>RBJ 1</t>
  </si>
  <si>
    <t xml:space="preserve"> dRBJ</t>
  </si>
  <si>
    <t xml:space="preserve"> конечное потребление ДОМАШНИХ ХОЗЯЙСТВ по опорной траектории развития</t>
  </si>
  <si>
    <t xml:space="preserve"> конечное потребление ДОМАШНИХ ХОЗЯЙСТВ по возмущённой траектории развития</t>
  </si>
  <si>
    <t>абсолютная разность показателей</t>
  </si>
  <si>
    <t>разность в процентах</t>
  </si>
  <si>
    <t>ДОХОДЫ НАСЕЛЕНИЯ по опорной траектории развития</t>
  </si>
  <si>
    <t>ДОХОДЫ НАСЕЛЕНИЯ по возмущённой траектории развития</t>
  </si>
  <si>
    <t>ВВП по опорной траектории развития</t>
  </si>
  <si>
    <t>ВВП по возмущённой траектории развития</t>
  </si>
  <si>
    <t>РАСХОДЫ КОНСОЛИДИРОВАННОГО БЮДЖЕТА по опорной траектории развития</t>
  </si>
  <si>
    <t>РАСХОДЫ КОНСОЛИДИРОВАННОГО БЮДЖЕТА по возмущённой траектории развития</t>
  </si>
  <si>
    <t>НОВАЯ</t>
  </si>
  <si>
    <t>2015-11</t>
  </si>
  <si>
    <t>Pn=(din*WWP) / (Dn*INo)</t>
  </si>
  <si>
    <t>INSt = Pn*INo</t>
  </si>
  <si>
    <t>POk =( Pn + 0,0176) / 1,0679</t>
  </si>
  <si>
    <t>WNOKSt = POk*WNOKo</t>
  </si>
  <si>
    <t>WNSt = WNOKSt + eSt*XOSt</t>
  </si>
  <si>
    <t>YGt = 0,1915*^WWP - 180,77</t>
  </si>
  <si>
    <t>YGSt = YGt / Dgt</t>
  </si>
  <si>
    <t>YNKt = gt*RBJt</t>
  </si>
  <si>
    <t>YNKSt = YNKt / Dnkt</t>
  </si>
  <si>
    <t>YDt = 0,7651*DHt + 13,445</t>
  </si>
  <si>
    <t>YDSt = YDt / Ddt</t>
  </si>
  <si>
    <t>YSt = YDSt+YGSt+YNKSt</t>
  </si>
  <si>
    <t>IMSt = bSt*(YSt + INSt)</t>
  </si>
  <si>
    <t>EXSt = Pet*EXo</t>
  </si>
  <si>
    <t xml:space="preserve">WWPSt =  WNSt + YSt + EXSt - IMSt </t>
  </si>
  <si>
    <t xml:space="preserve">Pwt = WWPSt / WWPo </t>
  </si>
  <si>
    <t>^WWPSt = WWPSt*( 1+ dev )</t>
  </si>
  <si>
    <t xml:space="preserve">^Pwt = ^WWPSt / WWPo </t>
  </si>
  <si>
    <t>ХSt = ^WWPSt / ( 1- aSt )</t>
  </si>
  <si>
    <t>Pxt = XSt /XSo</t>
  </si>
  <si>
    <t>XOSt = XOSo*Pxt</t>
  </si>
  <si>
    <t>LPt = ,0064 * ^WWPS + 54,176</t>
  </si>
  <si>
    <t>OTt = qX*X</t>
  </si>
  <si>
    <t>^WWPt = ^Dwt*^WWPSt</t>
  </si>
  <si>
    <r>
      <t xml:space="preserve">   DH = OT + </t>
    </r>
    <r>
      <rPr>
        <charset val="204"/>
        <color indexed="8"/>
        <family val="2"/>
        <sz val="12"/>
        <rFont val="Calibri"/>
      </rPr>
      <t>µ*^</t>
    </r>
    <r>
      <rPr>
        <charset val="204"/>
        <color indexed="8"/>
        <family val="2"/>
        <sz val="12"/>
        <rFont val="Arial"/>
      </rPr>
      <t xml:space="preserve">WWP   </t>
    </r>
  </si>
  <si>
    <t>RBJt = rt*^WWPt</t>
  </si>
  <si>
    <t>Yt = YDt+Ygt + YNKt</t>
  </si>
  <si>
    <t>WNt = Dkt*WNSt</t>
  </si>
  <si>
    <t>IMt = Dmt*IMSt</t>
  </si>
  <si>
    <t>EXt = Det*EXSt</t>
  </si>
  <si>
    <t>WWPt = WNt + Yt + EXt - IMt + STRt</t>
  </si>
  <si>
    <t>^Dwt = WWPt / ^WWPSt</t>
  </si>
  <si>
    <t>Rat = Dzt / Dxt</t>
  </si>
  <si>
    <t>at = aSt*Rat</t>
  </si>
  <si>
    <t>Xt = ^WWPt / (1 - at )</t>
  </si>
  <si>
    <t>Dxt = Xt / XSt</t>
  </si>
  <si>
    <t xml:space="preserve">XOt =  Xt /( 1+ n1t ) </t>
  </si>
  <si>
    <t xml:space="preserve">CN1t = n1t*XOt </t>
  </si>
  <si>
    <t>DOxt = XOt / XOSt</t>
  </si>
  <si>
    <t>RBJt = rt * ^WWPt</t>
  </si>
  <si>
    <t>CN2t = n2t*(XOt + IMt)</t>
  </si>
  <si>
    <t>WPRt = ^WWPt - OTt - CN2t</t>
  </si>
  <si>
    <t>Zt = XOt + CN1t - ^WWPt</t>
  </si>
  <si>
    <t>ZSt = aSt*XSt</t>
  </si>
  <si>
    <t>Dzt = Zt / ZSt</t>
  </si>
  <si>
    <t>POS = XOS / LP</t>
  </si>
  <si>
    <t>PWS = ^WWPS / LP</t>
  </si>
  <si>
    <t>WWS = vS*(0,7*INSt+0,2*INSt-1+0,1*INSt-2)</t>
  </si>
  <si>
    <t>FOS = XOS / FS</t>
  </si>
  <si>
    <t>FSt+1 = ( 1 - kwbt )*FSt + WWSt</t>
  </si>
  <si>
    <t>POx =Px</t>
  </si>
  <si>
    <t>Ft = FSt * Dft</t>
  </si>
  <si>
    <t>доля инвестиций в ВВП</t>
  </si>
  <si>
    <t>qX</t>
  </si>
  <si>
    <t xml:space="preserve">доля оплаты труда в выпуске в ЦП </t>
  </si>
  <si>
    <t>коэффициент прочих  доходов населения</t>
  </si>
  <si>
    <t>h31</t>
  </si>
  <si>
    <t>коэффициент валовой прибыли</t>
  </si>
  <si>
    <t>h32</t>
  </si>
  <si>
    <t>коэффициент консолидированного бюджета</t>
  </si>
  <si>
    <t xml:space="preserve"> µ</t>
  </si>
  <si>
    <t>коэффициент чистых налогов на произв и импорт</t>
  </si>
  <si>
    <t>коэффициент ассигнований ГОС на инв в ОК</t>
  </si>
  <si>
    <t>коэффициент ассигнований КОРП на инв в ОК</t>
  </si>
  <si>
    <t>доля ассигнований ОМ в суммарных инв в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</si>
</sst>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0.00000"/>
    <numFmt numFmtId="168" formatCode="#,##0.0"/>
  </numFmts>
  <fonts count="127" x14ac:knownFonts="1">
    <font>
      <color theme="1"/>
      <family val="2"/>
      <scheme val="minor"/>
      <sz val="11"/>
      <name val="Calibri"/>
    </font>
    <font>
      <charset val="204"/>
      <color theme="1"/>
      <family val="2"/>
      <sz val="18"/>
      <name val="Arial"/>
    </font>
    <font>
      <charset val="204"/>
      <color theme="1"/>
      <family val="2"/>
      <scheme val="minor"/>
      <sz val="18"/>
      <name val="Calibri"/>
    </font>
    <font>
      <charset val="204"/>
      <color theme="1"/>
      <family val="2"/>
      <sz val="16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22"/>
      <name val="Calibri"/>
    </font>
    <font>
      <b/>
      <charset val="204"/>
      <color theme="1"/>
      <family val="2"/>
      <scheme val="minor"/>
      <sz val="18"/>
      <name val="Calibri"/>
    </font>
    <font>
      <charset val="204"/>
      <family val="2"/>
      <sz val="11"/>
      <name val="Arial"/>
    </font>
    <font>
      <charset val="204"/>
      <color theme="0"/>
      <family val="2"/>
      <scheme val="minor"/>
      <sz val="11"/>
      <name val="Calibri"/>
    </font>
    <font>
      <charset val="204"/>
      <family val="2"/>
      <sz val="12"/>
      <name val="Arial"/>
    </font>
    <font>
      <charset val="204"/>
      <family val="2"/>
      <sz val="14"/>
      <name val="Arial"/>
    </font>
    <font>
      <charset val="204"/>
      <color theme="1"/>
      <family val="2"/>
      <scheme val="minor"/>
      <sz val="12"/>
      <name val="Calibri"/>
    </font>
    <font>
      <charset val="204"/>
      <color theme="1"/>
      <family val="2"/>
      <sz val="14"/>
      <name val="Arial"/>
    </font>
    <font>
      <color theme="1"/>
      <family val="2"/>
      <scheme val="minor"/>
      <sz val="12"/>
      <name val="Calibri"/>
    </font>
    <font>
      <b/>
      <charset val="204"/>
      <family val="2"/>
      <sz val="16"/>
      <name val="Arial"/>
    </font>
    <font>
      <charset val="204"/>
      <family val="2"/>
      <sz val="10"/>
      <name val="Arial"/>
    </font>
    <font>
      <charset val="204"/>
      <family val="2"/>
      <sz val="16"/>
      <name val="Arial"/>
    </font>
    <font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harset val="204"/>
      <color indexed="8"/>
      <family val="2"/>
      <sz val="11"/>
      <name val="Arial"/>
    </font>
    <font>
      <charset val="204"/>
      <color theme="1"/>
      <family val="2"/>
      <sz val="12"/>
      <name val="Arial"/>
    </font>
    <font>
      <family val="2"/>
      <sz val="12"/>
      <name val="Arial"/>
    </font>
    <font>
      <charset val="204"/>
      <color indexed="8"/>
      <family val="2"/>
      <sz val="12"/>
      <name val="Arial"/>
    </font>
    <font>
      <charset val="204"/>
      <color indexed="8"/>
      <family val="2"/>
      <sz val="12"/>
      <name val="Calibri"/>
    </font>
    <font>
      <b/>
      <charset val="204"/>
      <color rgb="FF000000"/>
      <family val="2"/>
      <sz val="12"/>
      <name val="Tahoma"/>
    </font>
    <font>
      <charset val="204"/>
      <family val="2"/>
      <sz val="12"/>
      <name val="Arial Cyr"/>
    </font>
    <font>
      <family val="2"/>
      <sz val="11"/>
      <name val="Arial"/>
    </font>
    <font>
      <charset val="204"/>
      <family val="1"/>
      <sz val="12"/>
      <name val="Times New Roman"/>
    </font>
    <font>
      <charset val="204"/>
      <color indexed="8"/>
      <family val="2"/>
      <sz val="11"/>
      <name val="Calibri"/>
    </font>
    <font>
      <charset val="204"/>
      <color theme="1"/>
      <family val="2"/>
      <sz val="11"/>
      <name val="Arial"/>
    </font>
    <font>
      <charset val="204"/>
      <color theme="1"/>
      <family val="2"/>
      <scheme val="minor"/>
      <sz val="14"/>
      <name val="Calibri"/>
    </font>
    <font>
      <charset val="204"/>
      <color indexed="8"/>
      <family val="1"/>
      <sz val="12"/>
      <name val="Times New Roman"/>
    </font>
    <font>
      <charset val="204"/>
      <family val="2"/>
      <sz val="12"/>
      <name val="Calibri"/>
    </font>
    <font>
      <b/>
      <charset val="204"/>
      <family val="2"/>
      <sz val="14"/>
      <name val="Arial"/>
    </font>
    <font>
      <charset val="204"/>
      <color theme="1"/>
      <family val="2"/>
      <scheme val="minor"/>
      <sz val="16"/>
      <name val="Calibri"/>
    </font>
    <font>
      <b/>
      <charset val="204"/>
      <color theme="1"/>
      <family val="2"/>
      <sz val="20"/>
      <name val="Arial"/>
    </font>
    <font>
      <charset val="204"/>
      <color rgb="FF000000"/>
      <family val="2"/>
      <sz val="12"/>
      <name val="Arial"/>
    </font>
    <font>
      <charset val="204"/>
      <color indexed="8"/>
      <family val="2"/>
      <sz val="14"/>
      <name val="Arial"/>
    </font>
    <font>
      <charset val="204"/>
      <color rgb="FF5C5455"/>
      <family val="2"/>
      <sz val="14"/>
      <name val="Arial"/>
    </font>
    <font>
      <b/>
      <charset val="204"/>
      <color theme="1"/>
      <family val="2"/>
      <sz val="16"/>
      <name val="Arial"/>
    </font>
    <font>
      <charset val="204"/>
      <color rgb="FF2E2A28"/>
      <family val="2"/>
      <sz val="16"/>
      <name val="Arial"/>
    </font>
    <font>
      <b/>
      <charset val="204"/>
      <color theme="1"/>
      <family val="2"/>
      <sz val="14"/>
      <name val="Arial Rounded MT Bold"/>
    </font>
    <font>
      <b/>
      <charset val="204"/>
      <color theme="1"/>
      <family val="2"/>
      <scheme val="minor"/>
      <sz val="14"/>
      <name val="Calibri"/>
    </font>
    <font>
      <color theme="1"/>
      <family val="2"/>
      <sz val="14"/>
      <name val="Arial Rounded MT Bold"/>
    </font>
    <font>
      <b/>
      <color theme="1"/>
      <family val="2"/>
      <sz val="14"/>
      <name val="Arial Rounded MT Bold"/>
    </font>
    <font>
      <color theme="1"/>
      <family val="2"/>
      <sz val="16"/>
      <name val="Arial Rounded MT Bold"/>
    </font>
    <font>
      <b/>
      <charset val="204"/>
      <color theme="1"/>
      <family val="2"/>
      <scheme val="minor"/>
      <sz val="16"/>
      <name val="Calibri"/>
    </font>
    <font>
      <b/>
      <color theme="1"/>
      <family val="2"/>
      <sz val="16"/>
      <name val="Arial Rounded MT Bold"/>
    </font>
    <font>
      <b/>
      <charset val="204"/>
      <color theme="1"/>
      <family val="2"/>
      <sz val="11"/>
      <name val="Arial"/>
    </font>
    <font>
      <charset val="204"/>
      <color theme="1"/>
      <family val="2"/>
      <sz val="10"/>
      <name val="Arial"/>
    </font>
    <font>
      <charset val="204"/>
      <family val="2"/>
      <sz val="22"/>
      <name val="Arial"/>
    </font>
    <font>
      <charset val="204"/>
      <color indexed="8"/>
      <family val="1"/>
      <sz val="14"/>
      <name val="Times New Roman"/>
    </font>
    <font>
      <charset val="204"/>
      <family val="2"/>
      <sz val="18"/>
      <name val="Arial"/>
    </font>
    <font>
      <charset val="204"/>
      <color indexed="8"/>
      <family val="1"/>
      <sz val="16"/>
      <name val="Times New Roman"/>
    </font>
    <font>
      <charset val="204"/>
      <color indexed="8"/>
      <family val="2"/>
      <sz val="14"/>
      <name val="Calibri"/>
    </font>
    <font>
      <charset val="204"/>
      <color indexed="8"/>
      <family val="2"/>
      <sz val="16"/>
      <name val="Arial"/>
    </font>
    <font>
      <b/>
      <charset val="204"/>
      <family val="2"/>
      <sz val="10"/>
      <name val="Arial"/>
    </font>
    <font>
      <charset val="204"/>
      <color indexed="8"/>
      <family val="1"/>
      <sz val="11"/>
      <name val="Times New Roman"/>
    </font>
    <font>
      <charset val="204"/>
      <color indexed="8"/>
      <family val="1"/>
      <sz val="18"/>
      <name val="Times New Roman"/>
    </font>
    <font>
      <charset val="204"/>
      <color indexed="8"/>
      <family val="2"/>
      <sz val="16"/>
      <name val="Calibri"/>
    </font>
    <font>
      <charset val="204"/>
      <color rgb="FF000000"/>
      <family val="2"/>
      <sz val="18"/>
      <name val="Arial"/>
    </font>
    <font>
      <charset val="204"/>
      <color indexed="8"/>
      <family val="1"/>
      <sz val="10"/>
      <name val="Times New Roman"/>
    </font>
    <font>
      <b/>
      <charset val="204"/>
      <family val="2"/>
      <sz val="11"/>
      <name val="Arial"/>
    </font>
    <font>
      <b/>
      <charset val="204"/>
      <color theme="1"/>
      <family val="2"/>
      <sz val="14"/>
      <name val="Arial"/>
    </font>
    <font>
      <charset val="204"/>
      <color indexed="8"/>
      <family val="2"/>
      <sz val="18"/>
      <name val="Calibri"/>
    </font>
    <font>
      <charset val="204"/>
      <color indexed="8"/>
      <family val="2"/>
      <sz val="10"/>
      <name val="Arial"/>
    </font>
    <font>
      <b/>
      <charset val="204"/>
      <family val="2"/>
      <sz val="18"/>
      <name val="Arial"/>
    </font>
    <font>
      <charset val="204"/>
      <family val="1"/>
      <sz val="16"/>
      <name val="Times New Roman"/>
    </font>
    <font>
      <charset val="204"/>
      <color theme="1"/>
      <family val="2"/>
      <scheme val="minor"/>
      <sz val="10"/>
      <name val="Calibri"/>
    </font>
    <font>
      <family val="2"/>
      <sz val="14"/>
      <name val="Berlin Sans FB Demi"/>
    </font>
    <font>
      <color theme="1"/>
      <family val="2"/>
      <sz val="14"/>
      <name val="Berlin Sans FB Demi"/>
    </font>
    <font>
      <charset val="204"/>
      <family val="1"/>
      <sz val="11"/>
      <name val="Times New Roman"/>
    </font>
    <font>
      <b/>
      <charset val="204"/>
      <color theme="1"/>
      <family val="2"/>
      <scheme val="minor"/>
      <sz val="11"/>
      <name val="Calibri"/>
    </font>
    <font>
      <charset val="204"/>
      <color rgb="FF000000"/>
      <family val="2"/>
      <sz val="14"/>
      <name val="Arial"/>
    </font>
    <font>
      <b/>
      <charset val="204"/>
      <family val="2"/>
      <sz val="12"/>
      <name val="Arial"/>
    </font>
    <font>
      <charset val="204"/>
      <color theme="1"/>
      <family val="2"/>
      <sz val="20"/>
      <name val="Arial"/>
    </font>
    <font>
      <charset val="204"/>
      <color indexed="8"/>
      <family val="2"/>
      <sz val="12"/>
      <name val="Arial Unicode MS"/>
    </font>
    <font>
      <family val="2"/>
      <sz val="8"/>
      <name val="Arial"/>
    </font>
    <font>
      <charset val="204"/>
      <family val="2"/>
      <sz val="9"/>
      <name val="Arial"/>
    </font>
    <font>
      <family val="2"/>
      <sz val="10"/>
      <name val="Arial"/>
    </font>
    <font>
      <family val="2"/>
      <sz val="9"/>
      <name val="Arial"/>
    </font>
    <font>
      <b/>
      <family val="2"/>
      <sz val="10"/>
      <name val="Arial"/>
    </font>
    <font>
      <family val="2"/>
      <sz val="14"/>
      <name val="Arial"/>
    </font>
    <font>
      <sz val="10"/>
      <name val="Arial CYR"/>
    </font>
    <font>
      <charset val="204"/>
      <sz val="10"/>
      <name val="Arial Cyr"/>
    </font>
    <font>
      <charset val="204"/>
      <color indexed="8"/>
      <family val="2"/>
      <sz val="16"/>
      <name val="Arial Black"/>
    </font>
    <font>
      <charset val="204"/>
      <color rgb="FF333333"/>
      <family val="2"/>
      <sz val="11"/>
      <name val="Arial"/>
    </font>
    <font>
      <charset val="204"/>
      <family val="1"/>
      <sz val="14"/>
      <name val="Times New Roman"/>
    </font>
    <font>
      <b/>
      <charset val="204"/>
      <color rgb="FF007700"/>
      <family val="2"/>
      <sz val="14"/>
      <name val="Arial"/>
    </font>
    <font>
      <charset val="204"/>
      <color rgb="FF000000"/>
      <family val="1"/>
      <sz val="12"/>
      <name val="Times New Roman"/>
    </font>
    <font>
      <charset val="204"/>
      <color rgb="FF000000"/>
      <family val="1"/>
      <sz val="16"/>
      <name val="Times New Roman"/>
    </font>
    <font>
      <b/>
      <family val="2"/>
      <sz val="14"/>
      <name val="Arial"/>
    </font>
    <font>
      <b/>
      <family val="2"/>
      <sz val="12"/>
      <name val="Arial"/>
    </font>
    <font>
      <charset val="204"/>
      <color theme="1"/>
      <family val="2"/>
      <scheme val="minor"/>
      <sz val="20"/>
      <name val="Calibri"/>
    </font>
    <font>
      <family val="2"/>
      <sz val="7"/>
      <name val="Arial"/>
    </font>
    <font>
      <charset val="204"/>
      <sz val="12"/>
      <name val="Arial Cyr"/>
    </font>
    <font>
      <color theme="1"/>
      <family val="1"/>
      <sz val="14"/>
      <name val="Lucida Bright"/>
    </font>
    <font>
      <charset val="204"/>
      <color theme="1"/>
      <family val="1"/>
      <sz val="14"/>
      <name val="Times New Roman"/>
    </font>
    <font>
      <i/>
      <charset val="204"/>
      <family val="1"/>
      <sz val="11"/>
      <name val="Times New Roman"/>
    </font>
    <font>
      <b/>
      <charset val="204"/>
      <family val="1"/>
      <sz val="11"/>
      <name val="Times New Roman"/>
    </font>
    <font>
      <i/>
      <family val="2"/>
      <sz val="12"/>
      <name val="Arial"/>
    </font>
    <font>
      <charset val="204"/>
      <color rgb="FF2E2A28"/>
      <family val="2"/>
      <sz val="18"/>
      <name val="Arial"/>
    </font>
    <font>
      <b/>
      <charset val="204"/>
      <color rgb="FF1A1A1A"/>
      <family val="2"/>
      <sz val="10"/>
      <name val="Arial"/>
    </font>
    <font>
      <charset val="204"/>
      <color rgb="FF1A1A1A"/>
      <family val="2"/>
      <sz val="12"/>
      <name val="Arial"/>
    </font>
    <font>
      <charset val="204"/>
      <color rgb="FF1A1A1A"/>
      <family val="2"/>
      <sz val="10"/>
      <name val="Arial"/>
    </font>
    <font>
      <u/>
      <charset val="204"/>
      <color theme="10"/>
      <family val="2"/>
      <sz val="12"/>
      <name val="Calibri"/>
    </font>
    <font>
      <color indexed="8"/>
      <family val="2"/>
      <sz val="10"/>
      <name val="Calibri"/>
    </font>
    <font>
      <b/>
      <charset val="204"/>
      <color theme="1"/>
      <family val="2"/>
      <sz val="12"/>
      <name val="Arial"/>
    </font>
    <font>
      <charset val="204"/>
      <color theme="1"/>
      <family val="2"/>
      <sz val="8"/>
      <name val="Arial"/>
    </font>
    <font>
      <charset val="204"/>
      <color theme="1"/>
      <family val="2"/>
      <sz val="9"/>
      <name val="Arial"/>
    </font>
    <font>
      <family val="2"/>
      <sz val="16"/>
      <name val="Arial"/>
    </font>
    <font>
      <color indexed="8"/>
      <family val="2"/>
      <sz val="12"/>
      <name val="Calibri"/>
    </font>
    <font>
      <color indexed="8"/>
      <family val="2"/>
      <sz val="14"/>
      <name val="Calibri"/>
    </font>
    <font>
      <color indexed="8"/>
      <family val="2"/>
      <sz val="16"/>
      <name val="Calibri"/>
    </font>
    <font>
      <color indexed="8"/>
      <family val="2"/>
      <sz val="9"/>
      <name val="Calibri"/>
    </font>
    <font>
      <charset val="204"/>
      <sz val="9"/>
      <name val="Arial Cyr"/>
    </font>
    <font>
      <charset val="204"/>
      <vertAlign val="superscript"/>
      <sz val="12"/>
      <name val="Arial Cyr"/>
    </font>
    <font>
      <b/>
      <i/>
      <charset val="204"/>
      <family val="2"/>
      <sz val="10"/>
      <name val="Arial Cyr"/>
    </font>
    <font>
      <b/>
      <charset val="204"/>
      <family val="2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b/>
      <charset val="204"/>
      <family val="2"/>
      <sz val="8"/>
      <name val="Arial"/>
    </font>
    <font>
      <charset val="204"/>
      <family val="2"/>
      <sz val="8"/>
      <name val="Arial"/>
    </font>
    <font>
      <charset val="204"/>
      <family val="2"/>
      <sz val="8"/>
      <name val="Arial Cyr"/>
    </font>
    <font>
      <charset val="204"/>
      <vertAlign val="superscript"/>
      <sz val="8"/>
      <name val="Arial Cyr"/>
    </font>
    <font>
      <charset val="204"/>
      <color rgb="FF92D050"/>
      <family val="2"/>
      <scheme val="minor"/>
      <sz val="11"/>
      <name val="Calibri"/>
    </font>
    <font>
      <charset val="204"/>
      <color rgb="FF92D050"/>
      <family val="2"/>
      <sz val="1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indexed="50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8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4" fillId="3" borderId="8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0" xfId="0" applyFont="1"/>
    <xf numFmtId="0" fontId="3" fillId="2" borderId="9" xfId="0" applyFont="1" applyFill="1" applyBorder="1"/>
    <xf numFmtId="0" fontId="4" fillId="2" borderId="0" xfId="0" applyFont="1" applyFill="1"/>
    <xf numFmtId="0" fontId="3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4" borderId="7" xfId="0" applyFont="1" applyFill="1" applyBorder="1"/>
    <xf numFmtId="0" fontId="4" fillId="4" borderId="0" xfId="0" applyFont="1" applyFill="1"/>
    <xf numFmtId="0" fontId="4" fillId="4" borderId="8" xfId="0" applyFont="1" applyFill="1" applyBorder="1"/>
    <xf numFmtId="0" fontId="3" fillId="4" borderId="9" xfId="0" applyFont="1" applyFill="1" applyBorder="1"/>
    <xf numFmtId="0" fontId="6" fillId="0" borderId="0" xfId="0" applyFont="1"/>
    <xf numFmtId="0" fontId="4" fillId="0" borderId="0" xfId="0" applyFont="1"/>
    <xf numFmtId="0" fontId="4" fillId="5" borderId="0" xfId="0" applyFont="1" applyFill="1"/>
    <xf numFmtId="0" fontId="7" fillId="0" borderId="0" xfId="0" applyFont="1"/>
    <xf numFmtId="0" fontId="8" fillId="6" borderId="0" xfId="0" applyFont="1" applyFill="1"/>
    <xf numFmtId="14" fontId="9" fillId="5" borderId="10" xfId="0" applyNumberFormat="1" applyFont="1" applyFill="1" applyBorder="1"/>
    <xf numFmtId="0" fontId="10" fillId="7" borderId="11" xfId="0" applyFont="1" applyFill="1" applyBorder="1"/>
    <xf numFmtId="0" fontId="10" fillId="7" borderId="12" xfId="0" applyFont="1" applyFill="1" applyBorder="1" applyAlignment="1">
      <alignment horizontal="center"/>
    </xf>
    <xf numFmtId="0" fontId="11" fillId="0" borderId="0" xfId="0" applyFont="1"/>
    <xf numFmtId="0" fontId="9" fillId="7" borderId="11" xfId="0" applyFont="1" applyFill="1" applyBorder="1"/>
    <xf numFmtId="0" fontId="9" fillId="7" borderId="12" xfId="0" applyFont="1" applyFill="1" applyBorder="1" applyAlignment="1">
      <alignment horizontal="center"/>
    </xf>
    <xf numFmtId="0" fontId="12" fillId="8" borderId="13" xfId="0" applyFont="1" applyFill="1" applyBorder="1"/>
    <xf numFmtId="0" fontId="13" fillId="4" borderId="4" xfId="0" applyFont="1" applyFill="1" applyBorder="1"/>
    <xf numFmtId="2" fontId="12" fillId="4" borderId="6" xfId="0" applyNumberFormat="1" applyFont="1" applyFill="1" applyBorder="1"/>
    <xf numFmtId="0" fontId="14" fillId="7" borderId="11" xfId="0" applyFont="1" applyFill="1" applyBorder="1"/>
    <xf numFmtId="14" fontId="7" fillId="5" borderId="14" xfId="0" applyNumberFormat="1" applyFont="1" applyFill="1" applyBorder="1"/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14" fontId="15" fillId="5" borderId="14" xfId="0" applyNumberFormat="1" applyFont="1" applyFill="1" applyBorder="1"/>
    <xf numFmtId="0" fontId="16" fillId="4" borderId="15" xfId="0" applyFont="1" applyFill="1" applyBorder="1" applyAlignment="1">
      <alignment horizontal="center"/>
    </xf>
    <xf numFmtId="0" fontId="12" fillId="8" borderId="16" xfId="0" applyFont="1" applyFill="1" applyBorder="1"/>
    <xf numFmtId="164" fontId="3" fillId="4" borderId="0" xfId="0" applyNumberFormat="1" applyFont="1" applyFill="1"/>
    <xf numFmtId="164" fontId="3" fillId="4" borderId="3" xfId="0" applyNumberFormat="1" applyFont="1" applyFill="1" applyBorder="1"/>
    <xf numFmtId="164" fontId="12" fillId="4" borderId="0" xfId="0" applyNumberFormat="1" applyFont="1" applyFill="1"/>
    <xf numFmtId="164" fontId="12" fillId="4" borderId="3" xfId="0" applyNumberFormat="1" applyFont="1" applyFill="1" applyBorder="1"/>
    <xf numFmtId="165" fontId="3" fillId="4" borderId="0" xfId="0" applyNumberFormat="1" applyFont="1" applyFill="1"/>
    <xf numFmtId="1" fontId="3" fillId="4" borderId="0" xfId="0" applyNumberFormat="1" applyFont="1" applyFill="1"/>
    <xf numFmtId="1" fontId="3" fillId="4" borderId="3" xfId="0" applyNumberFormat="1" applyFont="1" applyFill="1" applyBorder="1"/>
    <xf numFmtId="1" fontId="11" fillId="0" borderId="0" xfId="0" applyNumberFormat="1" applyFont="1"/>
    <xf numFmtId="164" fontId="3" fillId="4" borderId="8" xfId="0" applyNumberFormat="1" applyFont="1" applyFill="1" applyBorder="1"/>
    <xf numFmtId="2" fontId="3" fillId="4" borderId="0" xfId="0" applyNumberFormat="1" applyFont="1" applyFill="1"/>
    <xf numFmtId="164" fontId="3" fillId="0" borderId="0" xfId="0" applyNumberFormat="1" applyFont="1"/>
    <xf numFmtId="1" fontId="12" fillId="4" borderId="0" xfId="0" applyNumberFormat="1" applyFont="1" applyFill="1"/>
    <xf numFmtId="1" fontId="12" fillId="4" borderId="3" xfId="0" applyNumberFormat="1" applyFont="1" applyFill="1" applyBorder="1"/>
    <xf numFmtId="2" fontId="12" fillId="4" borderId="0" xfId="0" applyNumberFormat="1" applyFont="1" applyFill="1"/>
    <xf numFmtId="1" fontId="12" fillId="4" borderId="16" xfId="0" applyNumberFormat="1" applyFont="1" applyFill="1" applyBorder="1"/>
    <xf numFmtId="0" fontId="3" fillId="0" borderId="0" xfId="0" applyFont="1"/>
    <xf numFmtId="164" fontId="12" fillId="0" borderId="0" xfId="0" applyNumberFormat="1" applyFont="1"/>
    <xf numFmtId="0" fontId="3" fillId="8" borderId="16" xfId="0" applyFont="1" applyFill="1" applyBorder="1"/>
    <xf numFmtId="0" fontId="12" fillId="8" borderId="17" xfId="0" applyFont="1" applyFill="1" applyBorder="1"/>
    <xf numFmtId="164" fontId="12" fillId="4" borderId="8" xfId="0" applyNumberFormat="1" applyFont="1" applyFill="1" applyBorder="1"/>
    <xf numFmtId="1" fontId="3" fillId="4" borderId="8" xfId="0" applyNumberFormat="1" applyFont="1" applyFill="1" applyBorder="1"/>
    <xf numFmtId="1" fontId="8" fillId="6" borderId="0" xfId="0" applyNumberFormat="1" applyFont="1" applyFill="1"/>
    <xf numFmtId="1" fontId="12" fillId="4" borderId="8" xfId="0" applyNumberFormat="1" applyFont="1" applyFill="1" applyBorder="1"/>
    <xf numFmtId="1" fontId="12" fillId="4" borderId="17" xfId="0" applyNumberFormat="1" applyFont="1" applyFill="1" applyBorder="1"/>
    <xf numFmtId="0" fontId="3" fillId="8" borderId="17" xfId="0" applyFont="1" applyFill="1" applyBorder="1"/>
    <xf numFmtId="165" fontId="3" fillId="4" borderId="8" xfId="0" applyNumberFormat="1" applyFont="1" applyFill="1" applyBorder="1"/>
    <xf numFmtId="2" fontId="3" fillId="4" borderId="8" xfId="0" applyNumberFormat="1" applyFont="1" applyFill="1" applyBorder="1"/>
    <xf numFmtId="164" fontId="17" fillId="4" borderId="8" xfId="0" applyNumberFormat="1" applyFont="1" applyFill="1" applyBorder="1"/>
    <xf numFmtId="0" fontId="18" fillId="4" borderId="8" xfId="0" applyFont="1" applyFill="1" applyBorder="1"/>
    <xf numFmtId="1" fontId="17" fillId="4" borderId="8" xfId="0" applyNumberFormat="1" applyFont="1" applyFill="1" applyBorder="1"/>
    <xf numFmtId="1" fontId="18" fillId="4" borderId="8" xfId="0" applyNumberFormat="1" applyFont="1" applyFill="1" applyBorder="1"/>
    <xf numFmtId="2" fontId="12" fillId="4" borderId="8" xfId="0" applyNumberFormat="1" applyFont="1" applyFill="1" applyBorder="1"/>
    <xf numFmtId="164" fontId="3" fillId="4" borderId="7" xfId="0" applyNumberFormat="1" applyFont="1" applyFill="1" applyBorder="1"/>
    <xf numFmtId="0" fontId="18" fillId="4" borderId="7" xfId="0" applyFont="1" applyFill="1" applyBorder="1"/>
    <xf numFmtId="164" fontId="12" fillId="4" borderId="7" xfId="0" applyNumberFormat="1" applyFont="1" applyFill="1" applyBorder="1"/>
    <xf numFmtId="0" fontId="18" fillId="4" borderId="17" xfId="0" applyFont="1" applyFill="1" applyBorder="1"/>
    <xf numFmtId="165" fontId="1" fillId="0" borderId="0" xfId="0" applyNumberFormat="1" applyFont="1"/>
    <xf numFmtId="0" fontId="3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4" fontId="3" fillId="4" borderId="4" xfId="0" applyNumberFormat="1" applyFont="1" applyFill="1" applyBorder="1"/>
    <xf numFmtId="164" fontId="17" fillId="4" borderId="6" xfId="0" applyNumberFormat="1" applyFont="1" applyFill="1" applyBorder="1"/>
    <xf numFmtId="0" fontId="18" fillId="4" borderId="4" xfId="0" applyFont="1" applyFill="1" applyBorder="1"/>
    <xf numFmtId="164" fontId="12" fillId="4" borderId="6" xfId="0" applyNumberFormat="1" applyFont="1" applyFill="1" applyBorder="1"/>
    <xf numFmtId="2" fontId="3" fillId="4" borderId="6" xfId="0" applyNumberFormat="1" applyFont="1" applyFill="1" applyBorder="1"/>
    <xf numFmtId="164" fontId="12" fillId="4" borderId="4" xfId="0" applyNumberFormat="1" applyFont="1" applyFill="1" applyBorder="1"/>
    <xf numFmtId="0" fontId="18" fillId="4" borderId="6" xfId="0" applyFont="1" applyFill="1" applyBorder="1"/>
    <xf numFmtId="164" fontId="3" fillId="4" borderId="13" xfId="0" applyNumberFormat="1" applyFont="1" applyFill="1" applyBorder="1"/>
    <xf numFmtId="164" fontId="3" fillId="4" borderId="6" xfId="0" applyNumberFormat="1" applyFont="1" applyFill="1" applyBorder="1"/>
    <xf numFmtId="2" fontId="3" fillId="4" borderId="5" xfId="0" applyNumberFormat="1" applyFont="1" applyFill="1" applyBorder="1"/>
    <xf numFmtId="2" fontId="12" fillId="4" borderId="5" xfId="0" applyNumberFormat="1" applyFont="1" applyFill="1" applyBorder="1"/>
    <xf numFmtId="0" fontId="18" fillId="4" borderId="13" xfId="0" applyFont="1" applyFill="1" applyBorder="1"/>
    <xf numFmtId="1" fontId="12" fillId="4" borderId="13" xfId="0" applyNumberFormat="1" applyFont="1" applyFill="1" applyBorder="1"/>
    <xf numFmtId="1" fontId="12" fillId="4" borderId="5" xfId="0" applyNumberFormat="1" applyFont="1" applyFill="1" applyBorder="1"/>
    <xf numFmtId="0" fontId="3" fillId="8" borderId="13" xfId="0" applyFont="1" applyFill="1" applyBorder="1"/>
    <xf numFmtId="0" fontId="7" fillId="0" borderId="0" xfId="0" applyFont="1" applyAlignment="1">
      <alignment horizontal="center"/>
    </xf>
    <xf numFmtId="1" fontId="4" fillId="0" borderId="0" xfId="0" applyNumberFormat="1" applyFont="1"/>
    <xf numFmtId="2" fontId="9" fillId="5" borderId="0" xfId="0" applyNumberFormat="1" applyFont="1" applyFill="1"/>
    <xf numFmtId="164" fontId="9" fillId="5" borderId="0" xfId="0" applyNumberFormat="1" applyFont="1" applyFill="1"/>
    <xf numFmtId="165" fontId="4" fillId="0" borderId="0" xfId="0" applyNumberFormat="1" applyFont="1"/>
    <xf numFmtId="0" fontId="11" fillId="4" borderId="1" xfId="0" applyFont="1" applyFill="1" applyBorder="1"/>
    <xf numFmtId="0" fontId="11" fillId="4" borderId="2" xfId="0" applyFont="1" applyFill="1" applyBorder="1"/>
    <xf numFmtId="0" fontId="11" fillId="4" borderId="3" xfId="0" applyFont="1" applyFill="1" applyBorder="1"/>
    <xf numFmtId="0" fontId="11" fillId="9" borderId="18" xfId="0" applyFont="1" applyFill="1" applyBorder="1"/>
    <xf numFmtId="14" fontId="19" fillId="9" borderId="19" xfId="0" applyNumberFormat="1" applyFont="1" applyFill="1" applyBorder="1"/>
    <xf numFmtId="0" fontId="9" fillId="9" borderId="0" xfId="0" applyFont="1" applyFill="1"/>
    <xf numFmtId="0" fontId="11" fillId="9" borderId="0" xfId="0" applyFont="1" applyFill="1"/>
    <xf numFmtId="0" fontId="9" fillId="9" borderId="5" xfId="0" applyFont="1" applyFill="1" applyBorder="1"/>
    <xf numFmtId="0" fontId="11" fillId="4" borderId="9" xfId="0" applyFont="1" applyFill="1" applyBorder="1"/>
    <xf numFmtId="0" fontId="9" fillId="4" borderId="0" xfId="0" applyFont="1" applyFill="1"/>
    <xf numFmtId="0" fontId="11" fillId="4" borderId="0" xfId="0" applyFont="1" applyFill="1"/>
    <xf numFmtId="0" fontId="11" fillId="4" borderId="8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11" fillId="5" borderId="3" xfId="0" applyFont="1" applyFill="1" applyBorder="1"/>
    <xf numFmtId="0" fontId="11" fillId="5" borderId="0" xfId="0" applyFont="1" applyFill="1"/>
    <xf numFmtId="0" fontId="9" fillId="5" borderId="7" xfId="0" applyFont="1" applyFill="1" applyBorder="1"/>
    <xf numFmtId="0" fontId="9" fillId="5" borderId="0" xfId="0" applyFont="1" applyFill="1"/>
    <xf numFmtId="0" fontId="11" fillId="5" borderId="8" xfId="0" applyFont="1" applyFill="1" applyBorder="1"/>
    <xf numFmtId="0" fontId="20" fillId="0" borderId="0" xfId="0" applyFont="1"/>
    <xf numFmtId="0" fontId="9" fillId="8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0" fillId="7" borderId="20" xfId="0" applyFont="1" applyFill="1" applyBorder="1"/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/>
    <xf numFmtId="14" fontId="15" fillId="5" borderId="21" xfId="0" applyNumberFormat="1" applyFont="1" applyFill="1" applyBorder="1"/>
    <xf numFmtId="0" fontId="9" fillId="4" borderId="19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20" fillId="8" borderId="24" xfId="0" applyFont="1" applyFill="1" applyBorder="1"/>
    <xf numFmtId="1" fontId="20" fillId="4" borderId="0" xfId="0" applyNumberFormat="1" applyFont="1" applyFill="1"/>
    <xf numFmtId="1" fontId="20" fillId="4" borderId="2" xfId="0" applyNumberFormat="1" applyFont="1" applyFill="1" applyBorder="1"/>
    <xf numFmtId="165" fontId="20" fillId="4" borderId="2" xfId="0" applyNumberFormat="1" applyFont="1" applyFill="1" applyBorder="1"/>
    <xf numFmtId="1" fontId="12" fillId="4" borderId="1" xfId="0" applyNumberFormat="1" applyFont="1" applyFill="1" applyBorder="1"/>
    <xf numFmtId="2" fontId="12" fillId="4" borderId="1" xfId="0" applyNumberFormat="1" applyFont="1" applyFill="1" applyBorder="1"/>
    <xf numFmtId="1" fontId="12" fillId="4" borderId="2" xfId="0" applyNumberFormat="1" applyFont="1" applyFill="1" applyBorder="1"/>
    <xf numFmtId="165" fontId="20" fillId="4" borderId="0" xfId="0" applyNumberFormat="1" applyFont="1" applyFill="1"/>
    <xf numFmtId="1" fontId="12" fillId="4" borderId="7" xfId="0" applyNumberFormat="1" applyFont="1" applyFill="1" applyBorder="1"/>
    <xf numFmtId="2" fontId="12" fillId="4" borderId="7" xfId="0" applyNumberFormat="1" applyFont="1" applyFill="1" applyBorder="1"/>
    <xf numFmtId="0" fontId="9" fillId="5" borderId="8" xfId="0" applyFont="1" applyFill="1" applyBorder="1"/>
    <xf numFmtId="0" fontId="11" fillId="0" borderId="8" xfId="0" applyFont="1" applyBorder="1"/>
    <xf numFmtId="0" fontId="11" fillId="5" borderId="7" xfId="0" applyFont="1" applyFill="1" applyBorder="1"/>
    <xf numFmtId="0" fontId="21" fillId="10" borderId="25" xfId="0" applyFont="1" applyFill="1" applyBorder="1"/>
    <xf numFmtId="0" fontId="11" fillId="10" borderId="26" xfId="0" applyFont="1" applyFill="1" applyBorder="1"/>
    <xf numFmtId="0" fontId="11" fillId="10" borderId="27" xfId="0" applyFont="1" applyFill="1" applyBorder="1"/>
    <xf numFmtId="0" fontId="21" fillId="10" borderId="18" xfId="0" applyFont="1" applyFill="1" applyBorder="1"/>
    <xf numFmtId="0" fontId="11" fillId="10" borderId="28" xfId="0" applyFont="1" applyFill="1" applyBorder="1"/>
    <xf numFmtId="0" fontId="11" fillId="0" borderId="2" xfId="0" applyFont="1" applyBorder="1"/>
    <xf numFmtId="0" fontId="9" fillId="10" borderId="18" xfId="0" applyFont="1" applyFill="1" applyBorder="1"/>
    <xf numFmtId="14" fontId="7" fillId="10" borderId="28" xfId="0" applyNumberFormat="1" applyFont="1" applyFill="1" applyBorder="1"/>
    <xf numFmtId="0" fontId="21" fillId="5" borderId="2" xfId="0" applyFont="1" applyFill="1" applyBorder="1"/>
    <xf numFmtId="0" fontId="21" fillId="5" borderId="3" xfId="0" applyFont="1" applyFill="1" applyBorder="1"/>
    <xf numFmtId="0" fontId="9" fillId="5" borderId="9" xfId="0" applyFont="1" applyFill="1" applyBorder="1"/>
    <xf numFmtId="0" fontId="9" fillId="5" borderId="3" xfId="0" applyFont="1" applyFill="1" applyBorder="1"/>
    <xf numFmtId="0" fontId="9" fillId="5" borderId="18" xfId="0" applyFont="1" applyFill="1" applyBorder="1"/>
    <xf numFmtId="0" fontId="9" fillId="5" borderId="29" xfId="0" applyFont="1" applyFill="1" applyBorder="1"/>
    <xf numFmtId="0" fontId="11" fillId="5" borderId="29" xfId="0" applyFont="1" applyFill="1" applyBorder="1"/>
    <xf numFmtId="0" fontId="11" fillId="5" borderId="28" xfId="0" applyFont="1" applyFill="1" applyBorder="1"/>
    <xf numFmtId="0" fontId="22" fillId="5" borderId="0" xfId="0" applyFont="1" applyFill="1"/>
    <xf numFmtId="0" fontId="20" fillId="4" borderId="0" xfId="0" applyFont="1" applyFill="1"/>
    <xf numFmtId="1" fontId="18" fillId="4" borderId="7" xfId="0" applyNumberFormat="1" applyFont="1" applyFill="1" applyBorder="1"/>
    <xf numFmtId="1" fontId="18" fillId="4" borderId="0" xfId="0" applyNumberFormat="1" applyFont="1" applyFill="1"/>
    <xf numFmtId="0" fontId="18" fillId="4" borderId="0" xfId="0" applyFont="1" applyFill="1"/>
    <xf numFmtId="0" fontId="9" fillId="4" borderId="9" xfId="0" applyFont="1" applyFill="1" applyBorder="1"/>
    <xf numFmtId="0" fontId="20" fillId="4" borderId="9" xfId="0" applyFont="1" applyFill="1" applyBorder="1"/>
    <xf numFmtId="0" fontId="13" fillId="4" borderId="7" xfId="0" applyFont="1" applyFill="1" applyBorder="1"/>
    <xf numFmtId="0" fontId="23" fillId="5" borderId="0" xfId="0" applyFont="1" applyFill="1"/>
    <xf numFmtId="0" fontId="9" fillId="4" borderId="30" xfId="0" applyFont="1" applyFill="1" applyBorder="1"/>
    <xf numFmtId="0" fontId="11" fillId="4" borderId="5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20" fillId="8" borderId="13" xfId="0" applyFont="1" applyFill="1" applyBorder="1"/>
    <xf numFmtId="0" fontId="20" fillId="4" borderId="4" xfId="0" applyFont="1" applyFill="1" applyBorder="1"/>
    <xf numFmtId="0" fontId="20" fillId="4" borderId="5" xfId="0" applyFont="1" applyFill="1" applyBorder="1"/>
    <xf numFmtId="0" fontId="18" fillId="4" borderId="5" xfId="0" applyFont="1" applyFill="1" applyBorder="1"/>
    <xf numFmtId="2" fontId="12" fillId="4" borderId="4" xfId="0" applyNumberFormat="1" applyFont="1" applyFill="1" applyBorder="1"/>
    <xf numFmtId="0" fontId="24" fillId="0" borderId="0" xfId="0" applyFont="1"/>
    <xf numFmtId="0" fontId="11" fillId="0" borderId="5" xfId="0" applyFont="1" applyBorder="1"/>
    <xf numFmtId="0" fontId="9" fillId="5" borderId="5" xfId="0" applyFont="1" applyFill="1" applyBorder="1"/>
    <xf numFmtId="0" fontId="11" fillId="10" borderId="29" xfId="0" applyFont="1" applyFill="1" applyBorder="1"/>
    <xf numFmtId="0" fontId="11" fillId="4" borderId="4" xfId="0" applyFont="1" applyFill="1" applyBorder="1"/>
    <xf numFmtId="0" fontId="11" fillId="4" borderId="6" xfId="0" applyFont="1" applyFill="1" applyBorder="1"/>
    <xf numFmtId="0" fontId="9" fillId="0" borderId="0" xfId="0" applyFont="1"/>
    <xf numFmtId="0" fontId="10" fillId="7" borderId="31" xfId="0" applyFont="1" applyFill="1" applyBorder="1"/>
    <xf numFmtId="165" fontId="11" fillId="0" borderId="0" xfId="0" applyNumberFormat="1" applyFont="1"/>
    <xf numFmtId="0" fontId="9" fillId="4" borderId="17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9" fillId="5" borderId="32" xfId="0" applyFont="1" applyFill="1" applyBorder="1"/>
    <xf numFmtId="14" fontId="7" fillId="5" borderId="33" xfId="0" applyNumberFormat="1" applyFont="1" applyFill="1" applyBorder="1"/>
    <xf numFmtId="0" fontId="20" fillId="11" borderId="0" xfId="0" applyFont="1" applyFill="1"/>
    <xf numFmtId="0" fontId="11" fillId="11" borderId="0" xfId="0" applyFont="1" applyFill="1"/>
    <xf numFmtId="0" fontId="20" fillId="5" borderId="32" xfId="0" applyFont="1" applyFill="1" applyBorder="1"/>
    <xf numFmtId="0" fontId="20" fillId="5" borderId="34" xfId="0" applyFont="1" applyFill="1" applyBorder="1"/>
    <xf numFmtId="0" fontId="20" fillId="5" borderId="33" xfId="0" applyFont="1" applyFill="1" applyBorder="1"/>
    <xf numFmtId="0" fontId="11" fillId="5" borderId="5" xfId="0" applyFont="1" applyFill="1" applyBorder="1"/>
    <xf numFmtId="14" fontId="21" fillId="5" borderId="28" xfId="0" applyNumberFormat="1" applyFont="1" applyFill="1" applyBorder="1"/>
    <xf numFmtId="2" fontId="12" fillId="4" borderId="3" xfId="0" applyNumberFormat="1" applyFont="1" applyFill="1" applyBorder="1"/>
    <xf numFmtId="0" fontId="9" fillId="10" borderId="13" xfId="0" applyFont="1" applyFill="1" applyBorder="1"/>
    <xf numFmtId="0" fontId="9" fillId="0" borderId="30" xfId="0" applyFont="1" applyBorder="1"/>
    <xf numFmtId="0" fontId="11" fillId="10" borderId="35" xfId="0" applyFont="1" applyFill="1" applyBorder="1"/>
    <xf numFmtId="0" fontId="11" fillId="10" borderId="36" xfId="0" applyFont="1" applyFill="1" applyBorder="1"/>
    <xf numFmtId="0" fontId="11" fillId="0" borderId="28" xfId="0" applyFont="1" applyBorder="1"/>
    <xf numFmtId="0" fontId="11" fillId="12" borderId="34" xfId="0" applyFont="1" applyFill="1" applyBorder="1"/>
    <xf numFmtId="0" fontId="11" fillId="10" borderId="34" xfId="0" applyFont="1" applyFill="1" applyBorder="1"/>
    <xf numFmtId="0" fontId="11" fillId="10" borderId="37" xfId="0" applyFont="1" applyFill="1" applyBorder="1"/>
    <xf numFmtId="0" fontId="11" fillId="2" borderId="34" xfId="0" applyFont="1" applyFill="1" applyBorder="1"/>
    <xf numFmtId="0" fontId="11" fillId="13" borderId="38" xfId="0" applyFont="1" applyFill="1" applyBorder="1"/>
    <xf numFmtId="14" fontId="9" fillId="4" borderId="10" xfId="0" applyNumberFormat="1" applyFont="1" applyFill="1" applyBorder="1"/>
    <xf numFmtId="0" fontId="10" fillId="8" borderId="39" xfId="0" applyFont="1" applyFill="1" applyBorder="1"/>
    <xf numFmtId="0" fontId="10" fillId="8" borderId="11" xfId="0" applyFont="1" applyFill="1" applyBorder="1"/>
    <xf numFmtId="0" fontId="12" fillId="8" borderId="24" xfId="0" applyFont="1" applyFill="1" applyBorder="1"/>
    <xf numFmtId="2" fontId="12" fillId="4" borderId="9" xfId="0" applyNumberFormat="1" applyFont="1" applyFill="1" applyBorder="1"/>
    <xf numFmtId="0" fontId="9" fillId="10" borderId="14" xfId="0" applyFont="1" applyFill="1" applyBorder="1"/>
    <xf numFmtId="0" fontId="11" fillId="11" borderId="14" xfId="0" applyFont="1" applyFill="1" applyBorder="1"/>
    <xf numFmtId="164" fontId="21" fillId="0" borderId="0" xfId="0" applyNumberFormat="1" applyFont="1"/>
    <xf numFmtId="165" fontId="21" fillId="0" borderId="0" xfId="0" applyNumberFormat="1" applyFont="1"/>
    <xf numFmtId="165" fontId="21" fillId="14" borderId="0" xfId="0" applyNumberFormat="1" applyFont="1" applyFill="1"/>
    <xf numFmtId="165" fontId="25" fillId="0" borderId="0" xfId="0" applyNumberFormat="1" applyFont="1"/>
    <xf numFmtId="0" fontId="21" fillId="14" borderId="0" xfId="0" applyFont="1" applyFill="1"/>
    <xf numFmtId="1" fontId="20" fillId="0" borderId="0" xfId="0" applyNumberFormat="1" applyFont="1"/>
    <xf numFmtId="1" fontId="20" fillId="14" borderId="0" xfId="0" applyNumberFormat="1" applyFont="1" applyFill="1"/>
    <xf numFmtId="0" fontId="11" fillId="15" borderId="0" xfId="0" applyFont="1" applyFill="1"/>
    <xf numFmtId="0" fontId="23" fillId="16" borderId="17" xfId="0" applyFont="1" applyFill="1" applyBorder="1"/>
    <xf numFmtId="14" fontId="7" fillId="4" borderId="21" xfId="0" applyNumberFormat="1" applyFont="1" applyFill="1" applyBorder="1"/>
    <xf numFmtId="0" fontId="9" fillId="4" borderId="3" xfId="0" applyFont="1" applyFill="1" applyBorder="1" applyAlignment="1">
      <alignment horizontal="center"/>
    </xf>
    <xf numFmtId="0" fontId="20" fillId="4" borderId="1" xfId="0" applyFont="1" applyFill="1" applyBorder="1"/>
    <xf numFmtId="0" fontId="21" fillId="0" borderId="0" xfId="0" applyFont="1"/>
    <xf numFmtId="165" fontId="20" fillId="0" borderId="0" xfId="0" applyNumberFormat="1" applyFont="1"/>
    <xf numFmtId="0" fontId="20" fillId="14" borderId="0" xfId="0" applyFont="1" applyFill="1"/>
    <xf numFmtId="2" fontId="20" fillId="4" borderId="7" xfId="0" applyNumberFormat="1" applyFont="1" applyFill="1" applyBorder="1"/>
    <xf numFmtId="2" fontId="20" fillId="4" borderId="9" xfId="0" applyNumberFormat="1" applyFont="1" applyFill="1" applyBorder="1"/>
    <xf numFmtId="1" fontId="21" fillId="0" borderId="0" xfId="0" applyNumberFormat="1" applyFont="1"/>
    <xf numFmtId="164" fontId="21" fillId="14" borderId="0" xfId="0" applyNumberFormat="1" applyFont="1" applyFill="1"/>
    <xf numFmtId="164" fontId="20" fillId="14" borderId="0" xfId="0" applyNumberFormat="1" applyFont="1" applyFill="1"/>
    <xf numFmtId="0" fontId="4" fillId="11" borderId="14" xfId="0" applyFont="1" applyFill="1" applyBorder="1"/>
    <xf numFmtId="1" fontId="21" fillId="14" borderId="0" xfId="0" applyNumberFormat="1" applyFont="1" applyFill="1"/>
    <xf numFmtId="165" fontId="23" fillId="14" borderId="0" xfId="0" applyNumberFormat="1" applyFont="1" applyFill="1"/>
    <xf numFmtId="165" fontId="23" fillId="0" borderId="0" xfId="0" applyNumberFormat="1" applyFont="1"/>
    <xf numFmtId="0" fontId="11" fillId="5" borderId="2" xfId="0" applyFont="1" applyFill="1" applyBorder="1"/>
    <xf numFmtId="0" fontId="21" fillId="14" borderId="1" xfId="0" applyFont="1" applyFill="1" applyBorder="1"/>
    <xf numFmtId="0" fontId="11" fillId="11" borderId="40" xfId="0" applyFont="1" applyFill="1" applyBorder="1"/>
    <xf numFmtId="165" fontId="23" fillId="11" borderId="1" xfId="0" applyNumberFormat="1" applyFont="1" applyFill="1" applyBorder="1"/>
    <xf numFmtId="165" fontId="23" fillId="11" borderId="2" xfId="0" applyNumberFormat="1" applyFont="1" applyFill="1" applyBorder="1"/>
    <xf numFmtId="165" fontId="23" fillId="0" borderId="2" xfId="0" applyNumberFormat="1" applyFont="1" applyBorder="1"/>
    <xf numFmtId="165" fontId="21" fillId="0" borderId="2" xfId="0" applyNumberFormat="1" applyFont="1" applyBorder="1"/>
    <xf numFmtId="1" fontId="21" fillId="0" borderId="2" xfId="0" applyNumberFormat="1" applyFont="1" applyBorder="1"/>
    <xf numFmtId="1" fontId="20" fillId="0" borderId="2" xfId="0" applyNumberFormat="1" applyFont="1" applyBorder="1"/>
    <xf numFmtId="0" fontId="20" fillId="0" borderId="2" xfId="0" applyFont="1" applyBorder="1"/>
    <xf numFmtId="0" fontId="11" fillId="0" borderId="3" xfId="0" applyFont="1" applyBorder="1"/>
    <xf numFmtId="0" fontId="22" fillId="0" borderId="0" xfId="0" applyFont="1"/>
    <xf numFmtId="0" fontId="21" fillId="14" borderId="30" xfId="0" applyFont="1" applyFill="1" applyBorder="1"/>
    <xf numFmtId="0" fontId="11" fillId="11" borderId="41" xfId="0" applyFont="1" applyFill="1" applyBorder="1"/>
    <xf numFmtId="165" fontId="23" fillId="11" borderId="30" xfId="0" applyNumberFormat="1" applyFont="1" applyFill="1" applyBorder="1"/>
    <xf numFmtId="165" fontId="23" fillId="11" borderId="5" xfId="0" applyNumberFormat="1" applyFont="1" applyFill="1" applyBorder="1"/>
    <xf numFmtId="165" fontId="23" fillId="0" borderId="5" xfId="0" applyNumberFormat="1" applyFont="1" applyBorder="1"/>
    <xf numFmtId="165" fontId="21" fillId="0" borderId="5" xfId="0" applyNumberFormat="1" applyFont="1" applyBorder="1"/>
    <xf numFmtId="1" fontId="20" fillId="0" borderId="5" xfId="0" applyNumberFormat="1" applyFont="1" applyBorder="1"/>
    <xf numFmtId="1" fontId="26" fillId="0" borderId="5" xfId="0" applyNumberFormat="1" applyFont="1" applyBorder="1"/>
    <xf numFmtId="0" fontId="11" fillId="0" borderId="6" xfId="0" applyFont="1" applyBorder="1"/>
    <xf numFmtId="0" fontId="9" fillId="7" borderId="12" xfId="0" applyFont="1" applyFill="1" applyBorder="1"/>
    <xf numFmtId="164" fontId="20" fillId="0" borderId="0" xfId="0" applyNumberFormat="1" applyFont="1"/>
    <xf numFmtId="0" fontId="18" fillId="4" borderId="9" xfId="0" applyFont="1" applyFill="1" applyBorder="1"/>
    <xf numFmtId="2" fontId="21" fillId="0" borderId="0" xfId="0" applyNumberFormat="1" applyFont="1"/>
    <xf numFmtId="2" fontId="20" fillId="0" borderId="0" xfId="0" applyNumberFormat="1" applyFont="1"/>
    <xf numFmtId="0" fontId="13" fillId="4" borderId="9" xfId="0" applyFont="1" applyFill="1" applyBorder="1"/>
    <xf numFmtId="164" fontId="23" fillId="0" borderId="0" xfId="0" applyNumberFormat="1" applyFont="1"/>
    <xf numFmtId="164" fontId="22" fillId="0" borderId="0" xfId="0" applyNumberFormat="1" applyFont="1"/>
    <xf numFmtId="0" fontId="12" fillId="4" borderId="0" xfId="0" applyFont="1" applyFill="1"/>
    <xf numFmtId="0" fontId="10" fillId="10" borderId="14" xfId="0" applyFont="1" applyFill="1" applyBorder="1"/>
    <xf numFmtId="166" fontId="21" fillId="0" borderId="0" xfId="0" applyNumberFormat="1" applyFont="1"/>
    <xf numFmtId="0" fontId="11" fillId="14" borderId="0" xfId="0" applyFont="1" applyFill="1"/>
    <xf numFmtId="0" fontId="23" fillId="0" borderId="0" xfId="0" applyFont="1"/>
    <xf numFmtId="0" fontId="23" fillId="14" borderId="0" xfId="0" applyFont="1" applyFill="1"/>
    <xf numFmtId="1" fontId="22" fillId="0" borderId="0" xfId="0" applyNumberFormat="1" applyFont="1"/>
    <xf numFmtId="165" fontId="22" fillId="0" borderId="0" xfId="0" applyNumberFormat="1" applyFont="1"/>
    <xf numFmtId="165" fontId="20" fillId="14" borderId="0" xfId="0" applyNumberFormat="1" applyFont="1" applyFill="1"/>
    <xf numFmtId="0" fontId="9" fillId="16" borderId="17" xfId="0" applyFont="1" applyFill="1" applyBorder="1"/>
    <xf numFmtId="2" fontId="11" fillId="14" borderId="0" xfId="0" applyNumberFormat="1" applyFont="1" applyFill="1"/>
    <xf numFmtId="2" fontId="11" fillId="0" borderId="0" xfId="0" applyNumberFormat="1" applyFont="1"/>
    <xf numFmtId="165" fontId="22" fillId="14" borderId="0" xfId="0" applyNumberFormat="1" applyFont="1" applyFill="1"/>
    <xf numFmtId="1" fontId="22" fillId="14" borderId="0" xfId="0" applyNumberFormat="1" applyFont="1" applyFill="1"/>
    <xf numFmtId="165" fontId="11" fillId="14" borderId="0" xfId="0" applyNumberFormat="1" applyFont="1" applyFill="1"/>
    <xf numFmtId="0" fontId="9" fillId="10" borderId="0" xfId="0" applyFont="1" applyFill="1"/>
    <xf numFmtId="0" fontId="27" fillId="5" borderId="0" xfId="0" applyFont="1" applyFill="1"/>
    <xf numFmtId="164" fontId="22" fillId="14" borderId="0" xfId="0" applyNumberFormat="1" applyFont="1" applyFill="1"/>
    <xf numFmtId="0" fontId="22" fillId="14" borderId="0" xfId="0" applyFont="1" applyFill="1"/>
    <xf numFmtId="1" fontId="19" fillId="0" borderId="0" xfId="0" applyNumberFormat="1" applyFont="1"/>
    <xf numFmtId="1" fontId="26" fillId="0" borderId="0" xfId="0" applyNumberFormat="1" applyFont="1"/>
    <xf numFmtId="1" fontId="26" fillId="14" borderId="0" xfId="0" applyNumberFormat="1" applyFont="1" applyFill="1"/>
    <xf numFmtId="1" fontId="28" fillId="0" borderId="0" xfId="0" applyNumberFormat="1" applyFont="1"/>
    <xf numFmtId="1" fontId="23" fillId="0" borderId="0" xfId="0" applyNumberFormat="1" applyFont="1"/>
    <xf numFmtId="1" fontId="29" fillId="0" borderId="0" xfId="0" applyNumberFormat="1" applyFont="1"/>
    <xf numFmtId="0" fontId="12" fillId="4" borderId="5" xfId="0" applyFont="1" applyFill="1" applyBorder="1"/>
    <xf numFmtId="1" fontId="29" fillId="14" borderId="0" xfId="0" applyNumberFormat="1" applyFont="1" applyFill="1"/>
    <xf numFmtId="164" fontId="22" fillId="15" borderId="0" xfId="0" applyNumberFormat="1" applyFont="1" applyFill="1"/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8" borderId="42" xfId="0" applyFont="1" applyFill="1" applyBorder="1"/>
    <xf numFmtId="2" fontId="21" fillId="14" borderId="0" xfId="0" applyNumberFormat="1" applyFont="1" applyFill="1"/>
    <xf numFmtId="2" fontId="20" fillId="14" borderId="0" xfId="0" applyNumberFormat="1" applyFont="1" applyFill="1"/>
    <xf numFmtId="14" fontId="15" fillId="4" borderId="21" xfId="0" applyNumberFormat="1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43" xfId="0" applyFont="1" applyFill="1" applyBorder="1" applyAlignment="1">
      <alignment horizontal="center"/>
    </xf>
    <xf numFmtId="0" fontId="10" fillId="4" borderId="39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12" xfId="0" applyFont="1" applyFill="1" applyBorder="1" applyAlignment="1">
      <alignment horizontal="center"/>
    </xf>
    <xf numFmtId="164" fontId="11" fillId="0" borderId="0" xfId="0" applyNumberFormat="1" applyFont="1"/>
    <xf numFmtId="2" fontId="22" fillId="0" borderId="0" xfId="0" applyNumberFormat="1" applyFont="1"/>
    <xf numFmtId="2" fontId="22" fillId="15" borderId="0" xfId="0" applyNumberFormat="1" applyFont="1" applyFill="1"/>
    <xf numFmtId="0" fontId="12" fillId="4" borderId="2" xfId="0" applyFont="1" applyFill="1" applyBorder="1"/>
    <xf numFmtId="2" fontId="12" fillId="4" borderId="17" xfId="0" applyNumberFormat="1" applyFont="1" applyFill="1" applyBorder="1"/>
    <xf numFmtId="0" fontId="9" fillId="4" borderId="1" xfId="0" applyFont="1" applyFill="1" applyBorder="1" applyAlignment="1">
      <alignment horizontal="center"/>
    </xf>
    <xf numFmtId="0" fontId="30" fillId="4" borderId="19" xfId="0" applyFont="1" applyFill="1" applyBorder="1"/>
    <xf numFmtId="0" fontId="9" fillId="4" borderId="44" xfId="0" applyFont="1" applyFill="1" applyBorder="1" applyAlignment="1">
      <alignment horizontal="center"/>
    </xf>
    <xf numFmtId="164" fontId="23" fillId="14" borderId="0" xfId="0" applyNumberFormat="1" applyFont="1" applyFill="1"/>
    <xf numFmtId="2" fontId="12" fillId="4" borderId="2" xfId="0" applyNumberFormat="1" applyFont="1" applyFill="1" applyBorder="1"/>
    <xf numFmtId="165" fontId="12" fillId="4" borderId="2" xfId="0" applyNumberFormat="1" applyFont="1" applyFill="1" applyBorder="1"/>
    <xf numFmtId="164" fontId="22" fillId="11" borderId="0" xfId="0" applyNumberFormat="1" applyFont="1" applyFill="1"/>
    <xf numFmtId="14" fontId="7" fillId="5" borderId="21" xfId="0" applyNumberFormat="1" applyFont="1" applyFill="1" applyBorder="1"/>
    <xf numFmtId="0" fontId="9" fillId="4" borderId="45" xfId="0" applyFont="1" applyFill="1" applyBorder="1" applyAlignment="1">
      <alignment horizontal="center"/>
    </xf>
    <xf numFmtId="165" fontId="12" fillId="4" borderId="0" xfId="0" applyNumberFormat="1" applyFont="1" applyFill="1"/>
    <xf numFmtId="0" fontId="11" fillId="10" borderId="0" xfId="0" applyFont="1" applyFill="1"/>
    <xf numFmtId="0" fontId="11" fillId="11" borderId="18" xfId="0" applyFont="1" applyFill="1" applyBorder="1"/>
    <xf numFmtId="0" fontId="12" fillId="8" borderId="46" xfId="0" applyFont="1" applyFill="1" applyBorder="1"/>
    <xf numFmtId="1" fontId="12" fillId="4" borderId="26" xfId="0" applyNumberFormat="1" applyFont="1" applyFill="1" applyBorder="1"/>
    <xf numFmtId="1" fontId="12" fillId="0" borderId="27" xfId="0" applyNumberFormat="1" applyFont="1" applyBorder="1"/>
    <xf numFmtId="0" fontId="12" fillId="8" borderId="47" xfId="0" applyFont="1" applyFill="1" applyBorder="1"/>
    <xf numFmtId="1" fontId="12" fillId="4" borderId="48" xfId="0" applyNumberFormat="1" applyFont="1" applyFill="1" applyBorder="1"/>
    <xf numFmtId="2" fontId="22" fillId="14" borderId="0" xfId="0" applyNumberFormat="1" applyFont="1" applyFill="1"/>
    <xf numFmtId="0" fontId="9" fillId="16" borderId="8" xfId="0" applyFont="1" applyFill="1" applyBorder="1"/>
    <xf numFmtId="17" fontId="20" fillId="0" borderId="0" xfId="0" applyNumberFormat="1" applyFont="1"/>
    <xf numFmtId="0" fontId="9" fillId="10" borderId="49" xfId="0" applyFont="1" applyFill="1" applyBorder="1"/>
    <xf numFmtId="0" fontId="21" fillId="14" borderId="18" xfId="0" applyFont="1" applyFill="1" applyBorder="1"/>
    <xf numFmtId="0" fontId="11" fillId="11" borderId="49" xfId="0" applyFont="1" applyFill="1" applyBorder="1"/>
    <xf numFmtId="0" fontId="11" fillId="4" borderId="28" xfId="0" applyFont="1" applyFill="1" applyBorder="1"/>
    <xf numFmtId="165" fontId="22" fillId="11" borderId="0" xfId="0" applyNumberFormat="1" applyFont="1" applyFill="1"/>
    <xf numFmtId="0" fontId="11" fillId="11" borderId="30" xfId="0" applyFont="1" applyFill="1" applyBorder="1"/>
    <xf numFmtId="0" fontId="11" fillId="4" borderId="37" xfId="0" applyFont="1" applyFill="1" applyBorder="1"/>
    <xf numFmtId="0" fontId="9" fillId="10" borderId="41" xfId="0" applyFont="1" applyFill="1" applyBorder="1"/>
    <xf numFmtId="0" fontId="11" fillId="0" borderId="10" xfId="0" applyFont="1" applyBorder="1"/>
    <xf numFmtId="0" fontId="11" fillId="12" borderId="32" xfId="0" applyFont="1" applyFill="1" applyBorder="1"/>
    <xf numFmtId="0" fontId="23" fillId="12" borderId="34" xfId="0" applyFont="1" applyFill="1" applyBorder="1"/>
    <xf numFmtId="0" fontId="23" fillId="10" borderId="34" xfId="0" applyFont="1" applyFill="1" applyBorder="1"/>
    <xf numFmtId="0" fontId="23" fillId="17" borderId="34" xfId="0" applyFont="1" applyFill="1" applyBorder="1"/>
    <xf numFmtId="0" fontId="23" fillId="14" borderId="34" xfId="0" applyFont="1" applyFill="1" applyBorder="1"/>
    <xf numFmtId="0" fontId="11" fillId="17" borderId="34" xfId="0" applyFont="1" applyFill="1" applyBorder="1"/>
    <xf numFmtId="0" fontId="23" fillId="2" borderId="34" xfId="0" applyFont="1" applyFill="1" applyBorder="1"/>
    <xf numFmtId="0" fontId="11" fillId="15" borderId="34" xfId="0" applyFont="1" applyFill="1" applyBorder="1"/>
    <xf numFmtId="2" fontId="23" fillId="0" borderId="0" xfId="0" applyNumberFormat="1" applyFont="1"/>
    <xf numFmtId="2" fontId="23" fillId="14" borderId="0" xfId="0" applyNumberFormat="1" applyFont="1" applyFill="1"/>
    <xf numFmtId="2" fontId="11" fillId="15" borderId="0" xfId="0" applyNumberFormat="1" applyFont="1" applyFill="1"/>
    <xf numFmtId="2" fontId="23" fillId="14" borderId="50" xfId="0" applyNumberFormat="1" applyFont="1" applyFill="1" applyBorder="1"/>
    <xf numFmtId="164" fontId="11" fillId="14" borderId="0" xfId="0" applyNumberFormat="1" applyFont="1" applyFill="1"/>
    <xf numFmtId="2" fontId="20" fillId="15" borderId="0" xfId="0" applyNumberFormat="1" applyFont="1" applyFill="1"/>
    <xf numFmtId="164" fontId="23" fillId="18" borderId="0" xfId="0" applyNumberFormat="1" applyFont="1" applyFill="1"/>
    <xf numFmtId="164" fontId="23" fillId="5" borderId="0" xfId="0" applyNumberFormat="1" applyFont="1" applyFill="1"/>
    <xf numFmtId="164" fontId="22" fillId="5" borderId="0" xfId="0" applyNumberFormat="1" applyFont="1" applyFill="1"/>
    <xf numFmtId="164" fontId="20" fillId="15" borderId="0" xfId="0" applyNumberFormat="1" applyFont="1" applyFill="1"/>
    <xf numFmtId="164" fontId="18" fillId="4" borderId="0" xfId="0" applyNumberFormat="1" applyFont="1" applyFill="1"/>
    <xf numFmtId="164" fontId="18" fillId="4" borderId="7" xfId="0" applyNumberFormat="1" applyFont="1" applyFill="1" applyBorder="1"/>
    <xf numFmtId="165" fontId="23" fillId="11" borderId="0" xfId="0" applyNumberFormat="1" applyFont="1" applyFill="1"/>
    <xf numFmtId="164" fontId="23" fillId="11" borderId="0" xfId="0" applyNumberFormat="1" applyFont="1" applyFill="1"/>
    <xf numFmtId="0" fontId="23" fillId="11" borderId="0" xfId="0" applyFont="1" applyFill="1"/>
    <xf numFmtId="0" fontId="27" fillId="10" borderId="0" xfId="0" applyFont="1" applyFill="1"/>
    <xf numFmtId="164" fontId="23" fillId="4" borderId="0" xfId="0" applyNumberFormat="1" applyFont="1" applyFill="1"/>
    <xf numFmtId="2" fontId="18" fillId="4" borderId="0" xfId="0" applyNumberFormat="1" applyFont="1" applyFill="1"/>
    <xf numFmtId="164" fontId="11" fillId="15" borderId="0" xfId="0" applyNumberFormat="1" applyFont="1" applyFill="1"/>
    <xf numFmtId="0" fontId="13" fillId="4" borderId="48" xfId="0" applyFont="1" applyFill="1" applyBorder="1"/>
    <xf numFmtId="0" fontId="20" fillId="15" borderId="0" xfId="0" applyFont="1" applyFill="1"/>
    <xf numFmtId="166" fontId="23" fillId="14" borderId="0" xfId="0" applyNumberFormat="1" applyFont="1" applyFill="1"/>
    <xf numFmtId="166" fontId="23" fillId="0" borderId="0" xfId="0" applyNumberFormat="1" applyFont="1"/>
    <xf numFmtId="166" fontId="22" fillId="0" borderId="0" xfId="0" applyNumberFormat="1" applyFont="1"/>
    <xf numFmtId="166" fontId="11" fillId="15" borderId="0" xfId="0" applyNumberFormat="1" applyFont="1" applyFill="1"/>
    <xf numFmtId="166" fontId="20" fillId="15" borderId="0" xfId="0" applyNumberFormat="1" applyFont="1" applyFill="1"/>
    <xf numFmtId="166" fontId="20" fillId="0" borderId="0" xfId="0" applyNumberFormat="1" applyFont="1"/>
    <xf numFmtId="0" fontId="30" fillId="15" borderId="0" xfId="0" applyFont="1" applyFill="1"/>
    <xf numFmtId="164" fontId="11" fillId="11" borderId="0" xfId="0" applyNumberFormat="1" applyFont="1" applyFill="1"/>
    <xf numFmtId="0" fontId="12" fillId="8" borderId="51" xfId="0" applyFont="1" applyFill="1" applyBorder="1"/>
    <xf numFmtId="0" fontId="20" fillId="4" borderId="37" xfId="0" applyFont="1" applyFill="1" applyBorder="1"/>
    <xf numFmtId="0" fontId="13" fillId="4" borderId="52" xfId="0" applyFont="1" applyFill="1" applyBorder="1"/>
    <xf numFmtId="2" fontId="12" fillId="4" borderId="13" xfId="0" applyNumberFormat="1" applyFont="1" applyFill="1" applyBorder="1"/>
    <xf numFmtId="2" fontId="18" fillId="4" borderId="4" xfId="0" applyNumberFormat="1" applyFont="1" applyFill="1" applyBorder="1"/>
    <xf numFmtId="165" fontId="12" fillId="4" borderId="5" xfId="0" applyNumberFormat="1" applyFont="1" applyFill="1" applyBorder="1"/>
    <xf numFmtId="2" fontId="18" fillId="4" borderId="5" xfId="0" applyNumberFormat="1" applyFont="1" applyFill="1" applyBorder="1"/>
    <xf numFmtId="14" fontId="9" fillId="4" borderId="46" xfId="0" applyNumberFormat="1" applyFont="1" applyFill="1" applyBorder="1"/>
    <xf numFmtId="0" fontId="10" fillId="8" borderId="19" xfId="0" applyFont="1" applyFill="1" applyBorder="1"/>
    <xf numFmtId="0" fontId="10" fillId="8" borderId="19" xfId="0" applyFont="1" applyFill="1" applyBorder="1" applyAlignment="1">
      <alignment horizontal="center"/>
    </xf>
    <xf numFmtId="0" fontId="9" fillId="8" borderId="19" xfId="0" applyFont="1" applyFill="1" applyBorder="1"/>
    <xf numFmtId="0" fontId="10" fillId="8" borderId="38" xfId="0" applyFont="1" applyFill="1" applyBorder="1"/>
    <xf numFmtId="14" fontId="15" fillId="4" borderId="47" xfId="0" applyNumberFormat="1" applyFont="1" applyFill="1" applyBorder="1"/>
    <xf numFmtId="0" fontId="9" fillId="4" borderId="38" xfId="0" applyFont="1" applyFill="1" applyBorder="1" applyAlignment="1">
      <alignment horizontal="center"/>
    </xf>
    <xf numFmtId="0" fontId="20" fillId="0" borderId="1" xfId="0" applyFont="1" applyBorder="1"/>
    <xf numFmtId="0" fontId="11" fillId="0" borderId="1" xfId="0" applyFont="1" applyBorder="1"/>
    <xf numFmtId="0" fontId="12" fillId="0" borderId="10" xfId="0" applyFont="1" applyBorder="1" applyAlignment="1">
      <alignment horizontal="center"/>
    </xf>
    <xf numFmtId="14" fontId="11" fillId="0" borderId="7" xfId="0" applyNumberFormat="1" applyFont="1" applyBorder="1"/>
    <xf numFmtId="0" fontId="11" fillId="4" borderId="30" xfId="0" applyFont="1" applyFill="1" applyBorder="1"/>
    <xf numFmtId="0" fontId="11" fillId="4" borderId="21" xfId="0" applyFont="1" applyFill="1" applyBorder="1"/>
    <xf numFmtId="0" fontId="23" fillId="18" borderId="0" xfId="0" applyFont="1" applyFill="1"/>
    <xf numFmtId="165" fontId="12" fillId="4" borderId="1" xfId="0" applyNumberFormat="1" applyFont="1" applyFill="1" applyBorder="1"/>
    <xf numFmtId="0" fontId="18" fillId="4" borderId="3" xfId="0" applyFont="1" applyFill="1" applyBorder="1"/>
    <xf numFmtId="0" fontId="20" fillId="19" borderId="16" xfId="0" applyFont="1" applyFill="1" applyBorder="1"/>
    <xf numFmtId="0" fontId="20" fillId="0" borderId="8" xfId="0" applyFont="1" applyBorder="1"/>
    <xf numFmtId="0" fontId="11" fillId="2" borderId="16" xfId="0" applyFont="1" applyFill="1" applyBorder="1"/>
    <xf numFmtId="2" fontId="20" fillId="0" borderId="8" xfId="0" applyNumberFormat="1" applyFont="1" applyBorder="1"/>
    <xf numFmtId="165" fontId="12" fillId="4" borderId="7" xfId="0" applyNumberFormat="1" applyFont="1" applyFill="1" applyBorder="1"/>
    <xf numFmtId="0" fontId="20" fillId="19" borderId="17" xfId="0" applyFont="1" applyFill="1" applyBorder="1"/>
    <xf numFmtId="0" fontId="11" fillId="2" borderId="17" xfId="0" applyFont="1" applyFill="1" applyBorder="1"/>
    <xf numFmtId="0" fontId="27" fillId="0" borderId="0" xfId="0" applyFont="1"/>
    <xf numFmtId="0" fontId="23" fillId="10" borderId="0" xfId="0" applyFont="1" applyFill="1"/>
    <xf numFmtId="165" fontId="11" fillId="20" borderId="0" xfId="0" applyNumberFormat="1" applyFont="1" applyFill="1"/>
    <xf numFmtId="165" fontId="11" fillId="15" borderId="0" xfId="0" applyNumberFormat="1" applyFont="1" applyFill="1"/>
    <xf numFmtId="165" fontId="20" fillId="15" borderId="0" xfId="0" applyNumberFormat="1" applyFont="1" applyFill="1"/>
    <xf numFmtId="165" fontId="18" fillId="4" borderId="8" xfId="0" applyNumberFormat="1" applyFont="1" applyFill="1" applyBorder="1"/>
    <xf numFmtId="164" fontId="9" fillId="0" borderId="0" xfId="0" applyNumberFormat="1" applyFont="1"/>
    <xf numFmtId="0" fontId="11" fillId="14" borderId="18" xfId="0" applyFont="1" applyFill="1" applyBorder="1"/>
    <xf numFmtId="0" fontId="23" fillId="14" borderId="29" xfId="0" applyFont="1" applyFill="1" applyBorder="1"/>
    <xf numFmtId="0" fontId="23" fillId="10" borderId="29" xfId="0" applyFont="1" applyFill="1" applyBorder="1"/>
    <xf numFmtId="0" fontId="21" fillId="14" borderId="28" xfId="0" applyFont="1" applyFill="1" applyBorder="1"/>
    <xf numFmtId="0" fontId="21" fillId="10" borderId="29" xfId="0" applyFont="1" applyFill="1" applyBorder="1"/>
    <xf numFmtId="0" fontId="21" fillId="2" borderId="28" xfId="0" applyFont="1" applyFill="1" applyBorder="1"/>
    <xf numFmtId="0" fontId="21" fillId="2" borderId="29" xfId="0" applyFont="1" applyFill="1" applyBorder="1"/>
    <xf numFmtId="0" fontId="9" fillId="2" borderId="28" xfId="0" applyFont="1" applyFill="1" applyBorder="1"/>
    <xf numFmtId="0" fontId="9" fillId="15" borderId="19" xfId="0" applyFont="1" applyFill="1" applyBorder="1"/>
    <xf numFmtId="0" fontId="9" fillId="2" borderId="19" xfId="0" applyFont="1" applyFill="1" applyBorder="1"/>
    <xf numFmtId="0" fontId="11" fillId="15" borderId="19" xfId="0" applyFont="1" applyFill="1" applyBorder="1"/>
    <xf numFmtId="0" fontId="11" fillId="2" borderId="29" xfId="0" applyFont="1" applyFill="1" applyBorder="1"/>
    <xf numFmtId="0" fontId="11" fillId="15" borderId="29" xfId="0" applyFont="1" applyFill="1" applyBorder="1"/>
    <xf numFmtId="0" fontId="11" fillId="18" borderId="0" xfId="0" applyFont="1" applyFill="1"/>
    <xf numFmtId="164" fontId="31" fillId="0" borderId="0" xfId="0" applyNumberFormat="1" applyFont="1"/>
    <xf numFmtId="164" fontId="31" fillId="15" borderId="0" xfId="0" applyNumberFormat="1" applyFont="1" applyFill="1"/>
    <xf numFmtId="2" fontId="18" fillId="4" borderId="8" xfId="0" applyNumberFormat="1" applyFont="1" applyFill="1" applyBorder="1"/>
    <xf numFmtId="164" fontId="18" fillId="4" borderId="8" xfId="0" applyNumberFormat="1" applyFont="1" applyFill="1" applyBorder="1"/>
    <xf numFmtId="0" fontId="30" fillId="4" borderId="8" xfId="0" applyFont="1" applyFill="1" applyBorder="1"/>
    <xf numFmtId="0" fontId="30" fillId="4" borderId="9" xfId="0" applyFont="1" applyFill="1" applyBorder="1"/>
    <xf numFmtId="0" fontId="30" fillId="4" borderId="0" xfId="0" applyFont="1" applyFill="1"/>
    <xf numFmtId="165" fontId="20" fillId="0" borderId="8" xfId="0" applyNumberFormat="1" applyFont="1" applyBorder="1"/>
    <xf numFmtId="0" fontId="18" fillId="8" borderId="17" xfId="0" applyFont="1" applyFill="1" applyBorder="1"/>
    <xf numFmtId="165" fontId="22" fillId="15" borderId="0" xfId="0" applyNumberFormat="1" applyFont="1" applyFill="1"/>
    <xf numFmtId="166" fontId="11" fillId="0" borderId="0" xfId="0" applyNumberFormat="1" applyFont="1"/>
    <xf numFmtId="0" fontId="20" fillId="19" borderId="13" xfId="0" applyFont="1" applyFill="1" applyBorder="1"/>
    <xf numFmtId="0" fontId="20" fillId="0" borderId="5" xfId="0" applyFont="1" applyBorder="1"/>
    <xf numFmtId="165" fontId="20" fillId="0" borderId="5" xfId="0" applyNumberFormat="1" applyFont="1" applyBorder="1"/>
    <xf numFmtId="0" fontId="11" fillId="2" borderId="13" xfId="0" applyFont="1" applyFill="1" applyBorder="1"/>
    <xf numFmtId="2" fontId="20" fillId="20" borderId="0" xfId="0" applyNumberFormat="1" applyFont="1" applyFill="1"/>
    <xf numFmtId="0" fontId="32" fillId="10" borderId="14" xfId="0" applyFont="1" applyFill="1" applyBorder="1"/>
    <xf numFmtId="1" fontId="20" fillId="20" borderId="0" xfId="0" applyNumberFormat="1" applyFont="1" applyFill="1"/>
    <xf numFmtId="1" fontId="20" fillId="15" borderId="0" xfId="0" applyNumberFormat="1" applyFont="1" applyFill="1"/>
    <xf numFmtId="0" fontId="18" fillId="8" borderId="13" xfId="0" applyFont="1" applyFill="1" applyBorder="1"/>
    <xf numFmtId="164" fontId="18" fillId="4" borderId="6" xfId="0" applyNumberFormat="1" applyFont="1" applyFill="1" applyBorder="1"/>
    <xf numFmtId="164" fontId="21" fillId="15" borderId="0" xfId="0" applyNumberFormat="1" applyFont="1" applyFill="1"/>
    <xf numFmtId="165" fontId="21" fillId="18" borderId="0" xfId="0" applyNumberFormat="1" applyFont="1" applyFill="1"/>
    <xf numFmtId="164" fontId="21" fillId="5" borderId="0" xfId="0" applyNumberFormat="1" applyFont="1" applyFill="1"/>
    <xf numFmtId="0" fontId="10" fillId="7" borderId="19" xfId="0" applyFont="1" applyFill="1" applyBorder="1"/>
    <xf numFmtId="0" fontId="10" fillId="4" borderId="42" xfId="0" applyFont="1" applyFill="1" applyBorder="1" applyAlignment="1">
      <alignment horizontal="center"/>
    </xf>
    <xf numFmtId="166" fontId="21" fillId="18" borderId="0" xfId="0" applyNumberFormat="1" applyFont="1" applyFill="1"/>
    <xf numFmtId="2" fontId="21" fillId="15" borderId="0" xfId="0" applyNumberFormat="1" applyFont="1" applyFill="1"/>
    <xf numFmtId="0" fontId="33" fillId="4" borderId="43" xfId="0" applyFont="1" applyFill="1" applyBorder="1" applyAlignment="1">
      <alignment horizontal="center"/>
    </xf>
    <xf numFmtId="2" fontId="21" fillId="5" borderId="0" xfId="0" applyNumberFormat="1" applyFont="1" applyFill="1"/>
    <xf numFmtId="165" fontId="21" fillId="15" borderId="0" xfId="0" applyNumberFormat="1" applyFont="1" applyFill="1"/>
    <xf numFmtId="0" fontId="21" fillId="15" borderId="0" xfId="0" applyFont="1" applyFill="1"/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6" fillId="7" borderId="11" xfId="0" applyFont="1" applyFill="1" applyBorder="1"/>
    <xf numFmtId="0" fontId="16" fillId="8" borderId="11" xfId="0" applyFont="1" applyFill="1" applyBorder="1" applyAlignment="1">
      <alignment horizontal="center"/>
    </xf>
    <xf numFmtId="1" fontId="3" fillId="4" borderId="1" xfId="0" applyNumberFormat="1" applyFont="1" applyFill="1" applyBorder="1"/>
    <xf numFmtId="2" fontId="3" fillId="4" borderId="2" xfId="0" applyNumberFormat="1" applyFont="1" applyFill="1" applyBorder="1"/>
    <xf numFmtId="0" fontId="34" fillId="4" borderId="3" xfId="0" applyFont="1" applyFill="1" applyBorder="1"/>
    <xf numFmtId="1" fontId="3" fillId="4" borderId="17" xfId="0" applyNumberFormat="1" applyFont="1" applyFill="1" applyBorder="1"/>
    <xf numFmtId="0" fontId="9" fillId="4" borderId="53" xfId="0" applyFont="1" applyFill="1" applyBorder="1" applyAlignment="1">
      <alignment horizontal="center"/>
    </xf>
    <xf numFmtId="0" fontId="16" fillId="4" borderId="53" xfId="0" applyFont="1" applyFill="1" applyBorder="1" applyAlignment="1">
      <alignment horizontal="center"/>
    </xf>
    <xf numFmtId="1" fontId="3" fillId="4" borderId="7" xfId="0" applyNumberFormat="1" applyFont="1" applyFill="1" applyBorder="1"/>
    <xf numFmtId="0" fontId="34" fillId="4" borderId="8" xfId="0" applyFont="1" applyFill="1" applyBorder="1"/>
    <xf numFmtId="0" fontId="34" fillId="8" borderId="22" xfId="0" applyFont="1" applyFill="1" applyBorder="1"/>
    <xf numFmtId="0" fontId="12" fillId="8" borderId="9" xfId="0" applyFont="1" applyFill="1" applyBorder="1"/>
    <xf numFmtId="0" fontId="12" fillId="4" borderId="1" xfId="0" applyFont="1" applyFill="1" applyBorder="1"/>
    <xf numFmtId="164" fontId="12" fillId="4" borderId="2" xfId="0" applyNumberFormat="1" applyFont="1" applyFill="1" applyBorder="1"/>
    <xf numFmtId="0" fontId="30" fillId="4" borderId="3" xfId="0" applyFont="1" applyFill="1" applyBorder="1"/>
    <xf numFmtId="0" fontId="34" fillId="8" borderId="47" xfId="0" applyFont="1" applyFill="1" applyBorder="1"/>
    <xf numFmtId="1" fontId="34" fillId="4" borderId="0" xfId="0" applyNumberFormat="1" applyFont="1" applyFill="1"/>
    <xf numFmtId="164" fontId="12" fillId="4" borderId="9" xfId="0" applyNumberFormat="1" applyFont="1" applyFill="1" applyBorder="1"/>
    <xf numFmtId="0" fontId="35" fillId="0" borderId="0" xfId="0" applyFont="1"/>
    <xf numFmtId="164" fontId="11" fillId="5" borderId="0" xfId="0" applyNumberFormat="1" applyFont="1" applyFill="1"/>
    <xf numFmtId="165" fontId="21" fillId="5" borderId="0" xfId="0" applyNumberFormat="1" applyFont="1" applyFill="1"/>
    <xf numFmtId="165" fontId="23" fillId="15" borderId="0" xfId="0" applyNumberFormat="1" applyFont="1" applyFill="1"/>
    <xf numFmtId="0" fontId="9" fillId="18" borderId="0" xfId="0" applyFont="1" applyFill="1"/>
    <xf numFmtId="2" fontId="21" fillId="18" borderId="0" xfId="0" applyNumberFormat="1" applyFont="1" applyFill="1"/>
    <xf numFmtId="164" fontId="23" fillId="15" borderId="0" xfId="0" applyNumberFormat="1" applyFont="1" applyFill="1"/>
    <xf numFmtId="0" fontId="9" fillId="13" borderId="0" xfId="0" applyFont="1" applyFill="1"/>
    <xf numFmtId="1" fontId="3" fillId="0" borderId="8" xfId="0" applyNumberFormat="1" applyFont="1" applyBorder="1"/>
    <xf numFmtId="0" fontId="34" fillId="4" borderId="9" xfId="0" applyFont="1" applyFill="1" applyBorder="1"/>
    <xf numFmtId="2" fontId="30" fillId="4" borderId="48" xfId="0" applyNumberFormat="1" applyFont="1" applyFill="1" applyBorder="1"/>
    <xf numFmtId="0" fontId="30" fillId="4" borderId="48" xfId="0" applyFont="1" applyFill="1" applyBorder="1"/>
    <xf numFmtId="0" fontId="9" fillId="10" borderId="21" xfId="0" applyFont="1" applyFill="1" applyBorder="1"/>
    <xf numFmtId="0" fontId="9" fillId="5" borderId="37" xfId="0" applyFont="1" applyFill="1" applyBorder="1"/>
    <xf numFmtId="0" fontId="9" fillId="5" borderId="52" xfId="0" applyFont="1" applyFill="1" applyBorder="1"/>
    <xf numFmtId="1" fontId="21" fillId="0" borderId="5" xfId="0" applyNumberFormat="1" applyFont="1" applyBorder="1"/>
    <xf numFmtId="0" fontId="11" fillId="16" borderId="17" xfId="0" applyFont="1" applyFill="1" applyBorder="1"/>
    <xf numFmtId="0" fontId="11" fillId="12" borderId="18" xfId="0" applyFont="1" applyFill="1" applyBorder="1"/>
    <xf numFmtId="0" fontId="11" fillId="12" borderId="29" xfId="0" applyFont="1" applyFill="1" applyBorder="1"/>
    <xf numFmtId="0" fontId="23" fillId="12" borderId="29" xfId="0" applyFont="1" applyFill="1" applyBorder="1"/>
    <xf numFmtId="0" fontId="23" fillId="2" borderId="29" xfId="0" applyFont="1" applyFill="1" applyBorder="1"/>
    <xf numFmtId="0" fontId="21" fillId="2" borderId="5" xfId="0" applyFont="1" applyFill="1" applyBorder="1"/>
    <xf numFmtId="1" fontId="23" fillId="2" borderId="34" xfId="0" applyNumberFormat="1" applyFont="1" applyFill="1" applyBorder="1"/>
    <xf numFmtId="164" fontId="11" fillId="2" borderId="0" xfId="0" applyNumberFormat="1" applyFont="1" applyFill="1"/>
    <xf numFmtId="0" fontId="12" fillId="8" borderId="4" xfId="0" applyFont="1" applyFill="1" applyBorder="1"/>
    <xf numFmtId="0" fontId="30" fillId="4" borderId="4" xfId="0" applyFont="1" applyFill="1" applyBorder="1"/>
    <xf numFmtId="0" fontId="30" fillId="4" borderId="6" xfId="0" applyFont="1" applyFill="1" applyBorder="1"/>
    <xf numFmtId="0" fontId="34" fillId="4" borderId="4" xfId="0" applyFont="1" applyFill="1" applyBorder="1"/>
    <xf numFmtId="1" fontId="3" fillId="4" borderId="5" xfId="0" applyNumberFormat="1" applyFont="1" applyFill="1" applyBorder="1"/>
    <xf numFmtId="1" fontId="3" fillId="4" borderId="6" xfId="0" applyNumberFormat="1" applyFont="1" applyFill="1" applyBorder="1"/>
    <xf numFmtId="1" fontId="3" fillId="4" borderId="13" xfId="0" applyNumberFormat="1" applyFont="1" applyFill="1" applyBorder="1"/>
    <xf numFmtId="0" fontId="36" fillId="0" borderId="0" xfId="0" applyFont="1" applyAlignment="1">
      <alignment vertical="top" wrapText="1"/>
    </xf>
    <xf numFmtId="0" fontId="36" fillId="0" borderId="0" xfId="0" applyFont="1" applyAlignment="1">
      <alignment horizontal="right" wrapText="1"/>
    </xf>
    <xf numFmtId="0" fontId="34" fillId="8" borderId="51" xfId="0" applyFont="1" applyFill="1" applyBorder="1"/>
    <xf numFmtId="0" fontId="30" fillId="4" borderId="37" xfId="0" applyFont="1" applyFill="1" applyBorder="1"/>
    <xf numFmtId="164" fontId="12" fillId="4" borderId="37" xfId="0" applyNumberFormat="1" applyFont="1" applyFill="1" applyBorder="1"/>
    <xf numFmtId="1" fontId="34" fillId="4" borderId="37" xfId="0" applyNumberFormat="1" applyFont="1" applyFill="1" applyBorder="1"/>
    <xf numFmtId="0" fontId="30" fillId="4" borderId="52" xfId="0" applyFont="1" applyFill="1" applyBorder="1"/>
    <xf numFmtId="0" fontId="36" fillId="0" borderId="0" xfId="0" applyFont="1" applyAlignment="1">
      <alignment horizontal="left" vertical="top" wrapText="1"/>
    </xf>
    <xf numFmtId="0" fontId="10" fillId="4" borderId="20" xfId="0" applyFont="1" applyFill="1" applyBorder="1"/>
    <xf numFmtId="0" fontId="10" fillId="4" borderId="12" xfId="0" applyFont="1" applyFill="1" applyBorder="1"/>
    <xf numFmtId="0" fontId="10" fillId="4" borderId="42" xfId="0" applyFont="1" applyFill="1" applyBorder="1"/>
    <xf numFmtId="14" fontId="7" fillId="5" borderId="10" xfId="0" applyNumberFormat="1" applyFont="1" applyFill="1" applyBorder="1"/>
    <xf numFmtId="0" fontId="16" fillId="0" borderId="2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20" fillId="4" borderId="32" xfId="0" applyFont="1" applyFill="1" applyBorder="1"/>
    <xf numFmtId="0" fontId="11" fillId="4" borderId="34" xfId="0" applyFont="1" applyFill="1" applyBorder="1"/>
    <xf numFmtId="0" fontId="20" fillId="4" borderId="34" xfId="0" applyFont="1" applyFill="1" applyBorder="1"/>
    <xf numFmtId="0" fontId="11" fillId="4" borderId="26" xfId="0" applyFont="1" applyFill="1" applyBorder="1"/>
    <xf numFmtId="0" fontId="3" fillId="4" borderId="50" xfId="0" applyFont="1" applyFill="1" applyBorder="1"/>
    <xf numFmtId="0" fontId="9" fillId="4" borderId="54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0" fontId="16" fillId="4" borderId="45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14" fontId="15" fillId="4" borderId="10" xfId="0" applyNumberFormat="1" applyFont="1" applyFill="1" applyBorder="1"/>
    <xf numFmtId="0" fontId="10" fillId="8" borderId="12" xfId="0" applyFont="1" applyFill="1" applyBorder="1"/>
    <xf numFmtId="1" fontId="12" fillId="4" borderId="9" xfId="0" applyNumberFormat="1" applyFont="1" applyFill="1" applyBorder="1"/>
    <xf numFmtId="164" fontId="18" fillId="4" borderId="17" xfId="0" applyNumberFormat="1" applyFont="1" applyFill="1" applyBorder="1"/>
    <xf numFmtId="0" fontId="12" fillId="4" borderId="7" xfId="0" applyFont="1" applyFill="1" applyBorder="1"/>
    <xf numFmtId="0" fontId="37" fillId="8" borderId="16" xfId="0" applyFont="1" applyFill="1" applyBorder="1"/>
    <xf numFmtId="165" fontId="38" fillId="4" borderId="2" xfId="0" applyNumberFormat="1" applyFont="1" applyFill="1" applyBorder="1"/>
    <xf numFmtId="0" fontId="9" fillId="4" borderId="23" xfId="0" applyFont="1" applyFill="1" applyBorder="1"/>
    <xf numFmtId="0" fontId="37" fillId="8" borderId="17" xfId="0" applyFont="1" applyFill="1" applyBorder="1"/>
    <xf numFmtId="165" fontId="38" fillId="4" borderId="0" xfId="0" applyNumberFormat="1" applyFont="1" applyFill="1"/>
    <xf numFmtId="2" fontId="12" fillId="4" borderId="16" xfId="0" applyNumberFormat="1" applyFont="1" applyFill="1" applyBorder="1"/>
    <xf numFmtId="165" fontId="10" fillId="5" borderId="16" xfId="0" applyNumberFormat="1" applyFont="1" applyFill="1" applyBorder="1"/>
    <xf numFmtId="165" fontId="10" fillId="5" borderId="17" xfId="0" applyNumberFormat="1" applyFont="1" applyFill="1" applyBorder="1"/>
    <xf numFmtId="0" fontId="11" fillId="4" borderId="7" xfId="0" applyFont="1" applyFill="1" applyBorder="1"/>
    <xf numFmtId="0" fontId="10" fillId="8" borderId="17" xfId="0" applyFont="1" applyFill="1" applyBorder="1"/>
    <xf numFmtId="164" fontId="18" fillId="4" borderId="13" xfId="0" applyNumberFormat="1" applyFont="1" applyFill="1" applyBorder="1"/>
    <xf numFmtId="0" fontId="37" fillId="8" borderId="13" xfId="0" applyFont="1" applyFill="1" applyBorder="1"/>
    <xf numFmtId="165" fontId="38" fillId="4" borderId="4" xfId="0" applyNumberFormat="1" applyFont="1" applyFill="1" applyBorder="1"/>
    <xf numFmtId="165" fontId="38" fillId="4" borderId="5" xfId="0" applyNumberFormat="1" applyFont="1" applyFill="1" applyBorder="1"/>
    <xf numFmtId="0" fontId="16" fillId="7" borderId="11" xfId="0" applyFont="1" applyFill="1" applyBorder="1" applyAlignment="1">
      <alignment horizontal="center"/>
    </xf>
    <xf numFmtId="0" fontId="16" fillId="8" borderId="11" xfId="0" applyFont="1" applyFill="1" applyBorder="1"/>
    <xf numFmtId="0" fontId="11" fillId="4" borderId="33" xfId="0" applyFont="1" applyFill="1" applyBorder="1"/>
    <xf numFmtId="0" fontId="20" fillId="4" borderId="50" xfId="0" applyFont="1" applyFill="1" applyBorder="1"/>
    <xf numFmtId="0" fontId="16" fillId="4" borderId="16" xfId="0" applyFont="1" applyFill="1" applyBorder="1" applyAlignment="1">
      <alignment horizontal="center"/>
    </xf>
    <xf numFmtId="0" fontId="11" fillId="4" borderId="53" xfId="0" applyFont="1" applyFill="1" applyBorder="1"/>
    <xf numFmtId="0" fontId="10" fillId="4" borderId="16" xfId="0" applyFont="1" applyFill="1" applyBorder="1" applyAlignment="1">
      <alignment horizontal="center"/>
    </xf>
    <xf numFmtId="2" fontId="12" fillId="4" borderId="48" xfId="0" applyNumberFormat="1" applyFont="1" applyFill="1" applyBorder="1"/>
    <xf numFmtId="0" fontId="12" fillId="4" borderId="16" xfId="0" applyFont="1" applyFill="1" applyBorder="1"/>
    <xf numFmtId="165" fontId="12" fillId="4" borderId="3" xfId="0" applyNumberFormat="1" applyFont="1" applyFill="1" applyBorder="1"/>
    <xf numFmtId="2" fontId="12" fillId="4" borderId="24" xfId="0" applyNumberFormat="1" applyFont="1" applyFill="1" applyBorder="1"/>
    <xf numFmtId="165" fontId="12" fillId="4" borderId="8" xfId="0" applyNumberFormat="1" applyFont="1" applyFill="1" applyBorder="1"/>
    <xf numFmtId="0" fontId="12" fillId="4" borderId="8" xfId="0" applyFont="1" applyFill="1" applyBorder="1"/>
    <xf numFmtId="0" fontId="12" fillId="4" borderId="37" xfId="0" applyFont="1" applyFill="1" applyBorder="1"/>
    <xf numFmtId="165" fontId="12" fillId="4" borderId="37" xfId="0" applyNumberFormat="1" applyFont="1" applyFill="1" applyBorder="1"/>
    <xf numFmtId="2" fontId="12" fillId="4" borderId="37" xfId="0" applyNumberFormat="1" applyFont="1" applyFill="1" applyBorder="1"/>
    <xf numFmtId="2" fontId="12" fillId="4" borderId="52" xfId="0" applyNumberFormat="1" applyFont="1" applyFill="1" applyBorder="1"/>
    <xf numFmtId="0" fontId="12" fillId="4" borderId="6" xfId="0" applyFont="1" applyFill="1" applyBorder="1"/>
    <xf numFmtId="0" fontId="9" fillId="4" borderId="49" xfId="0" applyFont="1" applyFill="1" applyBorder="1"/>
    <xf numFmtId="0" fontId="37" fillId="8" borderId="24" xfId="0" applyFont="1" applyFill="1" applyBorder="1"/>
    <xf numFmtId="0" fontId="39" fillId="0" borderId="18" xfId="0" applyFont="1" applyBorder="1"/>
    <xf numFmtId="0" fontId="40" fillId="0" borderId="29" xfId="0" applyFont="1" applyBorder="1"/>
    <xf numFmtId="0" fontId="34" fillId="0" borderId="29" xfId="0" applyFont="1" applyBorder="1"/>
    <xf numFmtId="0" fontId="34" fillId="0" borderId="28" xfId="0" applyFont="1" applyBorder="1"/>
    <xf numFmtId="14" fontId="10" fillId="4" borderId="46" xfId="0" applyNumberFormat="1" applyFont="1" applyFill="1" applyBorder="1"/>
    <xf numFmtId="0" fontId="14" fillId="8" borderId="11" xfId="0" applyFont="1" applyFill="1" applyBorder="1" applyAlignment="1">
      <alignment horizontal="center"/>
    </xf>
    <xf numFmtId="14" fontId="15" fillId="4" borderId="51" xfId="0" applyNumberFormat="1" applyFont="1" applyFill="1" applyBorder="1"/>
    <xf numFmtId="0" fontId="9" fillId="4" borderId="43" xfId="0" applyFont="1" applyFill="1" applyBorder="1"/>
    <xf numFmtId="0" fontId="37" fillId="8" borderId="9" xfId="0" applyFont="1" applyFill="1" applyBorder="1"/>
    <xf numFmtId="165" fontId="10" fillId="5" borderId="1" xfId="0" applyNumberFormat="1" applyFont="1" applyFill="1" applyBorder="1"/>
    <xf numFmtId="165" fontId="12" fillId="4" borderId="16" xfId="0" applyNumberFormat="1" applyFont="1" applyFill="1" applyBorder="1"/>
    <xf numFmtId="165" fontId="10" fillId="5" borderId="56" xfId="0" applyNumberFormat="1" applyFont="1" applyFill="1" applyBorder="1"/>
    <xf numFmtId="165" fontId="10" fillId="5" borderId="9" xfId="0" applyNumberFormat="1" applyFont="1" applyFill="1" applyBorder="1"/>
    <xf numFmtId="165" fontId="10" fillId="5" borderId="24" xfId="0" applyNumberFormat="1" applyFont="1" applyFill="1" applyBorder="1"/>
    <xf numFmtId="165" fontId="12" fillId="4" borderId="24" xfId="0" applyNumberFormat="1" applyFont="1" applyFill="1" applyBorder="1"/>
    <xf numFmtId="165" fontId="12" fillId="4" borderId="17" xfId="0" applyNumberFormat="1" applyFont="1" applyFill="1" applyBorder="1"/>
    <xf numFmtId="0" fontId="9" fillId="4" borderId="49" xfId="0" applyFont="1" applyFill="1" applyBorder="1" applyAlignment="1">
      <alignment horizontal="center"/>
    </xf>
    <xf numFmtId="0" fontId="12" fillId="7" borderId="16" xfId="0" applyFont="1" applyFill="1" applyBorder="1"/>
    <xf numFmtId="0" fontId="12" fillId="7" borderId="17" xfId="0" applyFont="1" applyFill="1" applyBorder="1"/>
    <xf numFmtId="165" fontId="10" fillId="5" borderId="8" xfId="0" applyNumberFormat="1" applyFont="1" applyFill="1" applyBorder="1"/>
    <xf numFmtId="164" fontId="10" fillId="4" borderId="7" xfId="0" applyNumberFormat="1" applyFont="1" applyFill="1" applyBorder="1"/>
    <xf numFmtId="164" fontId="10" fillId="4" borderId="9" xfId="0" applyNumberFormat="1" applyFont="1" applyFill="1" applyBorder="1"/>
    <xf numFmtId="164" fontId="10" fillId="4" borderId="24" xfId="0" applyNumberFormat="1" applyFont="1" applyFill="1" applyBorder="1"/>
    <xf numFmtId="164" fontId="10" fillId="5" borderId="8" xfId="0" applyNumberFormat="1" applyFont="1" applyFill="1" applyBorder="1"/>
    <xf numFmtId="165" fontId="10" fillId="4" borderId="0" xfId="0" applyNumberFormat="1" applyFont="1" applyFill="1"/>
    <xf numFmtId="0" fontId="10" fillId="8" borderId="9" xfId="0" applyFont="1" applyFill="1" applyBorder="1"/>
    <xf numFmtId="164" fontId="10" fillId="5" borderId="0" xfId="0" applyNumberFormat="1" applyFont="1" applyFill="1"/>
    <xf numFmtId="164" fontId="10" fillId="4" borderId="0" xfId="0" applyNumberFormat="1" applyFont="1" applyFill="1"/>
    <xf numFmtId="164" fontId="10" fillId="5" borderId="24" xfId="0" applyNumberFormat="1" applyFont="1" applyFill="1" applyBorder="1"/>
    <xf numFmtId="164" fontId="10" fillId="5" borderId="9" xfId="0" applyNumberFormat="1" applyFont="1" applyFill="1" applyBorder="1"/>
    <xf numFmtId="0" fontId="10" fillId="8" borderId="7" xfId="0" applyFont="1" applyFill="1" applyBorder="1"/>
    <xf numFmtId="164" fontId="10" fillId="4" borderId="4" xfId="0" applyNumberFormat="1" applyFont="1" applyFill="1" applyBorder="1"/>
    <xf numFmtId="164" fontId="10" fillId="4" borderId="13" xfId="0" applyNumberFormat="1" applyFont="1" applyFill="1" applyBorder="1"/>
    <xf numFmtId="0" fontId="12" fillId="7" borderId="13" xfId="0" applyFont="1" applyFill="1" applyBorder="1"/>
    <xf numFmtId="0" fontId="10" fillId="8" borderId="4" xfId="0" applyFont="1" applyFill="1" applyBorder="1"/>
    <xf numFmtId="0" fontId="30" fillId="4" borderId="25" xfId="0" applyFont="1" applyFill="1" applyBorder="1"/>
    <xf numFmtId="0" fontId="41" fillId="4" borderId="26" xfId="0" applyFont="1" applyFill="1" applyBorder="1"/>
    <xf numFmtId="0" fontId="42" fillId="4" borderId="26" xfId="0" applyFont="1" applyFill="1" applyBorder="1"/>
    <xf numFmtId="0" fontId="30" fillId="0" borderId="0" xfId="0" applyFont="1"/>
    <xf numFmtId="0" fontId="18" fillId="4" borderId="26" xfId="0" applyFont="1" applyFill="1" applyBorder="1"/>
    <xf numFmtId="0" fontId="18" fillId="4" borderId="27" xfId="0" applyFont="1" applyFill="1" applyBorder="1"/>
    <xf numFmtId="0" fontId="37" fillId="8" borderId="4" xfId="0" applyFont="1" applyFill="1" applyBorder="1"/>
    <xf numFmtId="164" fontId="10" fillId="5" borderId="5" xfId="0" applyNumberFormat="1" applyFont="1" applyFill="1" applyBorder="1"/>
    <xf numFmtId="164" fontId="10" fillId="5" borderId="4" xfId="0" applyNumberFormat="1" applyFont="1" applyFill="1" applyBorder="1"/>
    <xf numFmtId="165" fontId="12" fillId="4" borderId="13" xfId="0" applyNumberFormat="1" applyFont="1" applyFill="1" applyBorder="1"/>
    <xf numFmtId="165" fontId="10" fillId="5" borderId="13" xfId="0" applyNumberFormat="1" applyFont="1" applyFill="1" applyBorder="1"/>
    <xf numFmtId="164" fontId="10" fillId="4" borderId="5" xfId="0" applyNumberFormat="1" applyFont="1" applyFill="1" applyBorder="1"/>
    <xf numFmtId="165" fontId="12" fillId="4" borderId="6" xfId="0" applyNumberFormat="1" applyFont="1" applyFill="1" applyBorder="1"/>
    <xf numFmtId="0" fontId="30" fillId="4" borderId="57" xfId="0" applyFont="1" applyFill="1" applyBorder="1"/>
    <xf numFmtId="0" fontId="10" fillId="0" borderId="0" xfId="0" applyFont="1"/>
    <xf numFmtId="0" fontId="43" fillId="4" borderId="0" xfId="0" applyFont="1" applyFill="1"/>
    <xf numFmtId="0" fontId="44" fillId="4" borderId="0" xfId="0" applyFont="1" applyFill="1"/>
    <xf numFmtId="0" fontId="37" fillId="0" borderId="0" xfId="0" applyFont="1"/>
    <xf numFmtId="0" fontId="42" fillId="4" borderId="0" xfId="0" applyFont="1" applyFill="1"/>
    <xf numFmtId="0" fontId="30" fillId="4" borderId="58" xfId="0" applyFont="1" applyFill="1" applyBorder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34" fillId="4" borderId="0" xfId="0" applyFont="1" applyFill="1"/>
    <xf numFmtId="0" fontId="4" fillId="4" borderId="34" xfId="0" applyFont="1" applyFill="1" applyBorder="1"/>
    <xf numFmtId="0" fontId="3" fillId="4" borderId="34" xfId="0" applyFont="1" applyFill="1" applyBorder="1"/>
    <xf numFmtId="0" fontId="4" fillId="4" borderId="33" xfId="0" applyFont="1" applyFill="1" applyBorder="1"/>
    <xf numFmtId="0" fontId="4" fillId="4" borderId="26" xfId="0" applyFont="1" applyFill="1" applyBorder="1"/>
    <xf numFmtId="0" fontId="12" fillId="4" borderId="50" xfId="0" applyFont="1" applyFill="1" applyBorder="1"/>
    <xf numFmtId="0" fontId="4" fillId="4" borderId="27" xfId="0" applyFont="1" applyFill="1" applyBorder="1"/>
    <xf numFmtId="0" fontId="10" fillId="8" borderId="20" xfId="0" applyFont="1" applyFill="1" applyBorder="1"/>
    <xf numFmtId="0" fontId="10" fillId="8" borderId="20" xfId="0" applyFont="1" applyFill="1" applyBorder="1" applyAlignment="1">
      <alignment horizontal="center"/>
    </xf>
    <xf numFmtId="0" fontId="9" fillId="8" borderId="39" xfId="0" applyFont="1" applyFill="1" applyBorder="1"/>
    <xf numFmtId="0" fontId="9" fillId="8" borderId="11" xfId="0" applyFont="1" applyFill="1" applyBorder="1"/>
    <xf numFmtId="0" fontId="9" fillId="8" borderId="12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5" fillId="4" borderId="55" xfId="0" applyFont="1" applyFill="1" applyBorder="1" applyAlignment="1">
      <alignment horizontal="center"/>
    </xf>
    <xf numFmtId="0" fontId="15" fillId="4" borderId="53" xfId="0" applyFont="1" applyFill="1" applyBorder="1" applyAlignment="1">
      <alignment horizontal="center"/>
    </xf>
    <xf numFmtId="0" fontId="15" fillId="4" borderId="45" xfId="0" applyFont="1" applyFill="1" applyBorder="1" applyAlignment="1">
      <alignment horizontal="center"/>
    </xf>
    <xf numFmtId="2" fontId="12" fillId="0" borderId="1" xfId="0" applyNumberFormat="1" applyFont="1" applyBorder="1"/>
    <xf numFmtId="0" fontId="12" fillId="0" borderId="2" xfId="0" applyFont="1" applyBorder="1"/>
    <xf numFmtId="1" fontId="12" fillId="0" borderId="2" xfId="0" applyNumberFormat="1" applyFont="1" applyBorder="1"/>
    <xf numFmtId="1" fontId="12" fillId="0" borderId="3" xfId="0" applyNumberFormat="1" applyFont="1" applyBorder="1"/>
    <xf numFmtId="0" fontId="12" fillId="0" borderId="1" xfId="0" applyFont="1" applyBorder="1"/>
    <xf numFmtId="165" fontId="12" fillId="0" borderId="2" xfId="0" applyNumberFormat="1" applyFont="1" applyBorder="1"/>
    <xf numFmtId="0" fontId="4" fillId="0" borderId="1" xfId="0" applyFont="1" applyBorder="1"/>
    <xf numFmtId="164" fontId="12" fillId="0" borderId="1" xfId="0" applyNumberFormat="1" applyFont="1" applyBorder="1"/>
    <xf numFmtId="1" fontId="12" fillId="0" borderId="0" xfId="0" applyNumberFormat="1" applyFont="1"/>
    <xf numFmtId="165" fontId="12" fillId="0" borderId="9" xfId="0" applyNumberFormat="1" applyFont="1" applyBorder="1"/>
    <xf numFmtId="1" fontId="12" fillId="0" borderId="9" xfId="0" applyNumberFormat="1" applyFont="1" applyBorder="1"/>
    <xf numFmtId="0" fontId="12" fillId="0" borderId="3" xfId="0" applyFont="1" applyBorder="1"/>
    <xf numFmtId="1" fontId="12" fillId="0" borderId="16" xfId="0" applyNumberFormat="1" applyFont="1" applyBorder="1"/>
    <xf numFmtId="164" fontId="12" fillId="0" borderId="2" xfId="0" applyNumberFormat="1" applyFont="1" applyBorder="1"/>
    <xf numFmtId="2" fontId="12" fillId="0" borderId="9" xfId="0" applyNumberFormat="1" applyFont="1" applyBorder="1"/>
    <xf numFmtId="2" fontId="12" fillId="0" borderId="0" xfId="0" applyNumberFormat="1" applyFont="1"/>
    <xf numFmtId="1" fontId="12" fillId="0" borderId="8" xfId="0" applyNumberFormat="1" applyFont="1" applyBorder="1"/>
    <xf numFmtId="164" fontId="12" fillId="0" borderId="9" xfId="0" applyNumberFormat="1" applyFont="1" applyBorder="1"/>
    <xf numFmtId="0" fontId="4" fillId="0" borderId="9" xfId="0" applyFont="1" applyBorder="1"/>
    <xf numFmtId="0" fontId="12" fillId="0" borderId="9" xfId="0" applyFont="1" applyBorder="1"/>
    <xf numFmtId="2" fontId="12" fillId="0" borderId="8" xfId="0" applyNumberFormat="1" applyFont="1" applyBorder="1"/>
    <xf numFmtId="1" fontId="12" fillId="0" borderId="24" xfId="0" applyNumberFormat="1" applyFont="1" applyBorder="1"/>
    <xf numFmtId="0" fontId="12" fillId="0" borderId="0" xfId="0" applyFont="1"/>
    <xf numFmtId="0" fontId="12" fillId="0" borderId="8" xfId="0" applyFont="1" applyBorder="1"/>
    <xf numFmtId="165" fontId="12" fillId="0" borderId="0" xfId="0" applyNumberFormat="1" applyFont="1"/>
    <xf numFmtId="0" fontId="4" fillId="0" borderId="8" xfId="0" applyFont="1" applyBorder="1"/>
    <xf numFmtId="0" fontId="4" fillId="0" borderId="24" xfId="0" applyFont="1" applyBorder="1"/>
    <xf numFmtId="0" fontId="12" fillId="4" borderId="48" xfId="0" applyFont="1" applyFill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4" fontId="12" fillId="0" borderId="4" xfId="0" applyNumberFormat="1" applyFont="1" applyBorder="1"/>
    <xf numFmtId="0" fontId="12" fillId="0" borderId="13" xfId="0" applyFont="1" applyBorder="1"/>
    <xf numFmtId="0" fontId="4" fillId="0" borderId="13" xfId="0" applyFont="1" applyBorder="1"/>
    <xf numFmtId="0" fontId="12" fillId="4" borderId="52" xfId="0" applyFont="1" applyFill="1" applyBorder="1"/>
    <xf numFmtId="14" fontId="7" fillId="4" borderId="10" xfId="0" applyNumberFormat="1" applyFont="1" applyFill="1" applyBorder="1"/>
    <xf numFmtId="0" fontId="10" fillId="0" borderId="12" xfId="0" applyFont="1" applyBorder="1"/>
    <xf numFmtId="0" fontId="16" fillId="0" borderId="59" xfId="0" applyFont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16" fillId="8" borderId="28" xfId="0" applyFont="1" applyFill="1" applyBorder="1"/>
    <xf numFmtId="0" fontId="16" fillId="8" borderId="19" xfId="0" applyFont="1" applyFill="1" applyBorder="1"/>
    <xf numFmtId="0" fontId="16" fillId="0" borderId="42" xfId="0" applyFont="1" applyBorder="1"/>
    <xf numFmtId="0" fontId="16" fillId="0" borderId="42" xfId="0" applyFont="1" applyBorder="1" applyAlignment="1">
      <alignment horizontal="center"/>
    </xf>
    <xf numFmtId="0" fontId="10" fillId="4" borderId="54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14" fontId="15" fillId="4" borderId="14" xfId="0" applyNumberFormat="1" applyFont="1" applyFill="1" applyBorder="1"/>
    <xf numFmtId="0" fontId="9" fillId="4" borderId="28" xfId="0" applyFont="1" applyFill="1" applyBorder="1" applyAlignment="1">
      <alignment horizontal="center"/>
    </xf>
    <xf numFmtId="164" fontId="12" fillId="4" borderId="24" xfId="0" applyNumberFormat="1" applyFont="1" applyFill="1" applyBorder="1"/>
    <xf numFmtId="0" fontId="12" fillId="4" borderId="3" xfId="0" applyFont="1" applyFill="1" applyBorder="1"/>
    <xf numFmtId="0" fontId="12" fillId="4" borderId="17" xfId="0" applyFont="1" applyFill="1" applyBorder="1"/>
    <xf numFmtId="0" fontId="12" fillId="4" borderId="9" xfId="0" applyFont="1" applyFill="1" applyBorder="1"/>
    <xf numFmtId="164" fontId="12" fillId="4" borderId="13" xfId="0" applyNumberFormat="1" applyFont="1" applyFill="1" applyBorder="1"/>
    <xf numFmtId="0" fontId="12" fillId="4" borderId="4" xfId="0" applyFont="1" applyFill="1" applyBorder="1"/>
    <xf numFmtId="0" fontId="11" fillId="0" borderId="37" xfId="0" applyFont="1" applyBorder="1"/>
    <xf numFmtId="14" fontId="15" fillId="5" borderId="10" xfId="0" applyNumberFormat="1" applyFont="1" applyFill="1" applyBorder="1"/>
    <xf numFmtId="0" fontId="16" fillId="7" borderId="39" xfId="0" applyFont="1" applyFill="1" applyBorder="1" applyAlignment="1">
      <alignment horizontal="center"/>
    </xf>
    <xf numFmtId="0" fontId="14" fillId="7" borderId="13" xfId="0" applyFont="1" applyFill="1" applyBorder="1"/>
    <xf numFmtId="0" fontId="10" fillId="7" borderId="39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14" fontId="7" fillId="5" borderId="58" xfId="0" applyNumberFormat="1" applyFont="1" applyFill="1" applyBorder="1"/>
    <xf numFmtId="0" fontId="12" fillId="8" borderId="57" xfId="0" applyFont="1" applyFill="1" applyBorder="1"/>
    <xf numFmtId="1" fontId="12" fillId="4" borderId="44" xfId="0" applyNumberFormat="1" applyFont="1" applyFill="1" applyBorder="1"/>
    <xf numFmtId="165" fontId="12" fillId="4" borderId="9" xfId="0" applyNumberFormat="1" applyFont="1" applyFill="1" applyBorder="1"/>
    <xf numFmtId="0" fontId="12" fillId="8" borderId="58" xfId="0" applyFont="1" applyFill="1" applyBorder="1"/>
    <xf numFmtId="0" fontId="12" fillId="4" borderId="60" xfId="0" applyFont="1" applyFill="1" applyBorder="1"/>
    <xf numFmtId="0" fontId="15" fillId="4" borderId="19" xfId="0" applyFont="1" applyFill="1" applyBorder="1" applyAlignment="1">
      <alignment horizontal="center"/>
    </xf>
    <xf numFmtId="14" fontId="15" fillId="5" borderId="23" xfId="0" applyNumberFormat="1" applyFont="1" applyFill="1" applyBorder="1"/>
    <xf numFmtId="0" fontId="16" fillId="7" borderId="28" xfId="0" applyFont="1" applyFill="1" applyBorder="1" applyAlignment="1">
      <alignment horizontal="center"/>
    </xf>
    <xf numFmtId="0" fontId="16" fillId="7" borderId="19" xfId="0" applyFont="1" applyFill="1" applyBorder="1"/>
    <xf numFmtId="0" fontId="14" fillId="7" borderId="39" xfId="0" applyFont="1" applyFill="1" applyBorder="1" applyAlignment="1">
      <alignment horizontal="center"/>
    </xf>
    <xf numFmtId="0" fontId="33" fillId="7" borderId="39" xfId="0" applyFont="1" applyFill="1" applyBorder="1" applyAlignment="1">
      <alignment horizontal="center"/>
    </xf>
    <xf numFmtId="14" fontId="7" fillId="5" borderId="61" xfId="0" applyNumberFormat="1" applyFont="1" applyFill="1" applyBorder="1"/>
    <xf numFmtId="14" fontId="15" fillId="5" borderId="58" xfId="0" applyNumberFormat="1" applyFont="1" applyFill="1" applyBorder="1"/>
    <xf numFmtId="0" fontId="7" fillId="4" borderId="28" xfId="0" applyFont="1" applyFill="1" applyBorder="1" applyAlignment="1">
      <alignment horizontal="center"/>
    </xf>
    <xf numFmtId="1" fontId="12" fillId="21" borderId="2" xfId="0" applyNumberFormat="1" applyFont="1" applyFill="1" applyBorder="1"/>
    <xf numFmtId="1" fontId="12" fillId="21" borderId="3" xfId="0" applyNumberFormat="1" applyFont="1" applyFill="1" applyBorder="1"/>
    <xf numFmtId="1" fontId="12" fillId="21" borderId="0" xfId="0" applyNumberFormat="1" applyFont="1" applyFill="1"/>
    <xf numFmtId="1" fontId="12" fillId="21" borderId="8" xfId="0" applyNumberFormat="1" applyFont="1" applyFill="1" applyBorder="1"/>
    <xf numFmtId="0" fontId="11" fillId="21" borderId="0" xfId="0" applyFont="1" applyFill="1"/>
    <xf numFmtId="0" fontId="11" fillId="21" borderId="8" xfId="0" applyFont="1" applyFill="1" applyBorder="1"/>
    <xf numFmtId="0" fontId="11" fillId="21" borderId="5" xfId="0" applyFont="1" applyFill="1" applyBorder="1"/>
    <xf numFmtId="0" fontId="11" fillId="21" borderId="6" xfId="0" applyFont="1" applyFill="1" applyBorder="1"/>
    <xf numFmtId="0" fontId="15" fillId="4" borderId="3" xfId="0" applyFont="1" applyFill="1" applyBorder="1" applyAlignment="1">
      <alignment horizontal="center"/>
    </xf>
    <xf numFmtId="0" fontId="11" fillId="0" borderId="62" xfId="0" applyFont="1" applyBorder="1"/>
    <xf numFmtId="0" fontId="14" fillId="8" borderId="11" xfId="0" applyFont="1" applyFill="1" applyBorder="1"/>
    <xf numFmtId="0" fontId="14" fillId="7" borderId="28" xfId="0" applyFont="1" applyFill="1" applyBorder="1" applyAlignment="1">
      <alignment horizontal="center"/>
    </xf>
    <xf numFmtId="164" fontId="12" fillId="4" borderId="16" xfId="0" applyNumberFormat="1" applyFont="1" applyFill="1" applyBorder="1"/>
    <xf numFmtId="1" fontId="12" fillId="4" borderId="24" xfId="0" applyNumberFormat="1" applyFont="1" applyFill="1" applyBorder="1"/>
    <xf numFmtId="0" fontId="1" fillId="0" borderId="0" xfId="0" applyFont="1"/>
    <xf numFmtId="0" fontId="12" fillId="4" borderId="24" xfId="0" applyFont="1" applyFill="1" applyBorder="1"/>
    <xf numFmtId="0" fontId="12" fillId="4" borderId="13" xfId="0" applyFont="1" applyFill="1" applyBorder="1"/>
    <xf numFmtId="165" fontId="12" fillId="4" borderId="44" xfId="0" applyNumberFormat="1" applyFont="1" applyFill="1" applyBorder="1"/>
    <xf numFmtId="165" fontId="12" fillId="4" borderId="48" xfId="0" applyNumberFormat="1" applyFont="1" applyFill="1" applyBorder="1"/>
    <xf numFmtId="165" fontId="12" fillId="4" borderId="52" xfId="0" applyNumberFormat="1" applyFont="1" applyFill="1" applyBorder="1"/>
    <xf numFmtId="0" fontId="29" fillId="0" borderId="10" xfId="0" applyFont="1" applyBorder="1"/>
    <xf numFmtId="0" fontId="48" fillId="22" borderId="28" xfId="0" applyFont="1" applyFill="1" applyBorder="1"/>
    <xf numFmtId="0" fontId="48" fillId="22" borderId="19" xfId="0" applyFont="1" applyFill="1" applyBorder="1" applyAlignment="1">
      <alignment horizontal="center"/>
    </xf>
    <xf numFmtId="0" fontId="49" fillId="22" borderId="28" xfId="0" applyFont="1" applyFill="1" applyBorder="1"/>
    <xf numFmtId="0" fontId="49" fillId="22" borderId="19" xfId="0" applyFont="1" applyFill="1" applyBorder="1"/>
    <xf numFmtId="14" fontId="49" fillId="0" borderId="21" xfId="0" applyNumberFormat="1" applyFont="1" applyBorder="1"/>
    <xf numFmtId="0" fontId="19" fillId="4" borderId="28" xfId="0" applyFont="1" applyFill="1" applyBorder="1" applyAlignment="1">
      <alignment horizontal="center"/>
    </xf>
    <xf numFmtId="0" fontId="22" fillId="4" borderId="19" xfId="0" applyFont="1" applyFill="1" applyBorder="1"/>
    <xf numFmtId="0" fontId="22" fillId="4" borderId="28" xfId="0" applyFont="1" applyFill="1" applyBorder="1"/>
    <xf numFmtId="0" fontId="12" fillId="22" borderId="24" xfId="0" applyFont="1" applyFill="1" applyBorder="1"/>
    <xf numFmtId="2" fontId="12" fillId="21" borderId="3" xfId="0" applyNumberFormat="1" applyFont="1" applyFill="1" applyBorder="1"/>
    <xf numFmtId="0" fontId="12" fillId="22" borderId="17" xfId="0" applyFont="1" applyFill="1" applyBorder="1"/>
    <xf numFmtId="2" fontId="12" fillId="21" borderId="8" xfId="0" applyNumberFormat="1" applyFont="1" applyFill="1" applyBorder="1"/>
    <xf numFmtId="2" fontId="20" fillId="4" borderId="8" xfId="0" applyNumberFormat="1" applyFont="1" applyFill="1" applyBorder="1"/>
    <xf numFmtId="0" fontId="12" fillId="22" borderId="13" xfId="0" applyFont="1" applyFill="1" applyBorder="1"/>
    <xf numFmtId="1" fontId="20" fillId="4" borderId="4" xfId="0" applyNumberFormat="1" applyFont="1" applyFill="1" applyBorder="1"/>
    <xf numFmtId="1" fontId="20" fillId="4" borderId="5" xfId="0" applyNumberFormat="1" applyFont="1" applyFill="1" applyBorder="1"/>
    <xf numFmtId="165" fontId="20" fillId="4" borderId="5" xfId="0" applyNumberFormat="1" applyFont="1" applyFill="1" applyBorder="1"/>
    <xf numFmtId="2" fontId="20" fillId="4" borderId="6" xfId="0" applyNumberFormat="1" applyFont="1" applyFill="1" applyBorder="1"/>
    <xf numFmtId="0" fontId="34" fillId="0" borderId="0" xfId="0" applyFont="1"/>
    <xf numFmtId="0" fontId="16" fillId="5" borderId="10" xfId="0" applyFont="1" applyFill="1" applyBorder="1"/>
    <xf numFmtId="0" fontId="50" fillId="8" borderId="28" xfId="0" applyFont="1" applyFill="1" applyBorder="1" applyAlignment="1">
      <alignment horizontal="center"/>
    </xf>
    <xf numFmtId="0" fontId="50" fillId="0" borderId="42" xfId="0" applyFont="1" applyBorder="1" applyAlignment="1">
      <alignment horizontal="center"/>
    </xf>
    <xf numFmtId="14" fontId="9" fillId="5" borderId="21" xfId="0" applyNumberFormat="1" applyFont="1" applyFill="1" applyBorder="1"/>
    <xf numFmtId="0" fontId="12" fillId="5" borderId="15" xfId="0" applyFont="1" applyFill="1" applyBorder="1"/>
    <xf numFmtId="0" fontId="12" fillId="5" borderId="19" xfId="0" applyFont="1" applyFill="1" applyBorder="1"/>
    <xf numFmtId="0" fontId="12" fillId="5" borderId="16" xfId="0" applyFont="1" applyFill="1" applyBorder="1"/>
    <xf numFmtId="0" fontId="51" fillId="0" borderId="18" xfId="0" applyFont="1" applyBorder="1"/>
    <xf numFmtId="1" fontId="52" fillId="4" borderId="14" xfId="0" applyNumberFormat="1" applyFont="1" applyFill="1" applyBorder="1"/>
    <xf numFmtId="0" fontId="10" fillId="16" borderId="25" xfId="0" applyFont="1" applyFill="1" applyBorder="1"/>
    <xf numFmtId="0" fontId="10" fillId="16" borderId="26" xfId="0" applyFont="1" applyFill="1" applyBorder="1"/>
    <xf numFmtId="0" fontId="10" fillId="16" borderId="27" xfId="0" applyFont="1" applyFill="1" applyBorder="1"/>
    <xf numFmtId="0" fontId="53" fillId="0" borderId="0" xfId="0" applyFont="1"/>
    <xf numFmtId="0" fontId="51" fillId="0" borderId="0" xfId="0" applyFont="1"/>
    <xf numFmtId="2" fontId="45" fillId="0" borderId="0" xfId="0" applyNumberFormat="1" applyFont="1"/>
    <xf numFmtId="0" fontId="16" fillId="8" borderId="9" xfId="0" applyFont="1" applyFill="1" applyBorder="1"/>
    <xf numFmtId="2" fontId="16" fillId="4" borderId="9" xfId="0" applyNumberFormat="1" applyFont="1" applyFill="1" applyBorder="1"/>
    <xf numFmtId="2" fontId="16" fillId="4" borderId="16" xfId="0" applyNumberFormat="1" applyFont="1" applyFill="1" applyBorder="1"/>
    <xf numFmtId="164" fontId="10" fillId="4" borderId="3" xfId="0" applyNumberFormat="1" applyFont="1" applyFill="1" applyBorder="1"/>
    <xf numFmtId="1" fontId="16" fillId="4" borderId="16" xfId="0" applyNumberFormat="1" applyFont="1" applyFill="1" applyBorder="1"/>
    <xf numFmtId="0" fontId="4" fillId="10" borderId="63" xfId="0" applyFont="1" applyFill="1" applyBorder="1"/>
    <xf numFmtId="0" fontId="7" fillId="10" borderId="55" xfId="0" applyFont="1" applyFill="1" applyBorder="1"/>
    <xf numFmtId="0" fontId="7" fillId="16" borderId="37" xfId="0" applyFont="1" applyFill="1" applyBorder="1"/>
    <xf numFmtId="0" fontId="7" fillId="2" borderId="64" xfId="0" applyFont="1" applyFill="1" applyBorder="1"/>
    <xf numFmtId="14" fontId="15" fillId="2" borderId="65" xfId="0" applyNumberFormat="1" applyFont="1" applyFill="1" applyBorder="1"/>
    <xf numFmtId="0" fontId="54" fillId="0" borderId="0" xfId="0" applyFont="1"/>
    <xf numFmtId="0" fontId="49" fillId="0" borderId="0" xfId="0" applyFont="1"/>
    <xf numFmtId="14" fontId="55" fillId="0" borderId="16" xfId="0" applyNumberFormat="1" applyFont="1" applyBorder="1"/>
    <xf numFmtId="0" fontId="53" fillId="10" borderId="0" xfId="0" applyFont="1" applyFill="1"/>
    <xf numFmtId="0" fontId="53" fillId="10" borderId="1" xfId="0" applyFont="1" applyFill="1" applyBorder="1"/>
    <xf numFmtId="0" fontId="53" fillId="10" borderId="3" xfId="0" applyFont="1" applyFill="1" applyBorder="1"/>
    <xf numFmtId="0" fontId="53" fillId="10" borderId="2" xfId="0" applyFont="1" applyFill="1" applyBorder="1" applyAlignment="1">
      <alignment horizontal="center"/>
    </xf>
    <xf numFmtId="0" fontId="53" fillId="10" borderId="2" xfId="0" applyFont="1" applyFill="1" applyBorder="1"/>
    <xf numFmtId="14" fontId="37" fillId="0" borderId="16" xfId="0" applyNumberFormat="1" applyFont="1" applyBorder="1"/>
    <xf numFmtId="0" fontId="3" fillId="8" borderId="1" xfId="0" applyFont="1" applyFill="1" applyBorder="1"/>
    <xf numFmtId="0" fontId="3" fillId="8" borderId="3" xfId="0" applyFont="1" applyFill="1" applyBorder="1"/>
    <xf numFmtId="14" fontId="55" fillId="4" borderId="10" xfId="0" applyNumberFormat="1" applyFont="1" applyFill="1" applyBorder="1"/>
    <xf numFmtId="0" fontId="3" fillId="8" borderId="28" xfId="0" applyFont="1" applyFill="1" applyBorder="1"/>
    <xf numFmtId="0" fontId="3" fillId="8" borderId="2" xfId="0" applyFont="1" applyFill="1" applyBorder="1"/>
    <xf numFmtId="0" fontId="3" fillId="8" borderId="19" xfId="0" applyFont="1" applyFill="1" applyBorder="1"/>
    <xf numFmtId="166" fontId="9" fillId="0" borderId="0" xfId="0" applyNumberFormat="1" applyFont="1"/>
    <xf numFmtId="0" fontId="10" fillId="5" borderId="10" xfId="0" applyFont="1" applyFill="1" applyBorder="1"/>
    <xf numFmtId="2" fontId="16" fillId="4" borderId="24" xfId="0" applyNumberFormat="1" applyFont="1" applyFill="1" applyBorder="1"/>
    <xf numFmtId="164" fontId="10" fillId="4" borderId="8" xfId="0" applyNumberFormat="1" applyFont="1" applyFill="1" applyBorder="1"/>
    <xf numFmtId="1" fontId="16" fillId="4" borderId="17" xfId="0" applyNumberFormat="1" applyFont="1" applyFill="1" applyBorder="1"/>
    <xf numFmtId="2" fontId="16" fillId="4" borderId="17" xfId="0" applyNumberFormat="1" applyFont="1" applyFill="1" applyBorder="1"/>
    <xf numFmtId="0" fontId="37" fillId="5" borderId="16" xfId="0" applyFont="1" applyFill="1" applyBorder="1"/>
    <xf numFmtId="0" fontId="16" fillId="8" borderId="16" xfId="0" applyFont="1" applyFill="1" applyBorder="1"/>
    <xf numFmtId="0" fontId="10" fillId="8" borderId="16" xfId="0" applyFont="1" applyFill="1" applyBorder="1"/>
    <xf numFmtId="0" fontId="56" fillId="4" borderId="19" xfId="0" applyFont="1" applyFill="1" applyBorder="1"/>
    <xf numFmtId="14" fontId="55" fillId="0" borderId="13" xfId="0" applyNumberFormat="1" applyFont="1" applyBorder="1"/>
    <xf numFmtId="0" fontId="53" fillId="0" borderId="18" xfId="0" applyFont="1" applyBorder="1"/>
    <xf numFmtId="0" fontId="53" fillId="0" borderId="29" xfId="0" applyFont="1" applyBorder="1"/>
    <xf numFmtId="0" fontId="53" fillId="0" borderId="28" xfId="0" applyFont="1" applyBorder="1"/>
    <xf numFmtId="0" fontId="53" fillId="0" borderId="2" xfId="0" applyFont="1" applyBorder="1"/>
    <xf numFmtId="0" fontId="53" fillId="0" borderId="3" xfId="0" applyFont="1" applyBorder="1"/>
    <xf numFmtId="14" fontId="28" fillId="0" borderId="13" xfId="0" applyNumberFormat="1" applyFont="1" applyBorder="1"/>
    <xf numFmtId="0" fontId="30" fillId="0" borderId="30" xfId="0" applyFont="1" applyBorder="1"/>
    <xf numFmtId="0" fontId="30" fillId="0" borderId="6" xfId="0" applyFont="1" applyBorder="1"/>
    <xf numFmtId="14" fontId="28" fillId="4" borderId="21" xfId="0" applyNumberFormat="1" applyFont="1" applyFill="1" applyBorder="1"/>
    <xf numFmtId="0" fontId="54" fillId="0" borderId="28" xfId="0" applyFont="1" applyBorder="1"/>
    <xf numFmtId="0" fontId="54" fillId="0" borderId="19" xfId="0" applyFont="1" applyBorder="1"/>
    <xf numFmtId="0" fontId="4" fillId="5" borderId="15" xfId="0" applyFont="1" applyFill="1" applyBorder="1"/>
    <xf numFmtId="0" fontId="4" fillId="5" borderId="19" xfId="0" applyFont="1" applyFill="1" applyBorder="1"/>
    <xf numFmtId="0" fontId="4" fillId="5" borderId="16" xfId="0" applyFont="1" applyFill="1" applyBorder="1"/>
    <xf numFmtId="0" fontId="10" fillId="5" borderId="32" xfId="0" applyFont="1" applyFill="1" applyBorder="1"/>
    <xf numFmtId="0" fontId="10" fillId="5" borderId="34" xfId="0" applyFont="1" applyFill="1" applyBorder="1"/>
    <xf numFmtId="0" fontId="10" fillId="5" borderId="33" xfId="0" applyFont="1" applyFill="1" applyBorder="1"/>
    <xf numFmtId="14" fontId="29" fillId="5" borderId="13" xfId="0" applyNumberFormat="1" applyFont="1" applyFill="1" applyBorder="1"/>
    <xf numFmtId="0" fontId="12" fillId="0" borderId="19" xfId="0" applyFont="1" applyBorder="1"/>
    <xf numFmtId="14" fontId="15" fillId="5" borderId="13" xfId="0" applyNumberFormat="1" applyFont="1" applyFill="1" applyBorder="1"/>
    <xf numFmtId="1" fontId="53" fillId="5" borderId="1" xfId="0" applyNumberFormat="1" applyFont="1" applyFill="1" applyBorder="1"/>
    <xf numFmtId="0" fontId="53" fillId="5" borderId="2" xfId="0" applyFont="1" applyFill="1" applyBorder="1"/>
    <xf numFmtId="0" fontId="53" fillId="5" borderId="1" xfId="0" applyFont="1" applyFill="1" applyBorder="1"/>
    <xf numFmtId="1" fontId="53" fillId="5" borderId="2" xfId="0" applyNumberFormat="1" applyFont="1" applyFill="1" applyBorder="1"/>
    <xf numFmtId="164" fontId="53" fillId="5" borderId="2" xfId="0" applyNumberFormat="1" applyFont="1" applyFill="1" applyBorder="1"/>
    <xf numFmtId="165" fontId="53" fillId="5" borderId="1" xfId="0" applyNumberFormat="1" applyFont="1" applyFill="1" applyBorder="1"/>
    <xf numFmtId="165" fontId="53" fillId="5" borderId="9" xfId="0" applyNumberFormat="1" applyFont="1" applyFill="1" applyBorder="1"/>
    <xf numFmtId="0" fontId="34" fillId="0" borderId="9" xfId="0" applyFont="1" applyBorder="1"/>
    <xf numFmtId="0" fontId="53" fillId="5" borderId="3" xfId="0" applyFont="1" applyFill="1" applyBorder="1"/>
    <xf numFmtId="0" fontId="51" fillId="8" borderId="16" xfId="0" applyFont="1" applyFill="1" applyBorder="1"/>
    <xf numFmtId="164" fontId="55" fillId="5" borderId="1" xfId="0" applyNumberFormat="1" applyFont="1" applyFill="1" applyBorder="1"/>
    <xf numFmtId="164" fontId="55" fillId="5" borderId="3" xfId="0" applyNumberFormat="1" applyFont="1" applyFill="1" applyBorder="1"/>
    <xf numFmtId="0" fontId="53" fillId="8" borderId="17" xfId="0" applyFont="1" applyFill="1" applyBorder="1"/>
    <xf numFmtId="0" fontId="30" fillId="0" borderId="32" xfId="0" applyFont="1" applyBorder="1"/>
    <xf numFmtId="14" fontId="10" fillId="5" borderId="66" xfId="0" applyNumberFormat="1" applyFont="1" applyFill="1" applyBorder="1"/>
    <xf numFmtId="0" fontId="30" fillId="14" borderId="0" xfId="0" applyFont="1" applyFill="1"/>
    <xf numFmtId="0" fontId="54" fillId="14" borderId="0" xfId="0" applyFont="1" applyFill="1"/>
    <xf numFmtId="0" fontId="54" fillId="14" borderId="37" xfId="0" applyFont="1" applyFill="1" applyBorder="1"/>
    <xf numFmtId="0" fontId="10" fillId="5" borderId="16" xfId="0" applyFont="1" applyFill="1" applyBorder="1"/>
    <xf numFmtId="0" fontId="30" fillId="5" borderId="28" xfId="0" applyFont="1" applyFill="1" applyBorder="1"/>
    <xf numFmtId="0" fontId="30" fillId="5" borderId="19" xfId="0" applyFont="1" applyFill="1" applyBorder="1" applyAlignment="1">
      <alignment horizontal="center"/>
    </xf>
    <xf numFmtId="164" fontId="10" fillId="5" borderId="1" xfId="0" applyNumberFormat="1" applyFont="1" applyFill="1" applyBorder="1"/>
    <xf numFmtId="164" fontId="57" fillId="5" borderId="3" xfId="0" applyNumberFormat="1" applyFont="1" applyFill="1" applyBorder="1"/>
    <xf numFmtId="164" fontId="54" fillId="4" borderId="16" xfId="0" applyNumberFormat="1" applyFont="1" applyFill="1" applyBorder="1"/>
    <xf numFmtId="0" fontId="16" fillId="8" borderId="28" xfId="0" applyFont="1" applyFill="1" applyBorder="1" applyAlignment="1">
      <alignment horizontal="center"/>
    </xf>
    <xf numFmtId="0" fontId="53" fillId="10" borderId="7" xfId="0" applyFont="1" applyFill="1" applyBorder="1"/>
    <xf numFmtId="1" fontId="53" fillId="5" borderId="7" xfId="0" applyNumberFormat="1" applyFont="1" applyFill="1" applyBorder="1"/>
    <xf numFmtId="2" fontId="53" fillId="5" borderId="0" xfId="0" applyNumberFormat="1" applyFont="1" applyFill="1"/>
    <xf numFmtId="164" fontId="53" fillId="5" borderId="0" xfId="0" applyNumberFormat="1" applyFont="1" applyFill="1"/>
    <xf numFmtId="1" fontId="53" fillId="5" borderId="9" xfId="0" applyNumberFormat="1" applyFont="1" applyFill="1" applyBorder="1"/>
    <xf numFmtId="1" fontId="53" fillId="5" borderId="0" xfId="0" applyNumberFormat="1" applyFont="1" applyFill="1"/>
    <xf numFmtId="2" fontId="53" fillId="5" borderId="9" xfId="0" applyNumberFormat="1" applyFont="1" applyFill="1" applyBorder="1"/>
    <xf numFmtId="166" fontId="53" fillId="5" borderId="0" xfId="0" applyNumberFormat="1" applyFont="1" applyFill="1"/>
    <xf numFmtId="166" fontId="53" fillId="5" borderId="8" xfId="0" applyNumberFormat="1" applyFont="1" applyFill="1" applyBorder="1"/>
    <xf numFmtId="0" fontId="51" fillId="8" borderId="17" xfId="0" applyFont="1" applyFill="1" applyBorder="1"/>
    <xf numFmtId="164" fontId="55" fillId="5" borderId="9" xfId="0" applyNumberFormat="1" applyFont="1" applyFill="1" applyBorder="1"/>
    <xf numFmtId="164" fontId="55" fillId="5" borderId="8" xfId="0" applyNumberFormat="1" applyFont="1" applyFill="1" applyBorder="1"/>
    <xf numFmtId="165" fontId="53" fillId="5" borderId="7" xfId="0" applyNumberFormat="1" applyFont="1" applyFill="1" applyBorder="1"/>
    <xf numFmtId="165" fontId="53" fillId="5" borderId="0" xfId="0" applyNumberFormat="1" applyFont="1" applyFill="1"/>
    <xf numFmtId="0" fontId="53" fillId="5" borderId="8" xfId="0" applyFont="1" applyFill="1" applyBorder="1"/>
    <xf numFmtId="0" fontId="30" fillId="13" borderId="57" xfId="0" applyFont="1" applyFill="1" applyBorder="1"/>
    <xf numFmtId="0" fontId="10" fillId="10" borderId="11" xfId="0" applyFont="1" applyFill="1" applyBorder="1"/>
    <xf numFmtId="165" fontId="37" fillId="14" borderId="26" xfId="0" applyNumberFormat="1" applyFont="1" applyFill="1" applyBorder="1"/>
    <xf numFmtId="165" fontId="37" fillId="0" borderId="26" xfId="0" applyNumberFormat="1" applyFont="1" applyBorder="1"/>
    <xf numFmtId="1" fontId="37" fillId="0" borderId="26" xfId="0" applyNumberFormat="1" applyFont="1" applyBorder="1"/>
    <xf numFmtId="1" fontId="37" fillId="14" borderId="26" xfId="0" applyNumberFormat="1" applyFont="1" applyFill="1" applyBorder="1"/>
    <xf numFmtId="0" fontId="37" fillId="14" borderId="0" xfId="0" applyFont="1" applyFill="1"/>
    <xf numFmtId="0" fontId="37" fillId="11" borderId="27" xfId="0" applyFont="1" applyFill="1" applyBorder="1"/>
    <xf numFmtId="14" fontId="15" fillId="5" borderId="24" xfId="0" applyNumberFormat="1" applyFont="1" applyFill="1" applyBorder="1"/>
    <xf numFmtId="0" fontId="10" fillId="8" borderId="28" xfId="0" applyFont="1" applyFill="1" applyBorder="1" applyAlignment="1">
      <alignment horizontal="left"/>
    </xf>
    <xf numFmtId="14" fontId="9" fillId="5" borderId="24" xfId="0" applyNumberFormat="1" applyFont="1" applyFill="1" applyBorder="1"/>
    <xf numFmtId="0" fontId="10" fillId="8" borderId="0" xfId="0" applyFont="1" applyFill="1"/>
    <xf numFmtId="164" fontId="10" fillId="5" borderId="7" xfId="0" applyNumberFormat="1" applyFont="1" applyFill="1" applyBorder="1"/>
    <xf numFmtId="164" fontId="57" fillId="5" borderId="8" xfId="0" applyNumberFormat="1" applyFont="1" applyFill="1" applyBorder="1"/>
    <xf numFmtId="164" fontId="54" fillId="4" borderId="17" xfId="0" applyNumberFormat="1" applyFont="1" applyFill="1" applyBorder="1"/>
    <xf numFmtId="14" fontId="9" fillId="5" borderId="13" xfId="0" applyNumberFormat="1" applyFont="1" applyFill="1" applyBorder="1"/>
    <xf numFmtId="0" fontId="10" fillId="2" borderId="0" xfId="0" applyFont="1" applyFill="1"/>
    <xf numFmtId="0" fontId="12" fillId="2" borderId="0" xfId="0" applyFont="1" applyFill="1"/>
    <xf numFmtId="0" fontId="10" fillId="16" borderId="0" xfId="0" applyFont="1" applyFill="1"/>
    <xf numFmtId="0" fontId="10" fillId="10" borderId="0" xfId="0" applyFont="1" applyFill="1"/>
    <xf numFmtId="164" fontId="37" fillId="14" borderId="0" xfId="0" applyNumberFormat="1" applyFont="1" applyFill="1"/>
    <xf numFmtId="0" fontId="37" fillId="11" borderId="48" xfId="0" applyFont="1" applyFill="1" applyBorder="1"/>
    <xf numFmtId="0" fontId="9" fillId="0" borderId="28" xfId="0" applyFont="1" applyBorder="1"/>
    <xf numFmtId="14" fontId="10" fillId="5" borderId="13" xfId="0" applyNumberFormat="1" applyFont="1" applyFill="1" applyBorder="1"/>
    <xf numFmtId="0" fontId="9" fillId="0" borderId="19" xfId="0" applyFont="1" applyBorder="1"/>
    <xf numFmtId="1" fontId="16" fillId="5" borderId="1" xfId="0" applyNumberFormat="1" applyFont="1" applyFill="1" applyBorder="1"/>
    <xf numFmtId="1" fontId="16" fillId="5" borderId="3" xfId="0" applyNumberFormat="1" applyFont="1" applyFill="1" applyBorder="1"/>
    <xf numFmtId="0" fontId="58" fillId="0" borderId="0" xfId="0" applyFont="1"/>
    <xf numFmtId="0" fontId="59" fillId="0" borderId="0" xfId="0" applyFont="1"/>
    <xf numFmtId="0" fontId="30" fillId="0" borderId="57" xfId="0" applyFont="1" applyBorder="1"/>
    <xf numFmtId="164" fontId="37" fillId="0" borderId="0" xfId="0" applyNumberFormat="1" applyFont="1"/>
    <xf numFmtId="164" fontId="10" fillId="5" borderId="3" xfId="0" applyNumberFormat="1" applyFont="1" applyFill="1" applyBorder="1"/>
    <xf numFmtId="0" fontId="16" fillId="8" borderId="7" xfId="0" applyFont="1" applyFill="1" applyBorder="1"/>
    <xf numFmtId="1" fontId="16" fillId="5" borderId="9" xfId="0" applyNumberFormat="1" applyFont="1" applyFill="1" applyBorder="1"/>
    <xf numFmtId="1" fontId="16" fillId="5" borderId="8" xfId="0" applyNumberFormat="1" applyFont="1" applyFill="1" applyBorder="1"/>
    <xf numFmtId="2" fontId="37" fillId="0" borderId="0" xfId="0" applyNumberFormat="1" applyFont="1"/>
    <xf numFmtId="2" fontId="37" fillId="14" borderId="0" xfId="0" applyNumberFormat="1" applyFont="1" applyFill="1"/>
    <xf numFmtId="0" fontId="10" fillId="8" borderId="24" xfId="0" applyFont="1" applyFill="1" applyBorder="1"/>
    <xf numFmtId="165" fontId="37" fillId="0" borderId="0" xfId="0" applyNumberFormat="1" applyFont="1"/>
    <xf numFmtId="165" fontId="37" fillId="14" borderId="0" xfId="0" applyNumberFormat="1" applyFont="1" applyFill="1"/>
    <xf numFmtId="164" fontId="27" fillId="5" borderId="8" xfId="0" applyNumberFormat="1" applyFont="1" applyFill="1" applyBorder="1"/>
    <xf numFmtId="0" fontId="10" fillId="10" borderId="19" xfId="0" applyFont="1" applyFill="1" applyBorder="1"/>
    <xf numFmtId="1" fontId="37" fillId="14" borderId="0" xfId="0" applyNumberFormat="1" applyFont="1" applyFill="1"/>
    <xf numFmtId="1" fontId="37" fillId="0" borderId="0" xfId="0" applyNumberFormat="1" applyFont="1"/>
    <xf numFmtId="164" fontId="53" fillId="5" borderId="8" xfId="0" applyNumberFormat="1" applyFont="1" applyFill="1" applyBorder="1"/>
    <xf numFmtId="165" fontId="37" fillId="18" borderId="0" xfId="0" applyNumberFormat="1" applyFont="1" applyFill="1"/>
    <xf numFmtId="0" fontId="60" fillId="0" borderId="0" xfId="0" applyFont="1"/>
    <xf numFmtId="166" fontId="27" fillId="5" borderId="8" xfId="0" applyNumberFormat="1" applyFont="1" applyFill="1" applyBorder="1"/>
    <xf numFmtId="0" fontId="9" fillId="2" borderId="0" xfId="0" applyFont="1" applyFill="1"/>
    <xf numFmtId="164" fontId="37" fillId="5" borderId="7" xfId="0" applyNumberFormat="1" applyFont="1" applyFill="1" applyBorder="1"/>
    <xf numFmtId="0" fontId="53" fillId="4" borderId="8" xfId="0" applyFont="1" applyFill="1" applyBorder="1"/>
    <xf numFmtId="0" fontId="53" fillId="5" borderId="0" xfId="0" applyFont="1" applyFill="1"/>
    <xf numFmtId="0" fontId="30" fillId="0" borderId="58" xfId="0" applyFont="1" applyBorder="1"/>
    <xf numFmtId="0" fontId="10" fillId="16" borderId="37" xfId="0" applyFont="1" applyFill="1" applyBorder="1"/>
    <xf numFmtId="0" fontId="10" fillId="10" borderId="37" xfId="0" applyFont="1" applyFill="1" applyBorder="1"/>
    <xf numFmtId="165" fontId="37" fillId="0" borderId="37" xfId="0" applyNumberFormat="1" applyFont="1" applyBorder="1"/>
    <xf numFmtId="165" fontId="37" fillId="14" borderId="37" xfId="0" applyNumberFormat="1" applyFont="1" applyFill="1" applyBorder="1"/>
    <xf numFmtId="0" fontId="12" fillId="0" borderId="37" xfId="0" applyFont="1" applyBorder="1"/>
    <xf numFmtId="2" fontId="10" fillId="4" borderId="9" xfId="0" applyNumberFormat="1" applyFont="1" applyFill="1" applyBorder="1"/>
    <xf numFmtId="2" fontId="10" fillId="4" borderId="7" xfId="0" applyNumberFormat="1" applyFont="1" applyFill="1" applyBorder="1"/>
    <xf numFmtId="0" fontId="53" fillId="5" borderId="7" xfId="0" applyFont="1" applyFill="1" applyBorder="1"/>
    <xf numFmtId="0" fontId="53" fillId="5" borderId="9" xfId="0" applyFont="1" applyFill="1" applyBorder="1"/>
    <xf numFmtId="0" fontId="55" fillId="5" borderId="9" xfId="0" applyFont="1" applyFill="1" applyBorder="1"/>
    <xf numFmtId="166" fontId="55" fillId="4" borderId="8" xfId="0" applyNumberFormat="1" applyFont="1" applyFill="1" applyBorder="1"/>
    <xf numFmtId="0" fontId="7" fillId="4" borderId="8" xfId="0" applyFont="1" applyFill="1" applyBorder="1"/>
    <xf numFmtId="0" fontId="30" fillId="13" borderId="0" xfId="0" applyFont="1" applyFill="1"/>
    <xf numFmtId="2" fontId="10" fillId="4" borderId="8" xfId="0" applyNumberFormat="1" applyFont="1" applyFill="1" applyBorder="1"/>
    <xf numFmtId="0" fontId="30" fillId="4" borderId="7" xfId="0" applyFont="1" applyFill="1" applyBorder="1"/>
    <xf numFmtId="0" fontId="4" fillId="4" borderId="7" xfId="0" applyFont="1" applyFill="1" applyBorder="1"/>
    <xf numFmtId="0" fontId="10" fillId="8" borderId="13" xfId="0" applyFont="1" applyFill="1" applyBorder="1"/>
    <xf numFmtId="0" fontId="30" fillId="4" borderId="30" xfId="0" applyFont="1" applyFill="1" applyBorder="1"/>
    <xf numFmtId="0" fontId="4" fillId="4" borderId="30" xfId="0" applyFont="1" applyFill="1" applyBorder="1"/>
    <xf numFmtId="164" fontId="10" fillId="5" borderId="6" xfId="0" applyNumberFormat="1" applyFont="1" applyFill="1" applyBorder="1"/>
    <xf numFmtId="1" fontId="37" fillId="15" borderId="0" xfId="0" applyNumberFormat="1" applyFont="1" applyFill="1"/>
    <xf numFmtId="164" fontId="37" fillId="15" borderId="0" xfId="0" applyNumberFormat="1" applyFont="1" applyFill="1"/>
    <xf numFmtId="0" fontId="16" fillId="8" borderId="28" xfId="0" applyFont="1" applyFill="1" applyBorder="1" applyAlignment="1">
      <alignment horizontal="left"/>
    </xf>
    <xf numFmtId="14" fontId="7" fillId="5" borderId="24" xfId="0" applyNumberFormat="1" applyFont="1" applyFill="1" applyBorder="1"/>
    <xf numFmtId="0" fontId="53" fillId="10" borderId="30" xfId="0" applyFont="1" applyFill="1" applyBorder="1"/>
    <xf numFmtId="2" fontId="37" fillId="15" borderId="0" xfId="0" applyNumberFormat="1" applyFont="1" applyFill="1"/>
    <xf numFmtId="0" fontId="51" fillId="8" borderId="13" xfId="0" applyFont="1" applyFill="1" applyBorder="1"/>
    <xf numFmtId="0" fontId="55" fillId="5" borderId="30" xfId="0" applyFont="1" applyFill="1" applyBorder="1"/>
    <xf numFmtId="166" fontId="55" fillId="4" borderId="6" xfId="0" applyNumberFormat="1" applyFont="1" applyFill="1" applyBorder="1"/>
    <xf numFmtId="0" fontId="53" fillId="8" borderId="13" xfId="0" applyFont="1" applyFill="1" applyBorder="1"/>
    <xf numFmtId="0" fontId="53" fillId="5" borderId="30" xfId="0" applyFont="1" applyFill="1" applyBorder="1"/>
    <xf numFmtId="164" fontId="53" fillId="5" borderId="5" xfId="0" applyNumberFormat="1" applyFont="1" applyFill="1" applyBorder="1"/>
    <xf numFmtId="164" fontId="53" fillId="5" borderId="6" xfId="0" applyNumberFormat="1" applyFont="1" applyFill="1" applyBorder="1"/>
    <xf numFmtId="0" fontId="16" fillId="8" borderId="13" xfId="0" applyFont="1" applyFill="1" applyBorder="1"/>
    <xf numFmtId="2" fontId="10" fillId="4" borderId="30" xfId="0" applyNumberFormat="1" applyFont="1" applyFill="1" applyBorder="1"/>
    <xf numFmtId="0" fontId="7" fillId="4" borderId="6" xfId="0" applyFont="1" applyFill="1" applyBorder="1"/>
    <xf numFmtId="0" fontId="53" fillId="5" borderId="5" xfId="0" applyFont="1" applyFill="1" applyBorder="1"/>
    <xf numFmtId="0" fontId="53" fillId="5" borderId="6" xfId="0" applyFont="1" applyFill="1" applyBorder="1"/>
    <xf numFmtId="0" fontId="16" fillId="8" borderId="4" xfId="0" applyFont="1" applyFill="1" applyBorder="1"/>
    <xf numFmtId="2" fontId="16" fillId="4" borderId="13" xfId="0" applyNumberFormat="1" applyFont="1" applyFill="1" applyBorder="1"/>
    <xf numFmtId="1" fontId="16" fillId="4" borderId="13" xfId="0" applyNumberFormat="1" applyFont="1" applyFill="1" applyBorder="1"/>
    <xf numFmtId="2" fontId="10" fillId="4" borderId="4" xfId="0" applyNumberFormat="1" applyFont="1" applyFill="1" applyBorder="1"/>
    <xf numFmtId="0" fontId="16" fillId="8" borderId="30" xfId="0" applyFont="1" applyFill="1" applyBorder="1"/>
    <xf numFmtId="2" fontId="10" fillId="4" borderId="6" xfId="0" applyNumberFormat="1" applyFont="1" applyFill="1" applyBorder="1"/>
    <xf numFmtId="14" fontId="10" fillId="5" borderId="10" xfId="0" applyNumberFormat="1" applyFont="1" applyFill="1" applyBorder="1"/>
    <xf numFmtId="0" fontId="16" fillId="19" borderId="28" xfId="0" applyFont="1" applyFill="1" applyBorder="1" applyAlignment="1">
      <alignment horizontal="right"/>
    </xf>
    <xf numFmtId="0" fontId="52" fillId="19" borderId="19" xfId="0" applyFont="1" applyFill="1" applyBorder="1" applyAlignment="1">
      <alignment horizontal="right"/>
    </xf>
    <xf numFmtId="14" fontId="55" fillId="0" borderId="10" xfId="0" applyNumberFormat="1" applyFont="1" applyBorder="1"/>
    <xf numFmtId="0" fontId="16" fillId="5" borderId="23" xfId="0" applyFont="1" applyFill="1" applyBorder="1"/>
    <xf numFmtId="0" fontId="10" fillId="8" borderId="28" xfId="0" applyFont="1" applyFill="1" applyBorder="1" applyAlignment="1">
      <alignment horizontal="center"/>
    </xf>
    <xf numFmtId="0" fontId="10" fillId="5" borderId="23" xfId="0" applyFont="1" applyFill="1" applyBorder="1"/>
    <xf numFmtId="0" fontId="52" fillId="8" borderId="28" xfId="0" applyFont="1" applyFill="1" applyBorder="1" applyAlignment="1">
      <alignment horizontal="center"/>
    </xf>
    <xf numFmtId="0" fontId="12" fillId="19" borderId="28" xfId="0" applyFont="1" applyFill="1" applyBorder="1"/>
    <xf numFmtId="0" fontId="12" fillId="19" borderId="19" xfId="0" applyFont="1" applyFill="1" applyBorder="1"/>
    <xf numFmtId="0" fontId="61" fillId="0" borderId="29" xfId="0" applyFont="1" applyBorder="1"/>
    <xf numFmtId="0" fontId="61" fillId="0" borderId="28" xfId="0" applyFont="1" applyBorder="1"/>
    <xf numFmtId="14" fontId="15" fillId="5" borderId="61" xfId="0" applyNumberFormat="1" applyFont="1" applyFill="1" applyBorder="1"/>
    <xf numFmtId="0" fontId="12" fillId="5" borderId="3" xfId="0" applyFont="1" applyFill="1" applyBorder="1"/>
    <xf numFmtId="0" fontId="20" fillId="5" borderId="3" xfId="0" applyFont="1" applyFill="1" applyBorder="1"/>
    <xf numFmtId="0" fontId="20" fillId="5" borderId="19" xfId="0" applyFont="1" applyFill="1" applyBorder="1"/>
    <xf numFmtId="164" fontId="37" fillId="5" borderId="4" xfId="0" applyNumberFormat="1" applyFont="1" applyFill="1" applyBorder="1"/>
    <xf numFmtId="164" fontId="27" fillId="5" borderId="6" xfId="0" applyNumberFormat="1" applyFont="1" applyFill="1" applyBorder="1"/>
    <xf numFmtId="164" fontId="54" fillId="4" borderId="13" xfId="0" applyNumberFormat="1" applyFont="1" applyFill="1" applyBorder="1"/>
    <xf numFmtId="0" fontId="16" fillId="19" borderId="9" xfId="0" applyFont="1" applyFill="1" applyBorder="1"/>
    <xf numFmtId="0" fontId="16" fillId="4" borderId="9" xfId="0" applyFont="1" applyFill="1" applyBorder="1"/>
    <xf numFmtId="164" fontId="16" fillId="4" borderId="17" xfId="0" applyNumberFormat="1" applyFont="1" applyFill="1" applyBorder="1"/>
    <xf numFmtId="165" fontId="16" fillId="4" borderId="1" xfId="0" applyNumberFormat="1" applyFont="1" applyFill="1" applyBorder="1"/>
    <xf numFmtId="165" fontId="16" fillId="4" borderId="16" xfId="0" applyNumberFormat="1" applyFont="1" applyFill="1" applyBorder="1"/>
    <xf numFmtId="2" fontId="16" fillId="4" borderId="1" xfId="0" applyNumberFormat="1" applyFont="1" applyFill="1" applyBorder="1"/>
    <xf numFmtId="164" fontId="16" fillId="4" borderId="3" xfId="0" applyNumberFormat="1" applyFont="1" applyFill="1" applyBorder="1"/>
    <xf numFmtId="165" fontId="10" fillId="4" borderId="1" xfId="0" applyNumberFormat="1" applyFont="1" applyFill="1" applyBorder="1"/>
    <xf numFmtId="165" fontId="10" fillId="4" borderId="16" xfId="0" applyNumberFormat="1" applyFont="1" applyFill="1" applyBorder="1"/>
    <xf numFmtId="1" fontId="10" fillId="4" borderId="1" xfId="0" applyNumberFormat="1" applyFont="1" applyFill="1" applyBorder="1"/>
    <xf numFmtId="1" fontId="10" fillId="4" borderId="16" xfId="0" applyNumberFormat="1" applyFont="1" applyFill="1" applyBorder="1"/>
    <xf numFmtId="1" fontId="16" fillId="4" borderId="1" xfId="0" applyNumberFormat="1" applyFont="1" applyFill="1" applyBorder="1"/>
    <xf numFmtId="164" fontId="16" fillId="4" borderId="9" xfId="0" applyNumberFormat="1" applyFont="1" applyFill="1" applyBorder="1"/>
    <xf numFmtId="165" fontId="16" fillId="4" borderId="7" xfId="0" applyNumberFormat="1" applyFont="1" applyFill="1" applyBorder="1"/>
    <xf numFmtId="165" fontId="16" fillId="4" borderId="17" xfId="0" applyNumberFormat="1" applyFont="1" applyFill="1" applyBorder="1"/>
    <xf numFmtId="164" fontId="16" fillId="4" borderId="8" xfId="0" applyNumberFormat="1" applyFont="1" applyFill="1" applyBorder="1"/>
    <xf numFmtId="165" fontId="10" fillId="4" borderId="9" xfId="0" applyNumberFormat="1" applyFont="1" applyFill="1" applyBorder="1"/>
    <xf numFmtId="165" fontId="10" fillId="4" borderId="24" xfId="0" applyNumberFormat="1" applyFont="1" applyFill="1" applyBorder="1"/>
    <xf numFmtId="1" fontId="10" fillId="4" borderId="9" xfId="0" applyNumberFormat="1" applyFont="1" applyFill="1" applyBorder="1"/>
    <xf numFmtId="1" fontId="10" fillId="4" borderId="24" xfId="0" applyNumberFormat="1" applyFont="1" applyFill="1" applyBorder="1"/>
    <xf numFmtId="1" fontId="16" fillId="4" borderId="9" xfId="0" applyNumberFormat="1" applyFont="1" applyFill="1" applyBorder="1"/>
    <xf numFmtId="1" fontId="16" fillId="4" borderId="24" xfId="0" applyNumberFormat="1" applyFont="1" applyFill="1" applyBorder="1"/>
    <xf numFmtId="0" fontId="10" fillId="8" borderId="28" xfId="0" applyFont="1" applyFill="1" applyBorder="1"/>
    <xf numFmtId="0" fontId="9" fillId="4" borderId="42" xfId="0" applyFont="1" applyFill="1" applyBorder="1"/>
    <xf numFmtId="165" fontId="10" fillId="4" borderId="8" xfId="0" applyNumberFormat="1" applyFont="1" applyFill="1" applyBorder="1"/>
    <xf numFmtId="0" fontId="4" fillId="4" borderId="1" xfId="0" applyFont="1" applyFill="1" applyBorder="1"/>
    <xf numFmtId="14" fontId="62" fillId="5" borderId="14" xfId="0" applyNumberFormat="1" applyFont="1" applyFill="1" applyBorder="1"/>
    <xf numFmtId="0" fontId="12" fillId="5" borderId="3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left"/>
    </xf>
    <xf numFmtId="0" fontId="39" fillId="4" borderId="0" xfId="0" applyFont="1" applyFill="1" applyAlignment="1">
      <alignment horizontal="left"/>
    </xf>
    <xf numFmtId="0" fontId="63" fillId="4" borderId="8" xfId="0" applyFont="1" applyFill="1" applyBorder="1" applyAlignment="1">
      <alignment horizontal="left"/>
    </xf>
    <xf numFmtId="0" fontId="64" fillId="8" borderId="16" xfId="0" applyFont="1" applyFill="1" applyBorder="1"/>
    <xf numFmtId="164" fontId="16" fillId="5" borderId="1" xfId="0" applyNumberFormat="1" applyFont="1" applyFill="1" applyBorder="1"/>
    <xf numFmtId="0" fontId="54" fillId="5" borderId="3" xfId="0" applyFont="1" applyFill="1" applyBorder="1"/>
    <xf numFmtId="166" fontId="37" fillId="5" borderId="17" xfId="0" applyNumberFormat="1" applyFont="1" applyFill="1" applyBorder="1"/>
    <xf numFmtId="165" fontId="37" fillId="0" borderId="5" xfId="0" applyNumberFormat="1" applyFont="1" applyBorder="1"/>
    <xf numFmtId="0" fontId="39" fillId="4" borderId="9" xfId="0" applyFont="1" applyFill="1" applyBorder="1" applyAlignment="1">
      <alignment horizontal="left"/>
    </xf>
    <xf numFmtId="0" fontId="64" fillId="8" borderId="17" xfId="0" applyFont="1" applyFill="1" applyBorder="1"/>
    <xf numFmtId="164" fontId="16" fillId="5" borderId="7" xfId="0" applyNumberFormat="1" applyFont="1" applyFill="1" applyBorder="1"/>
    <xf numFmtId="0" fontId="54" fillId="5" borderId="8" xfId="0" applyFont="1" applyFill="1" applyBorder="1"/>
    <xf numFmtId="165" fontId="37" fillId="0" borderId="1" xfId="0" applyNumberFormat="1" applyFont="1" applyBorder="1"/>
    <xf numFmtId="1" fontId="37" fillId="0" borderId="1" xfId="0" applyNumberFormat="1" applyFont="1" applyBorder="1"/>
    <xf numFmtId="0" fontId="3" fillId="4" borderId="9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0" fillId="4" borderId="8" xfId="0" applyFont="1" applyFill="1" applyBorder="1" applyAlignment="1">
      <alignment horizontal="left"/>
    </xf>
    <xf numFmtId="0" fontId="10" fillId="23" borderId="0" xfId="0" applyFont="1" applyFill="1"/>
    <xf numFmtId="165" fontId="37" fillId="0" borderId="30" xfId="0" applyNumberFormat="1" applyFont="1" applyBorder="1"/>
    <xf numFmtId="1" fontId="37" fillId="0" borderId="30" xfId="0" applyNumberFormat="1" applyFont="1" applyBorder="1"/>
    <xf numFmtId="1" fontId="37" fillId="14" borderId="30" xfId="0" applyNumberFormat="1" applyFont="1" applyFill="1" applyBorder="1"/>
    <xf numFmtId="0" fontId="3" fillId="4" borderId="0" xfId="0" applyFont="1" applyFill="1"/>
    <xf numFmtId="164" fontId="37" fillId="5" borderId="8" xfId="0" applyNumberFormat="1" applyFont="1" applyFill="1" applyBorder="1"/>
    <xf numFmtId="0" fontId="12" fillId="0" borderId="10" xfId="0" applyFont="1" applyBorder="1"/>
    <xf numFmtId="0" fontId="12" fillId="22" borderId="15" xfId="0" applyFont="1" applyFill="1" applyBorder="1"/>
    <xf numFmtId="0" fontId="20" fillId="22" borderId="28" xfId="0" applyFont="1" applyFill="1" applyBorder="1"/>
    <xf numFmtId="0" fontId="12" fillId="22" borderId="28" xfId="0" applyFont="1" applyFill="1" applyBorder="1"/>
    <xf numFmtId="0" fontId="12" fillId="22" borderId="19" xfId="0" applyFont="1" applyFill="1" applyBorder="1"/>
    <xf numFmtId="14" fontId="29" fillId="0" borderId="21" xfId="0" applyNumberFormat="1" applyFont="1" applyBorder="1"/>
    <xf numFmtId="0" fontId="65" fillId="4" borderId="28" xfId="0" applyFont="1" applyFill="1" applyBorder="1" applyAlignment="1">
      <alignment horizontal="center"/>
    </xf>
    <xf numFmtId="0" fontId="19" fillId="4" borderId="28" xfId="0" applyFont="1" applyFill="1" applyBorder="1"/>
    <xf numFmtId="0" fontId="3" fillId="22" borderId="24" xfId="0" applyFont="1" applyFill="1" applyBorder="1"/>
    <xf numFmtId="0" fontId="3" fillId="22" borderId="17" xfId="0" applyFont="1" applyFill="1" applyBorder="1"/>
    <xf numFmtId="0" fontId="30" fillId="13" borderId="32" xfId="0" applyFont="1" applyFill="1" applyBorder="1"/>
    <xf numFmtId="0" fontId="10" fillId="16" borderId="34" xfId="0" applyFont="1" applyFill="1" applyBorder="1"/>
    <xf numFmtId="0" fontId="10" fillId="10" borderId="34" xfId="0" applyFont="1" applyFill="1" applyBorder="1"/>
    <xf numFmtId="2" fontId="37" fillId="17" borderId="67" xfId="0" applyNumberFormat="1" applyFont="1" applyFill="1" applyBorder="1"/>
    <xf numFmtId="2" fontId="37" fillId="0" borderId="26" xfId="0" applyNumberFormat="1" applyFont="1" applyBorder="1"/>
    <xf numFmtId="0" fontId="12" fillId="0" borderId="26" xfId="0" applyFont="1" applyBorder="1"/>
    <xf numFmtId="0" fontId="37" fillId="14" borderId="26" xfId="0" applyFont="1" applyFill="1" applyBorder="1"/>
    <xf numFmtId="0" fontId="55" fillId="14" borderId="18" xfId="0" applyFont="1" applyFill="1" applyBorder="1"/>
    <xf numFmtId="0" fontId="55" fillId="14" borderId="29" xfId="0" applyFont="1" applyFill="1" applyBorder="1"/>
    <xf numFmtId="0" fontId="37" fillId="11" borderId="28" xfId="0" applyFont="1" applyFill="1" applyBorder="1"/>
    <xf numFmtId="165" fontId="37" fillId="17" borderId="37" xfId="0" applyNumberFormat="1" applyFont="1" applyFill="1" applyBorder="1"/>
    <xf numFmtId="165" fontId="37" fillId="4" borderId="37" xfId="0" applyNumberFormat="1" applyFont="1" applyFill="1" applyBorder="1"/>
    <xf numFmtId="1" fontId="37" fillId="4" borderId="37" xfId="0" applyNumberFormat="1" applyFont="1" applyFill="1" applyBorder="1"/>
    <xf numFmtId="2" fontId="16" fillId="4" borderId="8" xfId="0" applyNumberFormat="1" applyFont="1" applyFill="1" applyBorder="1"/>
    <xf numFmtId="165" fontId="37" fillId="14" borderId="34" xfId="0" applyNumberFormat="1" applyFont="1" applyFill="1" applyBorder="1"/>
    <xf numFmtId="165" fontId="37" fillId="0" borderId="34" xfId="0" applyNumberFormat="1" applyFont="1" applyBorder="1"/>
    <xf numFmtId="1" fontId="37" fillId="0" borderId="34" xfId="0" applyNumberFormat="1" applyFont="1" applyBorder="1"/>
    <xf numFmtId="1" fontId="37" fillId="14" borderId="34" xfId="0" applyNumberFormat="1" applyFont="1" applyFill="1" applyBorder="1"/>
    <xf numFmtId="0" fontId="12" fillId="0" borderId="34" xfId="0" applyFont="1" applyBorder="1"/>
    <xf numFmtId="0" fontId="37" fillId="14" borderId="34" xfId="0" applyFont="1" applyFill="1" applyBorder="1"/>
    <xf numFmtId="0" fontId="37" fillId="11" borderId="33" xfId="0" applyFont="1" applyFill="1" applyBorder="1"/>
    <xf numFmtId="2" fontId="12" fillId="0" borderId="34" xfId="0" applyNumberFormat="1" applyFont="1" applyBorder="1"/>
    <xf numFmtId="164" fontId="54" fillId="5" borderId="8" xfId="0" applyNumberFormat="1" applyFont="1" applyFill="1" applyBorder="1"/>
    <xf numFmtId="0" fontId="16" fillId="10" borderId="34" xfId="0" applyFont="1" applyFill="1" applyBorder="1"/>
    <xf numFmtId="166" fontId="37" fillId="0" borderId="34" xfId="0" applyNumberFormat="1" applyFont="1" applyBorder="1"/>
    <xf numFmtId="0" fontId="55" fillId="11" borderId="33" xfId="0" applyFont="1" applyFill="1" applyBorder="1"/>
    <xf numFmtId="0" fontId="9" fillId="10" borderId="34" xfId="0" applyFont="1" applyFill="1" applyBorder="1" applyAlignment="1">
      <alignment horizontal="left"/>
    </xf>
    <xf numFmtId="165" fontId="37" fillId="17" borderId="34" xfId="0" applyNumberFormat="1" applyFont="1" applyFill="1" applyBorder="1"/>
    <xf numFmtId="165" fontId="37" fillId="4" borderId="34" xfId="0" applyNumberFormat="1" applyFont="1" applyFill="1" applyBorder="1"/>
    <xf numFmtId="1" fontId="37" fillId="4" borderId="34" xfId="0" applyNumberFormat="1" applyFont="1" applyFill="1" applyBorder="1"/>
    <xf numFmtId="0" fontId="4" fillId="0" borderId="33" xfId="0" applyFont="1" applyBorder="1"/>
    <xf numFmtId="0" fontId="30" fillId="4" borderId="32" xfId="0" applyFont="1" applyFill="1" applyBorder="1"/>
    <xf numFmtId="0" fontId="34" fillId="4" borderId="17" xfId="0" applyFont="1" applyFill="1" applyBorder="1"/>
    <xf numFmtId="164" fontId="10" fillId="4" borderId="1" xfId="0" applyNumberFormat="1" applyFont="1" applyFill="1" applyBorder="1"/>
    <xf numFmtId="164" fontId="3" fillId="4" borderId="16" xfId="0" applyNumberFormat="1" applyFont="1" applyFill="1" applyBorder="1"/>
    <xf numFmtId="0" fontId="16" fillId="4" borderId="8" xfId="0" applyFont="1" applyFill="1" applyBorder="1"/>
    <xf numFmtId="164" fontId="3" fillId="4" borderId="17" xfId="0" applyNumberFormat="1" applyFont="1" applyFill="1" applyBorder="1"/>
    <xf numFmtId="164" fontId="16" fillId="5" borderId="17" xfId="0" applyNumberFormat="1" applyFont="1" applyFill="1" applyBorder="1"/>
    <xf numFmtId="0" fontId="39" fillId="0" borderId="0" xfId="0" applyFont="1"/>
    <xf numFmtId="164" fontId="59" fillId="5" borderId="7" xfId="0" applyNumberFormat="1" applyFont="1" applyFill="1" applyBorder="1"/>
    <xf numFmtId="0" fontId="30" fillId="13" borderId="18" xfId="0" applyFont="1" applyFill="1" applyBorder="1"/>
    <xf numFmtId="0" fontId="10" fillId="16" borderId="29" xfId="0" applyFont="1" applyFill="1" applyBorder="1"/>
    <xf numFmtId="165" fontId="12" fillId="15" borderId="0" xfId="0" applyNumberFormat="1" applyFont="1" applyFill="1"/>
    <xf numFmtId="0" fontId="30" fillId="13" borderId="1" xfId="0" applyFont="1" applyFill="1" applyBorder="1"/>
    <xf numFmtId="0" fontId="10" fillId="16" borderId="2" xfId="0" applyFont="1" applyFill="1" applyBorder="1"/>
    <xf numFmtId="2" fontId="59" fillId="5" borderId="7" xfId="0" applyNumberFormat="1" applyFont="1" applyFill="1" applyBorder="1"/>
    <xf numFmtId="164" fontId="59" fillId="5" borderId="17" xfId="0" applyNumberFormat="1" applyFont="1" applyFill="1" applyBorder="1"/>
    <xf numFmtId="0" fontId="10" fillId="0" borderId="18" xfId="0" applyFont="1" applyBorder="1"/>
    <xf numFmtId="0" fontId="10" fillId="0" borderId="29" xfId="0" applyFont="1" applyBorder="1"/>
    <xf numFmtId="0" fontId="4" fillId="0" borderId="28" xfId="0" applyFont="1" applyBorder="1"/>
    <xf numFmtId="165" fontId="12" fillId="15" borderId="18" xfId="0" applyNumberFormat="1" applyFont="1" applyFill="1" applyBorder="1"/>
    <xf numFmtId="165" fontId="12" fillId="0" borderId="29" xfId="0" applyNumberFormat="1" applyFont="1" applyBorder="1"/>
    <xf numFmtId="1" fontId="12" fillId="0" borderId="29" xfId="0" applyNumberFormat="1" applyFont="1" applyBorder="1"/>
    <xf numFmtId="0" fontId="4" fillId="0" borderId="29" xfId="0" applyFont="1" applyBorder="1"/>
    <xf numFmtId="0" fontId="12" fillId="15" borderId="18" xfId="0" applyFont="1" applyFill="1" applyBorder="1"/>
    <xf numFmtId="164" fontId="12" fillId="0" borderId="29" xfId="0" applyNumberFormat="1" applyFont="1" applyBorder="1"/>
    <xf numFmtId="0" fontId="4" fillId="15" borderId="18" xfId="0" applyFont="1" applyFill="1" applyBorder="1"/>
    <xf numFmtId="2" fontId="12" fillId="0" borderId="29" xfId="0" applyNumberFormat="1" applyFont="1" applyBorder="1"/>
    <xf numFmtId="0" fontId="20" fillId="4" borderId="8" xfId="0" applyFont="1" applyFill="1" applyBorder="1"/>
    <xf numFmtId="0" fontId="16" fillId="19" borderId="13" xfId="0" applyFont="1" applyFill="1" applyBorder="1"/>
    <xf numFmtId="0" fontId="16" fillId="4" borderId="30" xfId="0" applyFont="1" applyFill="1" applyBorder="1"/>
    <xf numFmtId="0" fontId="34" fillId="4" borderId="13" xfId="0" applyFont="1" applyFill="1" applyBorder="1"/>
    <xf numFmtId="0" fontId="53" fillId="5" borderId="4" xfId="0" applyFont="1" applyFill="1" applyBorder="1"/>
    <xf numFmtId="0" fontId="10" fillId="14" borderId="0" xfId="0" applyFont="1" applyFill="1"/>
    <xf numFmtId="0" fontId="37" fillId="14" borderId="16" xfId="0" applyFont="1" applyFill="1" applyBorder="1"/>
    <xf numFmtId="0" fontId="12" fillId="13" borderId="0" xfId="0" applyFont="1" applyFill="1"/>
    <xf numFmtId="0" fontId="37" fillId="11" borderId="16" xfId="0" applyFont="1" applyFill="1" applyBorder="1"/>
    <xf numFmtId="0" fontId="30" fillId="2" borderId="0" xfId="0" applyFont="1" applyFill="1"/>
    <xf numFmtId="0" fontId="10" fillId="10" borderId="17" xfId="0" applyFont="1" applyFill="1" applyBorder="1"/>
    <xf numFmtId="0" fontId="37" fillId="11" borderId="17" xfId="0" applyFont="1" applyFill="1" applyBorder="1"/>
    <xf numFmtId="0" fontId="37" fillId="15" borderId="0" xfId="0" applyFont="1" applyFill="1"/>
    <xf numFmtId="0" fontId="64" fillId="8" borderId="13" xfId="0" applyFont="1" applyFill="1" applyBorder="1"/>
    <xf numFmtId="2" fontId="59" fillId="5" borderId="4" xfId="0" applyNumberFormat="1" applyFont="1" applyFill="1" applyBorder="1"/>
    <xf numFmtId="164" fontId="59" fillId="5" borderId="13" xfId="0" applyNumberFormat="1" applyFont="1" applyFill="1" applyBorder="1"/>
    <xf numFmtId="166" fontId="37" fillId="5" borderId="13" xfId="0" applyNumberFormat="1" applyFont="1" applyFill="1" applyBorder="1"/>
    <xf numFmtId="2" fontId="16" fillId="4" borderId="4" xfId="0" applyNumberFormat="1" applyFont="1" applyFill="1" applyBorder="1"/>
    <xf numFmtId="0" fontId="16" fillId="4" borderId="6" xfId="0" applyFont="1" applyFill="1" applyBorder="1"/>
    <xf numFmtId="165" fontId="37" fillId="15" borderId="0" xfId="0" applyNumberFormat="1" applyFont="1" applyFill="1"/>
    <xf numFmtId="0" fontId="3" fillId="22" borderId="13" xfId="0" applyFont="1" applyFill="1" applyBorder="1"/>
    <xf numFmtId="0" fontId="4" fillId="4" borderId="4" xfId="0" applyFont="1" applyFill="1" applyBorder="1"/>
    <xf numFmtId="0" fontId="4" fillId="0" borderId="17" xfId="0" applyFont="1" applyBorder="1"/>
    <xf numFmtId="0" fontId="4" fillId="15" borderId="0" xfId="0" applyFont="1" applyFill="1"/>
    <xf numFmtId="2" fontId="10" fillId="0" borderId="0" xfId="0" applyNumberFormat="1" applyFont="1"/>
    <xf numFmtId="0" fontId="16" fillId="8" borderId="19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2" fontId="12" fillId="0" borderId="19" xfId="0" applyNumberFormat="1" applyFont="1" applyBorder="1" applyAlignment="1">
      <alignment horizontal="center"/>
    </xf>
    <xf numFmtId="0" fontId="4" fillId="0" borderId="18" xfId="0" applyFont="1" applyBorder="1"/>
    <xf numFmtId="0" fontId="20" fillId="0" borderId="19" xfId="0" applyFont="1" applyBorder="1"/>
    <xf numFmtId="0" fontId="20" fillId="0" borderId="42" xfId="0" applyFont="1" applyBorder="1"/>
    <xf numFmtId="0" fontId="10" fillId="11" borderId="0" xfId="0" applyFont="1" applyFill="1"/>
    <xf numFmtId="0" fontId="4" fillId="4" borderId="19" xfId="0" applyFont="1" applyFill="1" applyBorder="1"/>
    <xf numFmtId="0" fontId="20" fillId="0" borderId="10" xfId="0" applyFont="1" applyBorder="1"/>
    <xf numFmtId="0" fontId="10" fillId="8" borderId="15" xfId="0" applyFont="1" applyFill="1" applyBorder="1"/>
    <xf numFmtId="0" fontId="16" fillId="5" borderId="16" xfId="0" applyFont="1" applyFill="1" applyBorder="1"/>
    <xf numFmtId="0" fontId="66" fillId="8" borderId="28" xfId="0" applyFont="1" applyFill="1" applyBorder="1" applyAlignment="1">
      <alignment horizontal="center"/>
    </xf>
    <xf numFmtId="1" fontId="67" fillId="5" borderId="1" xfId="0" applyNumberFormat="1" applyFont="1" applyFill="1" applyBorder="1"/>
    <xf numFmtId="1" fontId="67" fillId="5" borderId="2" xfId="0" applyNumberFormat="1" applyFont="1" applyFill="1" applyBorder="1"/>
    <xf numFmtId="0" fontId="16" fillId="5" borderId="3" xfId="0" applyFont="1" applyFill="1" applyBorder="1"/>
    <xf numFmtId="14" fontId="49" fillId="0" borderId="14" xfId="0" applyNumberFormat="1" applyFont="1" applyBorder="1"/>
    <xf numFmtId="0" fontId="29" fillId="0" borderId="28" xfId="0" applyFont="1" applyBorder="1"/>
    <xf numFmtId="0" fontId="4" fillId="4" borderId="19" xfId="0" applyFont="1" applyFill="1" applyBorder="1" applyAlignment="1">
      <alignment horizontal="center"/>
    </xf>
    <xf numFmtId="0" fontId="4" fillId="0" borderId="43" xfId="0" applyFont="1" applyBorder="1"/>
    <xf numFmtId="165" fontId="37" fillId="4" borderId="0" xfId="0" applyNumberFormat="1" applyFont="1" applyFill="1"/>
    <xf numFmtId="0" fontId="10" fillId="4" borderId="10" xfId="0" applyFont="1" applyFill="1" applyBorder="1"/>
    <xf numFmtId="0" fontId="16" fillId="19" borderId="28" xfId="0" applyFont="1" applyFill="1" applyBorder="1"/>
    <xf numFmtId="0" fontId="16" fillId="19" borderId="19" xfId="0" applyFont="1" applyFill="1" applyBorder="1"/>
    <xf numFmtId="0" fontId="15" fillId="4" borderId="20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29" fillId="5" borderId="3" xfId="0" applyFont="1" applyFill="1" applyBorder="1"/>
    <xf numFmtId="14" fontId="7" fillId="5" borderId="68" xfId="0" applyNumberFormat="1" applyFont="1" applyFill="1" applyBorder="1"/>
    <xf numFmtId="0" fontId="29" fillId="5" borderId="15" xfId="0" applyFont="1" applyFill="1" applyBorder="1"/>
    <xf numFmtId="0" fontId="29" fillId="5" borderId="19" xfId="0" applyFont="1" applyFill="1" applyBorder="1"/>
    <xf numFmtId="0" fontId="29" fillId="5" borderId="28" xfId="0" applyFont="1" applyFill="1" applyBorder="1"/>
    <xf numFmtId="0" fontId="20" fillId="5" borderId="15" xfId="0" applyFont="1" applyFill="1" applyBorder="1"/>
    <xf numFmtId="0" fontId="16" fillId="8" borderId="17" xfId="0" applyFont="1" applyFill="1" applyBorder="1"/>
    <xf numFmtId="1" fontId="67" fillId="5" borderId="7" xfId="0" applyNumberFormat="1" applyFont="1" applyFill="1" applyBorder="1"/>
    <xf numFmtId="1" fontId="67" fillId="5" borderId="0" xfId="0" applyNumberFormat="1" applyFont="1" applyFill="1"/>
    <xf numFmtId="0" fontId="16" fillId="5" borderId="8" xfId="0" applyFont="1" applyFill="1" applyBorder="1"/>
    <xf numFmtId="1" fontId="16" fillId="8" borderId="16" xfId="0" applyNumberFormat="1" applyFont="1" applyFill="1" applyBorder="1"/>
    <xf numFmtId="2" fontId="16" fillId="5" borderId="1" xfId="0" applyNumberFormat="1" applyFont="1" applyFill="1" applyBorder="1"/>
    <xf numFmtId="2" fontId="3" fillId="5" borderId="14" xfId="0" applyNumberFormat="1" applyFont="1" applyFill="1" applyBorder="1"/>
    <xf numFmtId="164" fontId="16" fillId="4" borderId="0" xfId="0" applyNumberFormat="1" applyFont="1" applyFill="1"/>
    <xf numFmtId="0" fontId="12" fillId="5" borderId="28" xfId="0" applyFont="1" applyFill="1" applyBorder="1"/>
    <xf numFmtId="0" fontId="16" fillId="4" borderId="54" xfId="0" applyFont="1" applyFill="1" applyBorder="1"/>
    <xf numFmtId="0" fontId="16" fillId="4" borderId="45" xfId="0" applyFont="1" applyFill="1" applyBorder="1"/>
    <xf numFmtId="165" fontId="16" fillId="5" borderId="1" xfId="0" applyNumberFormat="1" applyFont="1" applyFill="1" applyBorder="1"/>
    <xf numFmtId="164" fontId="3" fillId="4" borderId="1" xfId="0" applyNumberFormat="1" applyFont="1" applyFill="1" applyBorder="1"/>
    <xf numFmtId="1" fontId="3" fillId="4" borderId="2" xfId="0" applyNumberFormat="1" applyFont="1" applyFill="1" applyBorder="1"/>
    <xf numFmtId="1" fontId="3" fillId="0" borderId="16" xfId="0" applyNumberFormat="1" applyFont="1" applyBorder="1"/>
    <xf numFmtId="1" fontId="16" fillId="8" borderId="17" xfId="0" applyNumberFormat="1" applyFont="1" applyFill="1" applyBorder="1"/>
    <xf numFmtId="2" fontId="16" fillId="5" borderId="9" xfId="0" applyNumberFormat="1" applyFont="1" applyFill="1" applyBorder="1"/>
    <xf numFmtId="0" fontId="10" fillId="4" borderId="17" xfId="0" applyFont="1" applyFill="1" applyBorder="1"/>
    <xf numFmtId="0" fontId="10" fillId="19" borderId="17" xfId="0" applyFont="1" applyFill="1" applyBorder="1"/>
    <xf numFmtId="0" fontId="59" fillId="5" borderId="2" xfId="0" applyFont="1" applyFill="1" applyBorder="1"/>
    <xf numFmtId="164" fontId="16" fillId="5" borderId="2" xfId="0" applyNumberFormat="1" applyFont="1" applyFill="1" applyBorder="1"/>
    <xf numFmtId="0" fontId="59" fillId="5" borderId="3" xfId="0" applyFont="1" applyFill="1" applyBorder="1"/>
    <xf numFmtId="164" fontId="55" fillId="5" borderId="17" xfId="0" applyNumberFormat="1" applyFont="1" applyFill="1" applyBorder="1"/>
    <xf numFmtId="165" fontId="16" fillId="5" borderId="9" xfId="0" applyNumberFormat="1" applyFont="1" applyFill="1" applyBorder="1"/>
    <xf numFmtId="164" fontId="3" fillId="4" borderId="9" xfId="0" applyNumberFormat="1" applyFont="1" applyFill="1" applyBorder="1"/>
    <xf numFmtId="1" fontId="3" fillId="0" borderId="17" xfId="0" applyNumberFormat="1" applyFont="1" applyBorder="1"/>
    <xf numFmtId="166" fontId="37" fillId="15" borderId="0" xfId="0" applyNumberFormat="1" applyFont="1" applyFill="1"/>
    <xf numFmtId="166" fontId="37" fillId="0" borderId="0" xfId="0" applyNumberFormat="1" applyFont="1"/>
    <xf numFmtId="166" fontId="37" fillId="14" borderId="0" xfId="0" applyNumberFormat="1" applyFont="1" applyFill="1"/>
    <xf numFmtId="0" fontId="59" fillId="5" borderId="0" xfId="0" applyFont="1" applyFill="1"/>
    <xf numFmtId="164" fontId="16" fillId="5" borderId="0" xfId="0" applyNumberFormat="1" applyFont="1" applyFill="1"/>
    <xf numFmtId="0" fontId="59" fillId="5" borderId="8" xfId="0" applyFont="1" applyFill="1" applyBorder="1"/>
    <xf numFmtId="0" fontId="10" fillId="0" borderId="17" xfId="0" applyFont="1" applyBorder="1"/>
    <xf numFmtId="0" fontId="16" fillId="2" borderId="0" xfId="0" applyFont="1" applyFill="1"/>
    <xf numFmtId="0" fontId="16" fillId="10" borderId="17" xfId="0" applyFont="1" applyFill="1" applyBorder="1"/>
    <xf numFmtId="0" fontId="15" fillId="5" borderId="0" xfId="0" applyFont="1" applyFill="1"/>
    <xf numFmtId="0" fontId="16" fillId="10" borderId="13" xfId="0" applyFont="1" applyFill="1" applyBorder="1"/>
    <xf numFmtId="0" fontId="37" fillId="11" borderId="13" xfId="0" applyFont="1" applyFill="1" applyBorder="1"/>
    <xf numFmtId="1" fontId="10" fillId="5" borderId="8" xfId="0" applyNumberFormat="1" applyFont="1" applyFill="1" applyBorder="1"/>
    <xf numFmtId="0" fontId="23" fillId="4" borderId="0" xfId="0" applyFont="1" applyFill="1"/>
    <xf numFmtId="164" fontId="59" fillId="5" borderId="0" xfId="0" applyNumberFormat="1" applyFont="1" applyFill="1"/>
    <xf numFmtId="164" fontId="16" fillId="5" borderId="8" xfId="0" applyNumberFormat="1" applyFont="1" applyFill="1" applyBorder="1"/>
    <xf numFmtId="1" fontId="55" fillId="4" borderId="9" xfId="0" applyNumberFormat="1" applyFont="1" applyFill="1" applyBorder="1"/>
    <xf numFmtId="1" fontId="55" fillId="4" borderId="17" xfId="0" applyNumberFormat="1" applyFont="1" applyFill="1" applyBorder="1"/>
    <xf numFmtId="164" fontId="16" fillId="4" borderId="6" xfId="0" applyNumberFormat="1" applyFont="1" applyFill="1" applyBorder="1"/>
    <xf numFmtId="164" fontId="16" fillId="4" borderId="13" xfId="0" applyNumberFormat="1" applyFont="1" applyFill="1" applyBorder="1"/>
    <xf numFmtId="1" fontId="16" fillId="5" borderId="7" xfId="0" applyNumberFormat="1" applyFont="1" applyFill="1" applyBorder="1"/>
    <xf numFmtId="0" fontId="16" fillId="8" borderId="24" xfId="0" applyFont="1" applyFill="1" applyBorder="1"/>
    <xf numFmtId="1" fontId="16" fillId="4" borderId="0" xfId="0" applyNumberFormat="1" applyFont="1" applyFill="1"/>
    <xf numFmtId="0" fontId="16" fillId="5" borderId="7" xfId="0" applyFont="1" applyFill="1" applyBorder="1"/>
    <xf numFmtId="0" fontId="10" fillId="5" borderId="7" xfId="0" applyFont="1" applyFill="1" applyBorder="1"/>
    <xf numFmtId="0" fontId="16" fillId="5" borderId="9" xfId="0" applyFont="1" applyFill="1" applyBorder="1"/>
    <xf numFmtId="1" fontId="16" fillId="4" borderId="8" xfId="0" applyNumberFormat="1" applyFont="1" applyFill="1" applyBorder="1"/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10" fillId="4" borderId="17" xfId="0" applyNumberFormat="1" applyFont="1" applyFill="1" applyBorder="1"/>
    <xf numFmtId="0" fontId="67" fillId="8" borderId="16" xfId="0" applyFont="1" applyFill="1" applyBorder="1"/>
    <xf numFmtId="2" fontId="3" fillId="4" borderId="1" xfId="0" applyNumberFormat="1" applyFont="1" applyFill="1" applyBorder="1"/>
    <xf numFmtId="0" fontId="34" fillId="4" borderId="2" xfId="0" applyFont="1" applyFill="1" applyBorder="1"/>
    <xf numFmtId="2" fontId="3" fillId="4" borderId="7" xfId="0" applyNumberFormat="1" applyFont="1" applyFill="1" applyBorder="1"/>
    <xf numFmtId="0" fontId="59" fillId="5" borderId="7" xfId="0" applyFont="1" applyFill="1" applyBorder="1"/>
    <xf numFmtId="0" fontId="67" fillId="8" borderId="17" xfId="0" applyFont="1" applyFill="1" applyBorder="1"/>
    <xf numFmtId="0" fontId="10" fillId="5" borderId="30" xfId="0" applyFont="1" applyFill="1" applyBorder="1"/>
    <xf numFmtId="1" fontId="16" fillId="8" borderId="13" xfId="0" applyNumberFormat="1" applyFont="1" applyFill="1" applyBorder="1"/>
    <xf numFmtId="0" fontId="9" fillId="4" borderId="4" xfId="0" applyFont="1" applyFill="1" applyBorder="1"/>
    <xf numFmtId="0" fontId="16" fillId="5" borderId="4" xfId="0" applyFont="1" applyFill="1" applyBorder="1"/>
    <xf numFmtId="2" fontId="3" fillId="5" borderId="21" xfId="0" applyNumberFormat="1" applyFont="1" applyFill="1" applyBorder="1"/>
    <xf numFmtId="2" fontId="10" fillId="4" borderId="13" xfId="0" applyNumberFormat="1" applyFont="1" applyFill="1" applyBorder="1"/>
    <xf numFmtId="0" fontId="10" fillId="19" borderId="13" xfId="0" applyFont="1" applyFill="1" applyBorder="1"/>
    <xf numFmtId="0" fontId="59" fillId="5" borderId="30" xfId="0" applyFont="1" applyFill="1" applyBorder="1"/>
    <xf numFmtId="164" fontId="16" fillId="5" borderId="5" xfId="0" applyNumberFormat="1" applyFont="1" applyFill="1" applyBorder="1"/>
    <xf numFmtId="0" fontId="59" fillId="5" borderId="5" xfId="0" applyFont="1" applyFill="1" applyBorder="1"/>
    <xf numFmtId="164" fontId="16" fillId="5" borderId="6" xfId="0" applyNumberFormat="1" applyFont="1" applyFill="1" applyBorder="1"/>
    <xf numFmtId="164" fontId="55" fillId="5" borderId="13" xfId="0" applyNumberFormat="1" applyFont="1" applyFill="1" applyBorder="1"/>
    <xf numFmtId="0" fontId="9" fillId="8" borderId="19" xfId="0" applyFont="1" applyFill="1" applyBorder="1" applyAlignment="1">
      <alignment horizontal="center"/>
    </xf>
    <xf numFmtId="0" fontId="20" fillId="8" borderId="19" xfId="0" applyFont="1" applyFill="1" applyBorder="1" applyAlignment="1">
      <alignment horizontal="center"/>
    </xf>
    <xf numFmtId="0" fontId="4" fillId="0" borderId="19" xfId="0" applyFont="1" applyBorder="1"/>
    <xf numFmtId="0" fontId="3" fillId="4" borderId="19" xfId="0" applyFont="1" applyFill="1" applyBorder="1" applyAlignment="1">
      <alignment horizontal="center"/>
    </xf>
    <xf numFmtId="0" fontId="16" fillId="4" borderId="10" xfId="0" applyFont="1" applyFill="1" applyBorder="1"/>
    <xf numFmtId="0" fontId="52" fillId="24" borderId="28" xfId="0" applyFont="1" applyFill="1" applyBorder="1" applyAlignment="1">
      <alignment horizontal="center"/>
    </xf>
    <xf numFmtId="0" fontId="16" fillId="24" borderId="19" xfId="0" applyFont="1" applyFill="1" applyBorder="1"/>
    <xf numFmtId="0" fontId="4" fillId="5" borderId="8" xfId="0" applyFont="1" applyFill="1" applyBorder="1"/>
    <xf numFmtId="0" fontId="10" fillId="4" borderId="10" xfId="0" applyFont="1" applyFill="1" applyBorder="1" applyAlignment="1">
      <alignment horizontal="center"/>
    </xf>
    <xf numFmtId="0" fontId="16" fillId="5" borderId="46" xfId="0" applyFont="1" applyFill="1" applyBorder="1"/>
    <xf numFmtId="0" fontId="16" fillId="8" borderId="1" xfId="0" applyFont="1" applyFill="1" applyBorder="1"/>
    <xf numFmtId="2" fontId="16" fillId="4" borderId="2" xfId="0" applyNumberFormat="1" applyFont="1" applyFill="1" applyBorder="1"/>
    <xf numFmtId="2" fontId="16" fillId="4" borderId="3" xfId="0" applyNumberFormat="1" applyFont="1" applyFill="1" applyBorder="1"/>
    <xf numFmtId="0" fontId="52" fillId="4" borderId="21" xfId="0" applyFont="1" applyFill="1" applyBorder="1"/>
    <xf numFmtId="14" fontId="9" fillId="5" borderId="69" xfId="0" applyNumberFormat="1" applyFont="1" applyFill="1" applyBorder="1"/>
    <xf numFmtId="0" fontId="30" fillId="5" borderId="16" xfId="0" applyFont="1" applyFill="1" applyBorder="1"/>
    <xf numFmtId="0" fontId="30" fillId="5" borderId="19" xfId="0" applyFont="1" applyFill="1" applyBorder="1"/>
    <xf numFmtId="0" fontId="9" fillId="4" borderId="50" xfId="0" applyFont="1" applyFill="1" applyBorder="1"/>
    <xf numFmtId="2" fontId="16" fillId="4" borderId="0" xfId="0" applyNumberFormat="1" applyFont="1" applyFill="1"/>
    <xf numFmtId="0" fontId="68" fillId="0" borderId="0" xfId="0" applyFont="1"/>
    <xf numFmtId="0" fontId="67" fillId="24" borderId="7" xfId="0" applyFont="1" applyFill="1" applyBorder="1"/>
    <xf numFmtId="164" fontId="67" fillId="5" borderId="1" xfId="0" applyNumberFormat="1" applyFont="1" applyFill="1" applyBorder="1"/>
    <xf numFmtId="164" fontId="67" fillId="5" borderId="16" xfId="0" applyNumberFormat="1" applyFont="1" applyFill="1" applyBorder="1"/>
    <xf numFmtId="164" fontId="67" fillId="5" borderId="17" xfId="0" applyNumberFormat="1" applyFont="1" applyFill="1" applyBorder="1"/>
    <xf numFmtId="2" fontId="67" fillId="5" borderId="1" xfId="0" applyNumberFormat="1" applyFont="1" applyFill="1" applyBorder="1"/>
    <xf numFmtId="2" fontId="67" fillId="5" borderId="3" xfId="0" applyNumberFormat="1" applyFont="1" applyFill="1" applyBorder="1"/>
    <xf numFmtId="164" fontId="67" fillId="5" borderId="7" xfId="0" applyNumberFormat="1" applyFont="1" applyFill="1" applyBorder="1"/>
    <xf numFmtId="2" fontId="67" fillId="5" borderId="7" xfId="0" applyNumberFormat="1" applyFont="1" applyFill="1" applyBorder="1"/>
    <xf numFmtId="2" fontId="67" fillId="5" borderId="8" xfId="0" applyNumberFormat="1" applyFont="1" applyFill="1" applyBorder="1"/>
    <xf numFmtId="2" fontId="67" fillId="5" borderId="17" xfId="0" applyNumberFormat="1" applyFont="1" applyFill="1" applyBorder="1"/>
    <xf numFmtId="2" fontId="34" fillId="4" borderId="0" xfId="0" applyNumberFormat="1" applyFont="1" applyFill="1"/>
    <xf numFmtId="1" fontId="67" fillId="4" borderId="0" xfId="0" applyNumberFormat="1" applyFont="1" applyFill="1"/>
    <xf numFmtId="164" fontId="67" fillId="5" borderId="8" xfId="0" applyNumberFormat="1" applyFont="1" applyFill="1" applyBorder="1"/>
    <xf numFmtId="0" fontId="67" fillId="8" borderId="13" xfId="0" applyFont="1" applyFill="1" applyBorder="1"/>
    <xf numFmtId="165" fontId="3" fillId="4" borderId="5" xfId="0" applyNumberFormat="1" applyFont="1" applyFill="1" applyBorder="1"/>
    <xf numFmtId="165" fontId="3" fillId="4" borderId="6" xfId="0" applyNumberFormat="1" applyFont="1" applyFill="1" applyBorder="1"/>
    <xf numFmtId="14" fontId="9" fillId="5" borderId="23" xfId="0" applyNumberFormat="1" applyFont="1" applyFill="1" applyBorder="1"/>
    <xf numFmtId="0" fontId="34" fillId="4" borderId="70" xfId="0" applyFont="1" applyFill="1" applyBorder="1"/>
    <xf numFmtId="1" fontId="3" fillId="4" borderId="16" xfId="0" applyNumberFormat="1" applyFont="1" applyFill="1" applyBorder="1"/>
    <xf numFmtId="0" fontId="16" fillId="5" borderId="30" xfId="0" applyFont="1" applyFill="1" applyBorder="1"/>
    <xf numFmtId="164" fontId="16" fillId="4" borderId="5" xfId="0" applyNumberFormat="1" applyFont="1" applyFill="1" applyBorder="1"/>
    <xf numFmtId="0" fontId="34" fillId="4" borderId="5" xfId="0" applyFont="1" applyFill="1" applyBorder="1"/>
    <xf numFmtId="2" fontId="16" fillId="4" borderId="30" xfId="0" applyNumberFormat="1" applyFont="1" applyFill="1" applyBorder="1"/>
    <xf numFmtId="2" fontId="16" fillId="4" borderId="6" xfId="0" applyNumberFormat="1" applyFont="1" applyFill="1" applyBorder="1"/>
    <xf numFmtId="2" fontId="16" fillId="5" borderId="4" xfId="0" applyNumberFormat="1" applyFont="1" applyFill="1" applyBorder="1"/>
    <xf numFmtId="0" fontId="67" fillId="24" borderId="4" xfId="0" applyFont="1" applyFill="1" applyBorder="1"/>
    <xf numFmtId="164" fontId="67" fillId="5" borderId="4" xfId="0" applyNumberFormat="1" applyFont="1" applyFill="1" applyBorder="1"/>
    <xf numFmtId="164" fontId="67" fillId="5" borderId="13" xfId="0" applyNumberFormat="1" applyFont="1" applyFill="1" applyBorder="1"/>
    <xf numFmtId="2" fontId="67" fillId="5" borderId="4" xfId="0" applyNumberFormat="1" applyFont="1" applyFill="1" applyBorder="1"/>
    <xf numFmtId="2" fontId="67" fillId="5" borderId="13" xfId="0" applyNumberFormat="1" applyFont="1" applyFill="1" applyBorder="1"/>
    <xf numFmtId="0" fontId="34" fillId="4" borderId="7" xfId="0" applyFont="1" applyFill="1" applyBorder="1"/>
    <xf numFmtId="0" fontId="9" fillId="10" borderId="19" xfId="0" applyFont="1" applyFill="1" applyBorder="1"/>
    <xf numFmtId="14" fontId="56" fillId="5" borderId="21" xfId="0" applyNumberFormat="1" applyFont="1" applyFill="1" applyBorder="1"/>
    <xf numFmtId="0" fontId="12" fillId="5" borderId="2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6" fillId="5" borderId="2" xfId="0" applyFont="1" applyFill="1" applyBorder="1"/>
    <xf numFmtId="166" fontId="16" fillId="5" borderId="1" xfId="0" applyNumberFormat="1" applyFont="1" applyFill="1" applyBorder="1"/>
    <xf numFmtId="166" fontId="16" fillId="5" borderId="3" xfId="0" applyNumberFormat="1" applyFont="1" applyFill="1" applyBorder="1"/>
    <xf numFmtId="0" fontId="16" fillId="5" borderId="0" xfId="0" applyFont="1" applyFill="1"/>
    <xf numFmtId="166" fontId="16" fillId="5" borderId="7" xfId="0" applyNumberFormat="1" applyFont="1" applyFill="1" applyBorder="1"/>
    <xf numFmtId="166" fontId="16" fillId="5" borderId="8" xfId="0" applyNumberFormat="1" applyFont="1" applyFill="1" applyBorder="1"/>
    <xf numFmtId="166" fontId="16" fillId="5" borderId="0" xfId="0" applyNumberFormat="1" applyFont="1" applyFill="1"/>
    <xf numFmtId="166" fontId="16" fillId="5" borderId="4" xfId="0" applyNumberFormat="1" applyFont="1" applyFill="1" applyBorder="1"/>
    <xf numFmtId="166" fontId="16" fillId="5" borderId="6" xfId="0" applyNumberFormat="1" applyFont="1" applyFill="1" applyBorder="1"/>
    <xf numFmtId="0" fontId="4" fillId="0" borderId="37" xfId="0" applyFont="1" applyBorder="1"/>
    <xf numFmtId="0" fontId="7" fillId="0" borderId="32" xfId="0" applyFont="1" applyBorder="1"/>
    <xf numFmtId="14" fontId="15" fillId="0" borderId="33" xfId="0" applyNumberFormat="1" applyFont="1" applyBorder="1"/>
    <xf numFmtId="0" fontId="10" fillId="18" borderId="32" xfId="0" applyFont="1" applyFill="1" applyBorder="1"/>
    <xf numFmtId="0" fontId="4" fillId="18" borderId="34" xfId="0" applyFont="1" applyFill="1" applyBorder="1"/>
    <xf numFmtId="0" fontId="4" fillId="18" borderId="33" xfId="0" applyFont="1" applyFill="1" applyBorder="1"/>
    <xf numFmtId="0" fontId="3" fillId="5" borderId="10" xfId="0" applyFont="1" applyFill="1" applyBorder="1"/>
    <xf numFmtId="0" fontId="4" fillId="16" borderId="29" xfId="0" applyFont="1" applyFill="1" applyBorder="1"/>
    <xf numFmtId="0" fontId="4" fillId="25" borderId="29" xfId="0" applyFont="1" applyFill="1" applyBorder="1"/>
    <xf numFmtId="0" fontId="4" fillId="25" borderId="2" xfId="0" applyFont="1" applyFill="1" applyBorder="1"/>
    <xf numFmtId="0" fontId="4" fillId="25" borderId="28" xfId="0" applyFont="1" applyFill="1" applyBorder="1"/>
    <xf numFmtId="0" fontId="63" fillId="0" borderId="50" xfId="0" applyFont="1" applyBorder="1" applyAlignment="1">
      <alignment horizontal="center"/>
    </xf>
    <xf numFmtId="0" fontId="63" fillId="0" borderId="21" xfId="0" applyFont="1" applyBorder="1" applyAlignment="1">
      <alignment horizontal="center"/>
    </xf>
    <xf numFmtId="0" fontId="9" fillId="18" borderId="17" xfId="0" applyFont="1" applyFill="1" applyBorder="1"/>
    <xf numFmtId="0" fontId="15" fillId="0" borderId="37" xfId="0" applyFont="1" applyBorder="1"/>
    <xf numFmtId="0" fontId="21" fillId="4" borderId="32" xfId="0" applyFont="1" applyFill="1" applyBorder="1"/>
    <xf numFmtId="0" fontId="21" fillId="4" borderId="34" xfId="0" applyFont="1" applyFill="1" applyBorder="1"/>
    <xf numFmtId="0" fontId="69" fillId="4" borderId="34" xfId="0" applyFont="1" applyFill="1" applyBorder="1"/>
    <xf numFmtId="0" fontId="70" fillId="4" borderId="34" xfId="0" applyFont="1" applyFill="1" applyBorder="1"/>
    <xf numFmtId="0" fontId="12" fillId="11" borderId="28" xfId="0" applyFont="1" applyFill="1" applyBorder="1"/>
    <xf numFmtId="0" fontId="12" fillId="14" borderId="29" xfId="0" applyFont="1" applyFill="1" applyBorder="1"/>
    <xf numFmtId="0" fontId="12" fillId="14" borderId="50" xfId="0" applyFont="1" applyFill="1" applyBorder="1"/>
    <xf numFmtId="0" fontId="4" fillId="10" borderId="28" xfId="0" applyFont="1" applyFill="1" applyBorder="1"/>
    <xf numFmtId="0" fontId="9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63" fillId="4" borderId="29" xfId="0" applyFont="1" applyFill="1" applyBorder="1"/>
    <xf numFmtId="14" fontId="71" fillId="0" borderId="0" xfId="0" applyNumberFormat="1" applyFont="1"/>
    <xf numFmtId="0" fontId="10" fillId="18" borderId="0" xfId="0" applyFont="1" applyFill="1"/>
    <xf numFmtId="165" fontId="9" fillId="11" borderId="16" xfId="0" applyNumberFormat="1" applyFont="1" applyFill="1" applyBorder="1"/>
    <xf numFmtId="165" fontId="9" fillId="0" borderId="0" xfId="0" applyNumberFormat="1" applyFont="1"/>
    <xf numFmtId="165" fontId="9" fillId="10" borderId="0" xfId="0" applyNumberFormat="1" applyFont="1" applyFill="1"/>
    <xf numFmtId="165" fontId="20" fillId="4" borderId="16" xfId="0" applyNumberFormat="1" applyFont="1" applyFill="1" applyBorder="1"/>
    <xf numFmtId="2" fontId="20" fillId="0" borderId="2" xfId="0" applyNumberFormat="1" applyFont="1" applyBorder="1"/>
    <xf numFmtId="0" fontId="4" fillId="0" borderId="2" xfId="0" applyFont="1" applyBorder="1"/>
    <xf numFmtId="2" fontId="20" fillId="0" borderId="3" xfId="0" applyNumberFormat="1" applyFont="1" applyBorder="1"/>
    <xf numFmtId="165" fontId="29" fillId="0" borderId="0" xfId="0" applyNumberFormat="1" applyFont="1"/>
    <xf numFmtId="164" fontId="29" fillId="0" borderId="0" xfId="0" applyNumberFormat="1" applyFont="1"/>
    <xf numFmtId="164" fontId="4" fillId="0" borderId="0" xfId="0" applyNumberFormat="1" applyFont="1"/>
    <xf numFmtId="0" fontId="72" fillId="4" borderId="29" xfId="0" applyFont="1" applyFill="1" applyBorder="1"/>
    <xf numFmtId="0" fontId="12" fillId="4" borderId="29" xfId="0" applyFont="1" applyFill="1" applyBorder="1"/>
    <xf numFmtId="164" fontId="9" fillId="11" borderId="17" xfId="0" applyNumberFormat="1" applyFont="1" applyFill="1" applyBorder="1"/>
    <xf numFmtId="164" fontId="9" fillId="10" borderId="0" xfId="0" applyNumberFormat="1" applyFont="1" applyFill="1"/>
    <xf numFmtId="2" fontId="20" fillId="0" borderId="7" xfId="0" applyNumberFormat="1" applyFont="1" applyBorder="1"/>
    <xf numFmtId="2" fontId="20" fillId="4" borderId="17" xfId="0" applyNumberFormat="1" applyFont="1" applyFill="1" applyBorder="1"/>
    <xf numFmtId="164" fontId="30" fillId="0" borderId="0" xfId="0" applyNumberFormat="1" applyFont="1"/>
    <xf numFmtId="2" fontId="4" fillId="0" borderId="0" xfId="0" applyNumberFormat="1" applyFont="1"/>
    <xf numFmtId="165" fontId="9" fillId="11" borderId="17" xfId="0" applyNumberFormat="1" applyFont="1" applyFill="1" applyBorder="1"/>
    <xf numFmtId="2" fontId="7" fillId="0" borderId="0" xfId="0" applyNumberFormat="1" applyFont="1"/>
    <xf numFmtId="2" fontId="7" fillId="2" borderId="0" xfId="0" applyNumberFormat="1" applyFont="1" applyFill="1"/>
    <xf numFmtId="0" fontId="9" fillId="11" borderId="17" xfId="0" applyFont="1" applyFill="1" applyBorder="1"/>
    <xf numFmtId="2" fontId="9" fillId="0" borderId="0" xfId="0" applyNumberFormat="1" applyFont="1"/>
    <xf numFmtId="0" fontId="9" fillId="18" borderId="9" xfId="0" applyFont="1" applyFill="1" applyBorder="1"/>
    <xf numFmtId="165" fontId="22" fillId="2" borderId="0" xfId="0" applyNumberFormat="1" applyFont="1" applyFill="1"/>
    <xf numFmtId="164" fontId="22" fillId="2" borderId="0" xfId="0" applyNumberFormat="1" applyFont="1" applyFill="1"/>
    <xf numFmtId="2" fontId="9" fillId="11" borderId="17" xfId="0" applyNumberFormat="1" applyFont="1" applyFill="1" applyBorder="1"/>
    <xf numFmtId="2" fontId="9" fillId="2" borderId="0" xfId="0" applyNumberFormat="1" applyFont="1" applyFill="1"/>
    <xf numFmtId="2" fontId="7" fillId="11" borderId="17" xfId="0" applyNumberFormat="1" applyFont="1" applyFill="1" applyBorder="1"/>
    <xf numFmtId="2" fontId="7" fillId="10" borderId="7" xfId="0" applyNumberFormat="1" applyFont="1" applyFill="1" applyBorder="1"/>
    <xf numFmtId="2" fontId="7" fillId="0" borderId="8" xfId="0" applyNumberFormat="1" applyFont="1" applyBorder="1"/>
    <xf numFmtId="2" fontId="30" fillId="0" borderId="0" xfId="0" applyNumberFormat="1" applyFont="1"/>
    <xf numFmtId="164" fontId="10" fillId="11" borderId="17" xfId="0" applyNumberFormat="1" applyFont="1" applyFill="1" applyBorder="1"/>
    <xf numFmtId="0" fontId="63" fillId="4" borderId="2" xfId="0" applyFont="1" applyFill="1" applyBorder="1"/>
    <xf numFmtId="0" fontId="72" fillId="4" borderId="2" xfId="0" applyFont="1" applyFill="1" applyBorder="1"/>
    <xf numFmtId="0" fontId="11" fillId="0" borderId="29" xfId="0" applyFont="1" applyBorder="1"/>
    <xf numFmtId="1" fontId="9" fillId="11" borderId="17" xfId="0" applyNumberFormat="1" applyFont="1" applyFill="1" applyBorder="1"/>
    <xf numFmtId="14" fontId="71" fillId="5" borderId="0" xfId="0" applyNumberFormat="1" applyFont="1" applyFill="1"/>
    <xf numFmtId="164" fontId="9" fillId="0" borderId="50" xfId="0" applyNumberFormat="1" applyFont="1" applyBorder="1"/>
    <xf numFmtId="2" fontId="20" fillId="0" borderId="17" xfId="0" applyNumberFormat="1" applyFont="1" applyBorder="1"/>
    <xf numFmtId="166" fontId="4" fillId="0" borderId="0" xfId="0" applyNumberFormat="1" applyFont="1"/>
    <xf numFmtId="0" fontId="15" fillId="0" borderId="50" xfId="0" applyFont="1" applyBorder="1"/>
    <xf numFmtId="0" fontId="21" fillId="5" borderId="20" xfId="0" applyFont="1" applyFill="1" applyBorder="1"/>
    <xf numFmtId="0" fontId="21" fillId="5" borderId="34" xfId="0" applyFont="1" applyFill="1" applyBorder="1"/>
    <xf numFmtId="0" fontId="16" fillId="0" borderId="34" xfId="0" applyFont="1" applyBorder="1"/>
    <xf numFmtId="0" fontId="34" fillId="0" borderId="34" xfId="0" applyFont="1" applyBorder="1"/>
    <xf numFmtId="1" fontId="10" fillId="11" borderId="50" xfId="0" applyNumberFormat="1" applyFont="1" applyFill="1" applyBorder="1"/>
    <xf numFmtId="0" fontId="12" fillId="14" borderId="32" xfId="0" applyFont="1" applyFill="1" applyBorder="1"/>
    <xf numFmtId="0" fontId="12" fillId="14" borderId="34" xfId="0" applyFont="1" applyFill="1" applyBorder="1"/>
    <xf numFmtId="0" fontId="9" fillId="10" borderId="33" xfId="0" applyFont="1" applyFill="1" applyBorder="1"/>
    <xf numFmtId="0" fontId="10" fillId="0" borderId="16" xfId="0" applyFont="1" applyBorder="1"/>
    <xf numFmtId="164" fontId="9" fillId="11" borderId="24" xfId="0" applyNumberFormat="1" applyFont="1" applyFill="1" applyBorder="1"/>
    <xf numFmtId="164" fontId="9" fillId="4" borderId="5" xfId="0" applyNumberFormat="1" applyFont="1" applyFill="1" applyBorder="1"/>
    <xf numFmtId="164" fontId="9" fillId="4" borderId="6" xfId="0" applyNumberFormat="1" applyFont="1" applyFill="1" applyBorder="1"/>
    <xf numFmtId="0" fontId="12" fillId="0" borderId="18" xfId="0" applyFont="1" applyBorder="1"/>
    <xf numFmtId="164" fontId="10" fillId="4" borderId="29" xfId="0" applyNumberFormat="1" applyFont="1" applyFill="1" applyBorder="1"/>
    <xf numFmtId="164" fontId="9" fillId="4" borderId="29" xfId="0" applyNumberFormat="1" applyFont="1" applyFill="1" applyBorder="1"/>
    <xf numFmtId="164" fontId="9" fillId="4" borderId="28" xfId="0" applyNumberFormat="1" applyFont="1" applyFill="1" applyBorder="1"/>
    <xf numFmtId="0" fontId="12" fillId="0" borderId="29" xfId="0" applyFont="1" applyBorder="1"/>
    <xf numFmtId="0" fontId="12" fillId="8" borderId="69" xfId="0" applyFont="1" applyFill="1" applyBorder="1"/>
    <xf numFmtId="2" fontId="20" fillId="0" borderId="13" xfId="0" applyNumberFormat="1" applyFont="1" applyBorder="1"/>
    <xf numFmtId="2" fontId="20" fillId="4" borderId="13" xfId="0" applyNumberFormat="1" applyFont="1" applyFill="1" applyBorder="1"/>
    <xf numFmtId="2" fontId="20" fillId="0" borderId="4" xfId="0" applyNumberFormat="1" applyFont="1" applyBorder="1"/>
    <xf numFmtId="2" fontId="20" fillId="0" borderId="5" xfId="0" applyNumberFormat="1" applyFont="1" applyBorder="1"/>
    <xf numFmtId="2" fontId="20" fillId="0" borderId="6" xfId="0" applyNumberFormat="1" applyFont="1" applyBorder="1"/>
    <xf numFmtId="164" fontId="9" fillId="4" borderId="2" xfId="0" applyNumberFormat="1" applyFont="1" applyFill="1" applyBorder="1"/>
    <xf numFmtId="164" fontId="9" fillId="4" borderId="3" xfId="0" applyNumberFormat="1" applyFont="1" applyFill="1" applyBorder="1"/>
    <xf numFmtId="0" fontId="9" fillId="18" borderId="8" xfId="0" applyFont="1" applyFill="1" applyBorder="1"/>
    <xf numFmtId="0" fontId="63" fillId="2" borderId="0" xfId="0" applyFont="1" applyFill="1"/>
    <xf numFmtId="0" fontId="4" fillId="4" borderId="29" xfId="0" applyFont="1" applyFill="1" applyBorder="1"/>
    <xf numFmtId="0" fontId="63" fillId="0" borderId="0" xfId="0" applyFont="1"/>
    <xf numFmtId="0" fontId="72" fillId="0" borderId="0" xfId="0" applyFont="1"/>
    <xf numFmtId="0" fontId="10" fillId="0" borderId="24" xfId="0" applyFont="1" applyBorder="1"/>
    <xf numFmtId="0" fontId="10" fillId="0" borderId="19" xfId="0" applyFont="1" applyBorder="1"/>
    <xf numFmtId="0" fontId="73" fillId="0" borderId="29" xfId="0" applyFont="1" applyBorder="1" applyAlignment="1">
      <alignment horizontal="center" vertical="center" readingOrder="1"/>
    </xf>
    <xf numFmtId="164" fontId="9" fillId="0" borderId="29" xfId="0" applyNumberFormat="1" applyFont="1" applyBorder="1"/>
    <xf numFmtId="0" fontId="30" fillId="4" borderId="29" xfId="0" applyFont="1" applyFill="1" applyBorder="1"/>
    <xf numFmtId="164" fontId="9" fillId="0" borderId="28" xfId="0" applyNumberFormat="1" applyFont="1" applyBorder="1"/>
    <xf numFmtId="0" fontId="73" fillId="0" borderId="18" xfId="0" applyFont="1" applyBorder="1"/>
    <xf numFmtId="0" fontId="20" fillId="0" borderId="18" xfId="0" applyFont="1" applyBorder="1"/>
    <xf numFmtId="0" fontId="10" fillId="0" borderId="13" xfId="0" applyFont="1" applyBorder="1"/>
    <xf numFmtId="0" fontId="9" fillId="0" borderId="5" xfId="0" applyFont="1" applyBorder="1"/>
    <xf numFmtId="0" fontId="10" fillId="10" borderId="5" xfId="0" applyFont="1" applyFill="1" applyBorder="1"/>
    <xf numFmtId="0" fontId="10" fillId="10" borderId="6" xfId="0" applyFont="1" applyFill="1" applyBorder="1"/>
    <xf numFmtId="0" fontId="4" fillId="14" borderId="4" xfId="0" applyFont="1" applyFill="1" applyBorder="1"/>
    <xf numFmtId="0" fontId="4" fillId="14" borderId="5" xfId="0" applyFont="1" applyFill="1" applyBorder="1"/>
    <xf numFmtId="0" fontId="4" fillId="11" borderId="19" xfId="0" applyFont="1" applyFill="1" applyBorder="1"/>
    <xf numFmtId="0" fontId="4" fillId="14" borderId="29" xfId="0" applyFont="1" applyFill="1" applyBorder="1"/>
    <xf numFmtId="0" fontId="4" fillId="14" borderId="2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10" fillId="0" borderId="32" xfId="0" applyFont="1" applyBorder="1"/>
    <xf numFmtId="0" fontId="4" fillId="0" borderId="34" xfId="0" applyFont="1" applyBorder="1"/>
    <xf numFmtId="0" fontId="4" fillId="16" borderId="0" xfId="0" applyFont="1" applyFill="1"/>
    <xf numFmtId="0" fontId="7" fillId="5" borderId="1" xfId="0" applyFont="1" applyFill="1" applyBorder="1"/>
    <xf numFmtId="0" fontId="7" fillId="5" borderId="2" xfId="0" applyFont="1" applyFill="1" applyBorder="1"/>
    <xf numFmtId="0" fontId="7" fillId="5" borderId="18" xfId="0" applyFont="1" applyFill="1" applyBorder="1"/>
    <xf numFmtId="14" fontId="15" fillId="5" borderId="28" xfId="0" applyNumberFormat="1" applyFont="1" applyFill="1" applyBorder="1"/>
    <xf numFmtId="0" fontId="7" fillId="5" borderId="7" xfId="0" applyFont="1" applyFill="1" applyBorder="1"/>
    <xf numFmtId="0" fontId="7" fillId="5" borderId="0" xfId="0" applyFont="1" applyFill="1"/>
    <xf numFmtId="0" fontId="7" fillId="5" borderId="8" xfId="0" applyFont="1" applyFill="1" applyBorder="1"/>
    <xf numFmtId="0" fontId="7" fillId="14" borderId="18" xfId="0" applyFont="1" applyFill="1" applyBorder="1"/>
    <xf numFmtId="0" fontId="7" fillId="14" borderId="29" xfId="0" applyFont="1" applyFill="1" applyBorder="1"/>
    <xf numFmtId="165" fontId="7" fillId="11" borderId="19" xfId="0" applyNumberFormat="1" applyFont="1" applyFill="1" applyBorder="1"/>
    <xf numFmtId="0" fontId="4" fillId="14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4" fillId="16" borderId="3" xfId="0" applyFont="1" applyFill="1" applyBorder="1"/>
    <xf numFmtId="0" fontId="7" fillId="10" borderId="0" xfId="0" applyFont="1" applyFill="1"/>
    <xf numFmtId="166" fontId="9" fillId="11" borderId="0" xfId="0" applyNumberFormat="1" applyFont="1" applyFill="1"/>
    <xf numFmtId="1" fontId="7" fillId="0" borderId="0" xfId="0" applyNumberFormat="1" applyFont="1"/>
    <xf numFmtId="166" fontId="74" fillId="8" borderId="0" xfId="0" applyNumberFormat="1" applyFont="1" applyFill="1"/>
    <xf numFmtId="166" fontId="9" fillId="10" borderId="0" xfId="0" applyNumberFormat="1" applyFont="1" applyFill="1"/>
    <xf numFmtId="0" fontId="4" fillId="16" borderId="8" xfId="0" applyFont="1" applyFill="1" applyBorder="1"/>
    <xf numFmtId="165" fontId="9" fillId="11" borderId="0" xfId="0" applyNumberFormat="1" applyFont="1" applyFill="1"/>
    <xf numFmtId="165" fontId="7" fillId="0" borderId="0" xfId="0" applyNumberFormat="1" applyFont="1"/>
    <xf numFmtId="165" fontId="74" fillId="8" borderId="0" xfId="0" applyNumberFormat="1" applyFont="1" applyFill="1"/>
    <xf numFmtId="0" fontId="9" fillId="11" borderId="0" xfId="0" applyFont="1" applyFill="1"/>
    <xf numFmtId="164" fontId="7" fillId="0" borderId="0" xfId="0" applyNumberFormat="1" applyFont="1"/>
    <xf numFmtId="0" fontId="4" fillId="10" borderId="0" xfId="0" applyFont="1" applyFill="1"/>
    <xf numFmtId="165" fontId="62" fillId="8" borderId="0" xfId="0" applyNumberFormat="1" applyFont="1" applyFill="1"/>
    <xf numFmtId="2" fontId="62" fillId="8" borderId="0" xfId="0" applyNumberFormat="1" applyFont="1" applyFill="1"/>
    <xf numFmtId="0" fontId="4" fillId="4" borderId="9" xfId="0" applyFont="1" applyFill="1" applyBorder="1"/>
    <xf numFmtId="0" fontId="75" fillId="16" borderId="8" xfId="0" applyFont="1" applyFill="1" applyBorder="1"/>
    <xf numFmtId="165" fontId="9" fillId="8" borderId="0" xfId="0" applyNumberFormat="1" applyFont="1" applyFill="1"/>
    <xf numFmtId="0" fontId="7" fillId="4" borderId="4" xfId="0" applyFont="1" applyFill="1" applyBorder="1"/>
    <xf numFmtId="0" fontId="4" fillId="16" borderId="6" xfId="0" applyFont="1" applyFill="1" applyBorder="1"/>
    <xf numFmtId="0" fontId="7" fillId="14" borderId="1" xfId="0" applyFont="1" applyFill="1" applyBorder="1"/>
    <xf numFmtId="0" fontId="7" fillId="14" borderId="2" xfId="0" applyFont="1" applyFill="1" applyBorder="1"/>
    <xf numFmtId="0" fontId="4" fillId="14" borderId="3" xfId="0" applyFont="1" applyFill="1" applyBorder="1"/>
    <xf numFmtId="0" fontId="9" fillId="11" borderId="10" xfId="0" applyFont="1" applyFill="1" applyBorder="1"/>
    <xf numFmtId="0" fontId="9" fillId="10" borderId="24" xfId="0" applyFont="1" applyFill="1" applyBorder="1"/>
    <xf numFmtId="0" fontId="15" fillId="10" borderId="9" xfId="0" applyFont="1" applyFill="1" applyBorder="1"/>
    <xf numFmtId="0" fontId="15" fillId="10" borderId="0" xfId="0" applyFont="1" applyFill="1"/>
    <xf numFmtId="0" fontId="15" fillId="10" borderId="8" xfId="0" applyFont="1" applyFill="1" applyBorder="1"/>
    <xf numFmtId="165" fontId="7" fillId="11" borderId="8" xfId="0" applyNumberFormat="1" applyFont="1" applyFill="1" applyBorder="1"/>
    <xf numFmtId="0" fontId="4" fillId="16" borderId="17" xfId="0" applyFont="1" applyFill="1" applyBorder="1"/>
    <xf numFmtId="0" fontId="9" fillId="11" borderId="50" xfId="0" applyFont="1" applyFill="1" applyBorder="1"/>
    <xf numFmtId="0" fontId="3" fillId="0" borderId="18" xfId="0" applyFont="1" applyBorder="1"/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vertical="top"/>
    </xf>
    <xf numFmtId="165" fontId="7" fillId="11" borderId="17" xfId="0" applyNumberFormat="1" applyFont="1" applyFill="1" applyBorder="1"/>
    <xf numFmtId="1" fontId="7" fillId="11" borderId="17" xfId="0" applyNumberFormat="1" applyFont="1" applyFill="1" applyBorder="1"/>
    <xf numFmtId="164" fontId="7" fillId="11" borderId="17" xfId="0" applyNumberFormat="1" applyFont="1" applyFill="1" applyBorder="1"/>
    <xf numFmtId="0" fontId="7" fillId="10" borderId="9" xfId="0" applyFont="1" applyFill="1" applyBorder="1"/>
    <xf numFmtId="0" fontId="7" fillId="10" borderId="8" xfId="0" applyFont="1" applyFill="1" applyBorder="1"/>
    <xf numFmtId="165" fontId="7" fillId="11" borderId="24" xfId="0" applyNumberFormat="1" applyFont="1" applyFill="1" applyBorder="1"/>
    <xf numFmtId="0" fontId="9" fillId="10" borderId="17" xfId="0" applyFont="1" applyFill="1" applyBorder="1"/>
    <xf numFmtId="0" fontId="7" fillId="10" borderId="7" xfId="0" applyFont="1" applyFill="1" applyBorder="1"/>
    <xf numFmtId="2" fontId="7" fillId="11" borderId="13" xfId="0" applyNumberFormat="1" applyFont="1" applyFill="1" applyBorder="1"/>
    <xf numFmtId="0" fontId="9" fillId="10" borderId="4" xfId="0" applyFont="1" applyFill="1" applyBorder="1"/>
    <xf numFmtId="0" fontId="9" fillId="10" borderId="5" xfId="0" applyFont="1" applyFill="1" applyBorder="1"/>
    <xf numFmtId="0" fontId="7" fillId="10" borderId="6" xfId="0" applyFont="1" applyFill="1" applyBorder="1"/>
    <xf numFmtId="0" fontId="7" fillId="14" borderId="5" xfId="0" applyFont="1" applyFill="1" applyBorder="1"/>
    <xf numFmtId="0" fontId="7" fillId="17" borderId="29" xfId="0" applyFont="1" applyFill="1" applyBorder="1"/>
    <xf numFmtId="0" fontId="9" fillId="10" borderId="9" xfId="0" applyFont="1" applyFill="1" applyBorder="1"/>
    <xf numFmtId="0" fontId="9" fillId="10" borderId="8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5" borderId="57" xfId="0" applyFont="1" applyFill="1" applyBorder="1"/>
    <xf numFmtId="0" fontId="7" fillId="5" borderId="48" xfId="0" applyFont="1" applyFill="1" applyBorder="1"/>
    <xf numFmtId="0" fontId="7" fillId="5" borderId="58" xfId="0" applyFont="1" applyFill="1" applyBorder="1"/>
    <xf numFmtId="0" fontId="7" fillId="5" borderId="37" xfId="0" applyFont="1" applyFill="1" applyBorder="1"/>
    <xf numFmtId="0" fontId="4" fillId="0" borderId="52" xfId="0" applyFont="1" applyBorder="1"/>
    <xf numFmtId="0" fontId="7" fillId="0" borderId="18" xfId="0" applyFont="1" applyBorder="1"/>
    <xf numFmtId="0" fontId="7" fillId="0" borderId="29" xfId="0" applyFont="1" applyBorder="1"/>
    <xf numFmtId="0" fontId="7" fillId="0" borderId="34" xfId="0" applyFont="1" applyBorder="1"/>
    <xf numFmtId="0" fontId="7" fillId="0" borderId="33" xfId="0" applyFont="1" applyBorder="1"/>
    <xf numFmtId="0" fontId="4" fillId="11" borderId="50" xfId="0" applyFont="1" applyFill="1" applyBorder="1"/>
    <xf numFmtId="0" fontId="33" fillId="26" borderId="0" xfId="0" applyFont="1" applyFill="1"/>
    <xf numFmtId="0" fontId="10" fillId="26" borderId="0" xfId="0" applyFont="1" applyFill="1"/>
    <xf numFmtId="0" fontId="7" fillId="26" borderId="0" xfId="0" applyFont="1" applyFill="1"/>
    <xf numFmtId="0" fontId="23" fillId="11" borderId="17" xfId="0" applyFont="1" applyFill="1" applyBorder="1"/>
    <xf numFmtId="0" fontId="23" fillId="11" borderId="24" xfId="0" applyFont="1" applyFill="1" applyBorder="1"/>
    <xf numFmtId="0" fontId="4" fillId="11" borderId="17" xfId="0" applyFont="1" applyFill="1" applyBorder="1"/>
    <xf numFmtId="2" fontId="76" fillId="0" borderId="0" xfId="0" applyNumberFormat="1" applyFont="1"/>
    <xf numFmtId="0" fontId="7" fillId="11" borderId="17" xfId="0" applyFont="1" applyFill="1" applyBorder="1"/>
    <xf numFmtId="0" fontId="7" fillId="11" borderId="24" xfId="0" applyFont="1" applyFill="1" applyBorder="1"/>
    <xf numFmtId="0" fontId="7" fillId="9" borderId="0" xfId="0" applyFont="1" applyFill="1"/>
    <xf numFmtId="0" fontId="7" fillId="14" borderId="28" xfId="0" applyFont="1" applyFill="1" applyBorder="1"/>
    <xf numFmtId="166" fontId="7" fillId="0" borderId="18" xfId="0" applyNumberFormat="1" applyFont="1" applyBorder="1"/>
    <xf numFmtId="166" fontId="7" fillId="0" borderId="29" xfId="0" applyNumberFormat="1" applyFont="1" applyBorder="1"/>
    <xf numFmtId="0" fontId="9" fillId="10" borderId="28" xfId="0" applyFont="1" applyFill="1" applyBorder="1"/>
    <xf numFmtId="164" fontId="7" fillId="0" borderId="18" xfId="0" applyNumberFormat="1" applyFont="1" applyBorder="1"/>
    <xf numFmtId="164" fontId="7" fillId="0" borderId="29" xfId="0" applyNumberFormat="1" applyFont="1" applyBorder="1"/>
    <xf numFmtId="0" fontId="7" fillId="14" borderId="0" xfId="0" applyFont="1" applyFill="1"/>
    <xf numFmtId="0" fontId="7" fillId="10" borderId="1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4" fillId="11" borderId="8" xfId="0" applyFont="1" applyFill="1" applyBorder="1"/>
    <xf numFmtId="0" fontId="7" fillId="5" borderId="29" xfId="0" applyFont="1" applyFill="1" applyBorder="1"/>
    <xf numFmtId="0" fontId="7" fillId="5" borderId="28" xfId="0" applyFont="1" applyFill="1" applyBorder="1"/>
    <xf numFmtId="0" fontId="7" fillId="5" borderId="33" xfId="0" applyFont="1" applyFill="1" applyBorder="1"/>
    <xf numFmtId="0" fontId="4" fillId="5" borderId="29" xfId="0" applyFont="1" applyFill="1" applyBorder="1"/>
    <xf numFmtId="165" fontId="29" fillId="2" borderId="0" xfId="0" applyNumberFormat="1" applyFont="1" applyFill="1"/>
    <xf numFmtId="166" fontId="29" fillId="0" borderId="0" xfId="0" applyNumberFormat="1" applyFont="1"/>
    <xf numFmtId="166" fontId="29" fillId="2" borderId="0" xfId="0" applyNumberFormat="1" applyFont="1" applyFill="1"/>
    <xf numFmtId="0" fontId="4" fillId="9" borderId="0" xfId="0" applyFont="1" applyFill="1"/>
    <xf numFmtId="0" fontId="37" fillId="9" borderId="0" xfId="0" applyFont="1" applyFill="1"/>
    <xf numFmtId="0" fontId="4" fillId="0" borderId="0" xfId="0" applyFont="1" applyAlignment="1">
      <alignment wrapText="1"/>
    </xf>
    <xf numFmtId="0" fontId="4" fillId="10" borderId="18" xfId="0" applyFont="1" applyFill="1" applyBorder="1"/>
    <xf numFmtId="0" fontId="4" fillId="10" borderId="29" xfId="0" applyFont="1" applyFill="1" applyBorder="1"/>
    <xf numFmtId="0" fontId="4" fillId="9" borderId="16" xfId="0" applyFont="1" applyFill="1" applyBorder="1"/>
    <xf numFmtId="0" fontId="9" fillId="5" borderId="16" xfId="0" applyFont="1" applyFill="1" applyBorder="1"/>
    <xf numFmtId="0" fontId="9" fillId="11" borderId="19" xfId="0" applyFont="1" applyFill="1" applyBorder="1"/>
    <xf numFmtId="0" fontId="7" fillId="11" borderId="19" xfId="0" applyFont="1" applyFill="1" applyBorder="1"/>
    <xf numFmtId="0" fontId="9" fillId="5" borderId="10" xfId="0" applyFont="1" applyFill="1" applyBorder="1"/>
    <xf numFmtId="0" fontId="7" fillId="10" borderId="19" xfId="0" applyFont="1" applyFill="1" applyBorder="1"/>
    <xf numFmtId="0" fontId="15" fillId="13" borderId="16" xfId="0" applyFont="1" applyFill="1" applyBorder="1"/>
    <xf numFmtId="0" fontId="15" fillId="13" borderId="1" xfId="0" applyFont="1" applyFill="1" applyBorder="1"/>
    <xf numFmtId="0" fontId="62" fillId="0" borderId="0" xfId="0" applyFont="1" applyAlignment="1">
      <alignment horizontal="center"/>
    </xf>
    <xf numFmtId="0" fontId="77" fillId="5" borderId="16" xfId="0" applyFont="1" applyFill="1" applyBorder="1"/>
    <xf numFmtId="0" fontId="21" fillId="5" borderId="1" xfId="0" applyFont="1" applyFill="1" applyBorder="1"/>
    <xf numFmtId="0" fontId="21" fillId="27" borderId="19" xfId="0" applyFont="1" applyFill="1" applyBorder="1"/>
    <xf numFmtId="0" fontId="21" fillId="27" borderId="3" xfId="0" applyFont="1" applyFill="1" applyBorder="1"/>
    <xf numFmtId="0" fontId="21" fillId="27" borderId="2" xfId="0" applyFont="1" applyFill="1" applyBorder="1"/>
    <xf numFmtId="14" fontId="78" fillId="5" borderId="13" xfId="0" applyNumberFormat="1" applyFont="1" applyFill="1" applyBorder="1"/>
    <xf numFmtId="0" fontId="23" fillId="5" borderId="19" xfId="0" applyFont="1" applyFill="1" applyBorder="1"/>
    <xf numFmtId="0" fontId="23" fillId="5" borderId="18" xfId="0" applyFont="1" applyFill="1" applyBorder="1"/>
    <xf numFmtId="0" fontId="23" fillId="5" borderId="3" xfId="0" applyFont="1" applyFill="1" applyBorder="1"/>
    <xf numFmtId="0" fontId="23" fillId="5" borderId="16" xfId="0" applyFont="1" applyFill="1" applyBorder="1"/>
    <xf numFmtId="0" fontId="9" fillId="5" borderId="19" xfId="0" applyFont="1" applyFill="1" applyBorder="1"/>
    <xf numFmtId="0" fontId="4" fillId="0" borderId="16" xfId="0" applyFont="1" applyBorder="1"/>
    <xf numFmtId="0" fontId="4" fillId="0" borderId="0" xfId="0" applyFont="1" applyAlignment="1">
      <alignment horizontal="center"/>
    </xf>
    <xf numFmtId="0" fontId="79" fillId="0" borderId="0" xfId="0" applyFont="1"/>
    <xf numFmtId="0" fontId="79" fillId="9" borderId="0" xfId="0" applyFont="1" applyFill="1"/>
    <xf numFmtId="14" fontId="80" fillId="5" borderId="24" xfId="0" applyNumberFormat="1" applyFont="1" applyFill="1" applyBorder="1"/>
    <xf numFmtId="0" fontId="4" fillId="5" borderId="35" xfId="0" applyFont="1" applyFill="1" applyBorder="1"/>
    <xf numFmtId="0" fontId="4" fillId="5" borderId="28" xfId="0" applyFont="1" applyFill="1" applyBorder="1"/>
    <xf numFmtId="0" fontId="4" fillId="5" borderId="18" xfId="0" applyFont="1" applyFill="1" applyBorder="1"/>
    <xf numFmtId="0" fontId="9" fillId="11" borderId="16" xfId="0" applyFont="1" applyFill="1" applyBorder="1"/>
    <xf numFmtId="166" fontId="9" fillId="5" borderId="1" xfId="0" applyNumberFormat="1" applyFont="1" applyFill="1" applyBorder="1"/>
    <xf numFmtId="166" fontId="9" fillId="27" borderId="3" xfId="0" applyNumberFormat="1" applyFont="1" applyFill="1" applyBorder="1"/>
    <xf numFmtId="166" fontId="9" fillId="27" borderId="1" xfId="0" applyNumberFormat="1" applyFont="1" applyFill="1" applyBorder="1"/>
    <xf numFmtId="166" fontId="9" fillId="27" borderId="2" xfId="0" applyNumberFormat="1" applyFont="1" applyFill="1" applyBorder="1"/>
    <xf numFmtId="165" fontId="9" fillId="5" borderId="1" xfId="0" applyNumberFormat="1" applyFont="1" applyFill="1" applyBorder="1"/>
    <xf numFmtId="2" fontId="9" fillId="4" borderId="3" xfId="0" applyNumberFormat="1" applyFont="1" applyFill="1" applyBorder="1"/>
    <xf numFmtId="165" fontId="9" fillId="4" borderId="1" xfId="0" applyNumberFormat="1" applyFont="1" applyFill="1" applyBorder="1"/>
    <xf numFmtId="166" fontId="9" fillId="4" borderId="3" xfId="0" applyNumberFormat="1" applyFont="1" applyFill="1" applyBorder="1"/>
    <xf numFmtId="165" fontId="9" fillId="27" borderId="0" xfId="0" applyNumberFormat="1" applyFont="1" applyFill="1"/>
    <xf numFmtId="0" fontId="4" fillId="5" borderId="3" xfId="0" applyFont="1" applyFill="1" applyBorder="1"/>
    <xf numFmtId="165" fontId="9" fillId="10" borderId="2" xfId="0" applyNumberFormat="1" applyFont="1" applyFill="1" applyBorder="1"/>
    <xf numFmtId="164" fontId="9" fillId="10" borderId="3" xfId="0" applyNumberFormat="1" applyFont="1" applyFill="1" applyBorder="1"/>
    <xf numFmtId="0" fontId="81" fillId="25" borderId="71" xfId="0" applyFont="1" applyFill="1" applyBorder="1" applyAlignment="1">
      <alignment horizontal="center" vertical="top" wrapText="1"/>
    </xf>
    <xf numFmtId="0" fontId="81" fillId="25" borderId="72" xfId="0" applyFont="1" applyFill="1" applyBorder="1" applyAlignment="1">
      <alignment horizontal="center" vertical="top" wrapText="1"/>
    </xf>
    <xf numFmtId="0" fontId="81" fillId="25" borderId="73" xfId="0" applyFont="1" applyFill="1" applyBorder="1" applyAlignment="1">
      <alignment horizontal="center" vertical="top" wrapText="1"/>
    </xf>
    <xf numFmtId="1" fontId="22" fillId="4" borderId="10" xfId="0" applyNumberFormat="1" applyFont="1" applyFill="1" applyBorder="1"/>
    <xf numFmtId="165" fontId="22" fillId="4" borderId="3" xfId="0" applyNumberFormat="1" applyFont="1" applyFill="1" applyBorder="1"/>
    <xf numFmtId="165" fontId="23" fillId="5" borderId="2" xfId="0" applyNumberFormat="1" applyFont="1" applyFill="1" applyBorder="1"/>
    <xf numFmtId="164" fontId="23" fillId="5" borderId="2" xfId="0" applyNumberFormat="1" applyFont="1" applyFill="1" applyBorder="1"/>
    <xf numFmtId="0" fontId="23" fillId="5" borderId="2" xfId="0" applyFont="1" applyFill="1" applyBorder="1"/>
    <xf numFmtId="0" fontId="20" fillId="4" borderId="16" xfId="0" applyFont="1" applyFill="1" applyBorder="1"/>
    <xf numFmtId="166" fontId="9" fillId="5" borderId="7" xfId="0" applyNumberFormat="1" applyFont="1" applyFill="1" applyBorder="1"/>
    <xf numFmtId="166" fontId="9" fillId="27" borderId="8" xfId="0" applyNumberFormat="1" applyFont="1" applyFill="1" applyBorder="1"/>
    <xf numFmtId="166" fontId="9" fillId="27" borderId="7" xfId="0" applyNumberFormat="1" applyFont="1" applyFill="1" applyBorder="1"/>
    <xf numFmtId="166" fontId="9" fillId="27" borderId="0" xfId="0" applyNumberFormat="1" applyFont="1" applyFill="1"/>
    <xf numFmtId="165" fontId="9" fillId="5" borderId="7" xfId="0" applyNumberFormat="1" applyFont="1" applyFill="1" applyBorder="1"/>
    <xf numFmtId="2" fontId="9" fillId="4" borderId="8" xfId="0" applyNumberFormat="1" applyFont="1" applyFill="1" applyBorder="1"/>
    <xf numFmtId="165" fontId="9" fillId="4" borderId="7" xfId="0" applyNumberFormat="1" applyFont="1" applyFill="1" applyBorder="1"/>
    <xf numFmtId="166" fontId="9" fillId="4" borderId="8" xfId="0" applyNumberFormat="1" applyFont="1" applyFill="1" applyBorder="1"/>
    <xf numFmtId="164" fontId="9" fillId="4" borderId="0" xfId="0" applyNumberFormat="1" applyFont="1" applyFill="1"/>
    <xf numFmtId="2" fontId="9" fillId="27" borderId="0" xfId="0" applyNumberFormat="1" applyFont="1" applyFill="1"/>
    <xf numFmtId="164" fontId="9" fillId="10" borderId="8" xfId="0" applyNumberFormat="1" applyFont="1" applyFill="1" applyBorder="1"/>
    <xf numFmtId="0" fontId="81" fillId="25" borderId="74" xfId="0" applyFont="1" applyFill="1" applyBorder="1" applyAlignment="1">
      <alignment horizontal="center" vertical="top" wrapText="1"/>
    </xf>
    <xf numFmtId="0" fontId="81" fillId="25" borderId="75" xfId="0" applyFont="1" applyFill="1" applyBorder="1" applyAlignment="1">
      <alignment horizontal="center" vertical="top" wrapText="1"/>
    </xf>
    <xf numFmtId="0" fontId="81" fillId="25" borderId="76" xfId="0" applyFont="1" applyFill="1" applyBorder="1" applyAlignment="1">
      <alignment horizontal="center" vertical="top" wrapText="1"/>
    </xf>
    <xf numFmtId="1" fontId="22" fillId="4" borderId="14" xfId="0" applyNumberFormat="1" applyFont="1" applyFill="1" applyBorder="1"/>
    <xf numFmtId="165" fontId="22" fillId="4" borderId="8" xfId="0" applyNumberFormat="1" applyFont="1" applyFill="1" applyBorder="1"/>
    <xf numFmtId="165" fontId="23" fillId="5" borderId="0" xfId="0" applyNumberFormat="1" applyFont="1" applyFill="1"/>
    <xf numFmtId="166" fontId="23" fillId="5" borderId="0" xfId="0" applyNumberFormat="1" applyFont="1" applyFill="1"/>
    <xf numFmtId="0" fontId="20" fillId="4" borderId="17" xfId="0" applyFont="1" applyFill="1" applyBorder="1"/>
    <xf numFmtId="0" fontId="81" fillId="25" borderId="77" xfId="0" applyFont="1" applyFill="1" applyBorder="1" applyAlignment="1">
      <alignment horizontal="center" vertical="top" wrapText="1"/>
    </xf>
    <xf numFmtId="0" fontId="81" fillId="25" borderId="78" xfId="0" applyFont="1" applyFill="1" applyBorder="1" applyAlignment="1">
      <alignment horizontal="center" vertical="top" wrapText="1"/>
    </xf>
    <xf numFmtId="0" fontId="15" fillId="0" borderId="78" xfId="0" applyFont="1" applyBorder="1" applyAlignment="1">
      <alignment horizontal="center" vertical="top" wrapText="1"/>
    </xf>
    <xf numFmtId="165" fontId="15" fillId="0" borderId="78" xfId="0" applyNumberFormat="1" applyFont="1" applyBorder="1" applyAlignment="1">
      <alignment horizontal="right" wrapText="1"/>
    </xf>
    <xf numFmtId="0" fontId="15" fillId="0" borderId="78" xfId="0" applyFont="1" applyBorder="1" applyAlignment="1">
      <alignment horizontal="right" wrapText="1"/>
    </xf>
    <xf numFmtId="165" fontId="22" fillId="2" borderId="8" xfId="0" applyNumberFormat="1" applyFont="1" applyFill="1" applyBorder="1"/>
    <xf numFmtId="165" fontId="23" fillId="2" borderId="16" xfId="0" applyNumberFormat="1" applyFont="1" applyFill="1" applyBorder="1"/>
    <xf numFmtId="165" fontId="22" fillId="2" borderId="16" xfId="0" applyNumberFormat="1" applyFont="1" applyFill="1" applyBorder="1"/>
    <xf numFmtId="167" fontId="22" fillId="0" borderId="0" xfId="0" applyNumberFormat="1" applyFont="1"/>
    <xf numFmtId="164" fontId="23" fillId="4" borderId="16" xfId="0" applyNumberFormat="1" applyFont="1" applyFill="1" applyBorder="1"/>
    <xf numFmtId="164" fontId="23" fillId="4" borderId="1" xfId="0" applyNumberFormat="1" applyFont="1" applyFill="1" applyBorder="1"/>
    <xf numFmtId="0" fontId="20" fillId="4" borderId="10" xfId="0" applyFont="1" applyFill="1" applyBorder="1"/>
    <xf numFmtId="165" fontId="23" fillId="0" borderId="24" xfId="0" applyNumberFormat="1" applyFont="1" applyBorder="1"/>
    <xf numFmtId="165" fontId="22" fillId="2" borderId="24" xfId="0" applyNumberFormat="1" applyFont="1" applyFill="1" applyBorder="1"/>
    <xf numFmtId="164" fontId="23" fillId="4" borderId="24" xfId="0" applyNumberFormat="1" applyFont="1" applyFill="1" applyBorder="1"/>
    <xf numFmtId="164" fontId="23" fillId="4" borderId="9" xfId="0" applyNumberFormat="1" applyFont="1" applyFill="1" applyBorder="1"/>
    <xf numFmtId="0" fontId="20" fillId="4" borderId="14" xfId="0" applyFont="1" applyFill="1" applyBorder="1"/>
    <xf numFmtId="2" fontId="22" fillId="5" borderId="8" xfId="0" applyNumberFormat="1" applyFont="1" applyFill="1" applyBorder="1"/>
    <xf numFmtId="166" fontId="23" fillId="27" borderId="7" xfId="0" applyNumberFormat="1" applyFont="1" applyFill="1" applyBorder="1"/>
    <xf numFmtId="166" fontId="23" fillId="27" borderId="0" xfId="0" applyNumberFormat="1" applyFont="1" applyFill="1"/>
    <xf numFmtId="0" fontId="82" fillId="10" borderId="0" xfId="0" applyFont="1" applyFill="1"/>
    <xf numFmtId="165" fontId="83" fillId="0" borderId="78" xfId="0" applyNumberFormat="1" applyFont="1" applyBorder="1" applyAlignment="1">
      <alignment horizontal="right" wrapText="1"/>
    </xf>
    <xf numFmtId="0" fontId="54" fillId="10" borderId="0" xfId="0" applyFont="1" applyFill="1"/>
    <xf numFmtId="164" fontId="23" fillId="5" borderId="5" xfId="0" applyNumberFormat="1" applyFont="1" applyFill="1" applyBorder="1"/>
    <xf numFmtId="166" fontId="23" fillId="4" borderId="7" xfId="0" applyNumberFormat="1" applyFont="1" applyFill="1" applyBorder="1"/>
    <xf numFmtId="2" fontId="9" fillId="27" borderId="8" xfId="0" applyNumberFormat="1" applyFont="1" applyFill="1" applyBorder="1"/>
    <xf numFmtId="164" fontId="22" fillId="4" borderId="0" xfId="0" applyNumberFormat="1" applyFont="1" applyFill="1"/>
    <xf numFmtId="167" fontId="23" fillId="14" borderId="0" xfId="0" applyNumberFormat="1" applyFont="1" applyFill="1"/>
    <xf numFmtId="167" fontId="23" fillId="0" borderId="0" xfId="0" applyNumberFormat="1" applyFont="1"/>
    <xf numFmtId="0" fontId="82" fillId="5" borderId="0" xfId="0" applyFont="1" applyFill="1"/>
    <xf numFmtId="0" fontId="84" fillId="0" borderId="0" xfId="0" applyFont="1" applyAlignment="1">
      <alignment wrapText="1"/>
    </xf>
    <xf numFmtId="165" fontId="23" fillId="4" borderId="8" xfId="0" applyNumberFormat="1" applyFont="1" applyFill="1" applyBorder="1"/>
    <xf numFmtId="164" fontId="23" fillId="4" borderId="13" xfId="0" applyNumberFormat="1" applyFont="1" applyFill="1" applyBorder="1"/>
    <xf numFmtId="164" fontId="23" fillId="4" borderId="4" xfId="0" applyNumberFormat="1" applyFont="1" applyFill="1" applyBorder="1"/>
    <xf numFmtId="164" fontId="23" fillId="4" borderId="8" xfId="0" applyNumberFormat="1" applyFont="1" applyFill="1" applyBorder="1"/>
    <xf numFmtId="164" fontId="23" fillId="0" borderId="16" xfId="0" applyNumberFormat="1" applyFont="1" applyBorder="1"/>
    <xf numFmtId="164" fontId="23" fillId="0" borderId="9" xfId="0" applyNumberFormat="1" applyFont="1" applyBorder="1"/>
    <xf numFmtId="164" fontId="23" fillId="0" borderId="24" xfId="0" applyNumberFormat="1" applyFont="1" applyBorder="1"/>
    <xf numFmtId="0" fontId="21" fillId="10" borderId="0" xfId="0" applyFont="1" applyFill="1"/>
    <xf numFmtId="0" fontId="79" fillId="5" borderId="0" xfId="0" applyFont="1" applyFill="1"/>
    <xf numFmtId="0" fontId="9" fillId="11" borderId="13" xfId="0" applyFont="1" applyFill="1" applyBorder="1"/>
    <xf numFmtId="2" fontId="9" fillId="5" borderId="30" xfId="0" applyNumberFormat="1" applyFont="1" applyFill="1" applyBorder="1"/>
    <xf numFmtId="0" fontId="23" fillId="27" borderId="30" xfId="0" applyFont="1" applyFill="1" applyBorder="1"/>
    <xf numFmtId="166" fontId="9" fillId="27" borderId="6" xfId="0" applyNumberFormat="1" applyFont="1" applyFill="1" applyBorder="1"/>
    <xf numFmtId="0" fontId="23" fillId="27" borderId="5" xfId="0" applyFont="1" applyFill="1" applyBorder="1"/>
    <xf numFmtId="2" fontId="30" fillId="0" borderId="6" xfId="0" applyNumberFormat="1" applyFont="1" applyBorder="1"/>
    <xf numFmtId="0" fontId="23" fillId="4" borderId="30" xfId="0" applyFont="1" applyFill="1" applyBorder="1"/>
    <xf numFmtId="2" fontId="9" fillId="27" borderId="6" xfId="0" applyNumberFormat="1" applyFont="1" applyFill="1" applyBorder="1"/>
    <xf numFmtId="164" fontId="22" fillId="4" borderId="5" xfId="0" applyNumberFormat="1" applyFont="1" applyFill="1" applyBorder="1"/>
    <xf numFmtId="0" fontId="4" fillId="5" borderId="5" xfId="0" applyFont="1" applyFill="1" applyBorder="1"/>
    <xf numFmtId="164" fontId="9" fillId="10" borderId="6" xfId="0" applyNumberFormat="1" applyFont="1" applyFill="1" applyBorder="1"/>
    <xf numFmtId="167" fontId="23" fillId="5" borderId="0" xfId="0" applyNumberFormat="1" applyFont="1" applyFill="1"/>
    <xf numFmtId="1" fontId="22" fillId="4" borderId="21" xfId="0" applyNumberFormat="1" applyFont="1" applyFill="1" applyBorder="1"/>
    <xf numFmtId="164" fontId="23" fillId="4" borderId="6" xfId="0" applyNumberFormat="1" applyFont="1" applyFill="1" applyBorder="1"/>
    <xf numFmtId="165" fontId="23" fillId="0" borderId="13" xfId="0" applyNumberFormat="1" applyFont="1" applyBorder="1"/>
    <xf numFmtId="0" fontId="23" fillId="13" borderId="5" xfId="0" applyFont="1" applyFill="1" applyBorder="1"/>
    <xf numFmtId="164" fontId="23" fillId="13" borderId="5" xfId="0" applyNumberFormat="1" applyFont="1" applyFill="1" applyBorder="1"/>
    <xf numFmtId="166" fontId="23" fillId="13" borderId="5" xfId="0" applyNumberFormat="1" applyFont="1" applyFill="1" applyBorder="1"/>
    <xf numFmtId="167" fontId="23" fillId="13" borderId="5" xfId="0" applyNumberFormat="1" applyFont="1" applyFill="1" applyBorder="1"/>
    <xf numFmtId="166" fontId="4" fillId="0" borderId="5" xfId="0" applyNumberFormat="1" applyFont="1" applyBorder="1"/>
    <xf numFmtId="164" fontId="23" fillId="0" borderId="13" xfId="0" applyNumberFormat="1" applyFont="1" applyBorder="1"/>
    <xf numFmtId="164" fontId="23" fillId="0" borderId="79" xfId="0" applyNumberFormat="1" applyFont="1" applyBorder="1"/>
    <xf numFmtId="0" fontId="20" fillId="4" borderId="21" xfId="0" applyFont="1" applyFill="1" applyBorder="1"/>
    <xf numFmtId="167" fontId="4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0" fillId="18" borderId="28" xfId="0" applyFont="1" applyFill="1" applyBorder="1"/>
    <xf numFmtId="0" fontId="9" fillId="18" borderId="19" xfId="0" applyFont="1" applyFill="1" applyBorder="1"/>
    <xf numFmtId="0" fontId="10" fillId="18" borderId="19" xfId="0" applyFont="1" applyFill="1" applyBorder="1"/>
    <xf numFmtId="0" fontId="14" fillId="18" borderId="50" xfId="0" applyFont="1" applyFill="1" applyBorder="1"/>
    <xf numFmtId="0" fontId="23" fillId="18" borderId="28" xfId="0" applyFont="1" applyFill="1" applyBorder="1"/>
    <xf numFmtId="0" fontId="23" fillId="18" borderId="16" xfId="0" applyFont="1" applyFill="1" applyBorder="1"/>
    <xf numFmtId="0" fontId="85" fillId="4" borderId="14" xfId="0" applyFont="1" applyFill="1" applyBorder="1"/>
    <xf numFmtId="0" fontId="86" fillId="0" borderId="0" xfId="0" applyFont="1" applyAlignment="1">
      <alignment horizontal="center" vertical="center" wrapText="1"/>
    </xf>
    <xf numFmtId="3" fontId="86" fillId="0" borderId="0" xfId="0" applyNumberFormat="1" applyFont="1" applyAlignment="1">
      <alignment horizontal="center" vertical="center" wrapText="1"/>
    </xf>
    <xf numFmtId="2" fontId="9" fillId="4" borderId="2" xfId="0" applyNumberFormat="1" applyFont="1" applyFill="1" applyBorder="1"/>
    <xf numFmtId="2" fontId="10" fillId="4" borderId="3" xfId="0" applyNumberFormat="1" applyFont="1" applyFill="1" applyBorder="1"/>
    <xf numFmtId="2" fontId="10" fillId="4" borderId="46" xfId="0" applyNumberFormat="1" applyFont="1" applyFill="1" applyBorder="1"/>
    <xf numFmtId="2" fontId="10" fillId="4" borderId="27" xfId="0" applyNumberFormat="1" applyFont="1" applyFill="1" applyBorder="1"/>
    <xf numFmtId="2" fontId="9" fillId="4" borderId="0" xfId="0" applyNumberFormat="1" applyFont="1" applyFill="1"/>
    <xf numFmtId="2" fontId="10" fillId="4" borderId="47" xfId="0" applyNumberFormat="1" applyFont="1" applyFill="1" applyBorder="1"/>
    <xf numFmtId="2" fontId="10" fillId="4" borderId="48" xfId="0" applyNumberFormat="1" applyFont="1" applyFill="1" applyBorder="1"/>
    <xf numFmtId="0" fontId="81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" fontId="9" fillId="5" borderId="7" xfId="0" applyNumberFormat="1" applyFont="1" applyFill="1" applyBorder="1"/>
    <xf numFmtId="0" fontId="9" fillId="18" borderId="13" xfId="0" applyFont="1" applyFill="1" applyBorder="1"/>
    <xf numFmtId="166" fontId="9" fillId="5" borderId="4" xfId="0" applyNumberFormat="1" applyFont="1" applyFill="1" applyBorder="1"/>
    <xf numFmtId="2" fontId="9" fillId="4" borderId="6" xfId="0" applyNumberFormat="1" applyFont="1" applyFill="1" applyBorder="1"/>
    <xf numFmtId="2" fontId="10" fillId="4" borderId="51" xfId="0" applyNumberFormat="1" applyFont="1" applyFill="1" applyBorder="1"/>
    <xf numFmtId="2" fontId="10" fillId="4" borderId="52" xfId="0" applyNumberFormat="1" applyFont="1" applyFill="1" applyBorder="1"/>
    <xf numFmtId="0" fontId="4" fillId="18" borderId="32" xfId="0" applyFont="1" applyFill="1" applyBorder="1"/>
    <xf numFmtId="0" fontId="10" fillId="18" borderId="34" xfId="0" applyFont="1" applyFill="1" applyBorder="1"/>
    <xf numFmtId="0" fontId="4" fillId="5" borderId="10" xfId="0" applyFont="1" applyFill="1" applyBorder="1"/>
    <xf numFmtId="0" fontId="4" fillId="25" borderId="18" xfId="0" applyFont="1" applyFill="1" applyBorder="1"/>
    <xf numFmtId="0" fontId="21" fillId="5" borderId="32" xfId="0" applyFont="1" applyFill="1" applyBorder="1"/>
    <xf numFmtId="0" fontId="9" fillId="0" borderId="34" xfId="0" applyFont="1" applyBorder="1"/>
    <xf numFmtId="0" fontId="4" fillId="11" borderId="28" xfId="0" applyFont="1" applyFill="1" applyBorder="1"/>
    <xf numFmtId="14" fontId="15" fillId="0" borderId="0" xfId="0" applyNumberFormat="1" applyFont="1"/>
    <xf numFmtId="165" fontId="7" fillId="11" borderId="0" xfId="0" applyNumberFormat="1" applyFont="1" applyFill="1"/>
    <xf numFmtId="1" fontId="9" fillId="0" borderId="0" xfId="0" applyNumberFormat="1" applyFont="1"/>
    <xf numFmtId="14" fontId="15" fillId="5" borderId="0" xfId="0" applyNumberFormat="1" applyFont="1" applyFill="1"/>
    <xf numFmtId="164" fontId="4" fillId="10" borderId="0" xfId="0" applyNumberFormat="1" applyFont="1" applyFill="1"/>
    <xf numFmtId="0" fontId="15" fillId="0" borderId="0" xfId="0" applyFont="1"/>
    <xf numFmtId="165" fontId="7" fillId="11" borderId="18" xfId="0" applyNumberFormat="1" applyFont="1" applyFill="1" applyBorder="1"/>
    <xf numFmtId="165" fontId="9" fillId="11" borderId="19" xfId="0" applyNumberFormat="1" applyFont="1" applyFill="1" applyBorder="1"/>
    <xf numFmtId="165" fontId="7" fillId="10" borderId="0" xfId="0" applyNumberFormat="1" applyFont="1" applyFill="1"/>
    <xf numFmtId="14" fontId="15" fillId="5" borderId="5" xfId="0" applyNumberFormat="1" applyFont="1" applyFill="1" applyBorder="1"/>
    <xf numFmtId="0" fontId="10" fillId="18" borderId="5" xfId="0" applyFont="1" applyFill="1" applyBorder="1"/>
    <xf numFmtId="0" fontId="7" fillId="10" borderId="5" xfId="0" applyFont="1" applyFill="1" applyBorder="1"/>
    <xf numFmtId="0" fontId="4" fillId="14" borderId="18" xfId="0" applyFont="1" applyFill="1" applyBorder="1"/>
    <xf numFmtId="2" fontId="9" fillId="14" borderId="17" xfId="0" applyNumberFormat="1" applyFont="1" applyFill="1" applyBorder="1"/>
    <xf numFmtId="164" fontId="9" fillId="14" borderId="0" xfId="0" applyNumberFormat="1" applyFont="1" applyFill="1"/>
    <xf numFmtId="165" fontId="9" fillId="14" borderId="0" xfId="0" applyNumberFormat="1" applyFont="1" applyFill="1"/>
    <xf numFmtId="14" fontId="29" fillId="5" borderId="19" xfId="0" applyNumberFormat="1" applyFont="1" applyFill="1" applyBorder="1"/>
    <xf numFmtId="0" fontId="4" fillId="8" borderId="19" xfId="0" applyFont="1" applyFill="1" applyBorder="1"/>
    <xf numFmtId="1" fontId="10" fillId="5" borderId="16" xfId="0" applyNumberFormat="1" applyFont="1" applyFill="1" applyBorder="1"/>
    <xf numFmtId="2" fontId="16" fillId="5" borderId="8" xfId="0" applyNumberFormat="1" applyFont="1" applyFill="1" applyBorder="1"/>
    <xf numFmtId="0" fontId="4" fillId="4" borderId="13" xfId="0" applyFont="1" applyFill="1" applyBorder="1"/>
    <xf numFmtId="0" fontId="15" fillId="4" borderId="13" xfId="0" applyFont="1" applyFill="1" applyBorder="1"/>
    <xf numFmtId="1" fontId="10" fillId="5" borderId="17" xfId="0" applyNumberFormat="1" applyFont="1" applyFill="1" applyBorder="1"/>
    <xf numFmtId="2" fontId="10" fillId="5" borderId="8" xfId="0" applyNumberFormat="1" applyFont="1" applyFill="1" applyBorder="1"/>
    <xf numFmtId="2" fontId="16" fillId="5" borderId="0" xfId="0" applyNumberFormat="1" applyFont="1" applyFill="1"/>
    <xf numFmtId="165" fontId="16" fillId="5" borderId="0" xfId="0" applyNumberFormat="1" applyFont="1" applyFill="1"/>
    <xf numFmtId="2" fontId="16" fillId="5" borderId="7" xfId="0" applyNumberFormat="1" applyFont="1" applyFill="1" applyBorder="1"/>
    <xf numFmtId="0" fontId="75" fillId="2" borderId="0" xfId="0" applyFont="1" applyFill="1"/>
    <xf numFmtId="0" fontId="9" fillId="8" borderId="42" xfId="0" applyFont="1" applyFill="1" applyBorder="1"/>
    <xf numFmtId="0" fontId="16" fillId="28" borderId="19" xfId="0" applyFont="1" applyFill="1" applyBorder="1"/>
    <xf numFmtId="0" fontId="3" fillId="28" borderId="19" xfId="0" applyFont="1" applyFill="1" applyBorder="1"/>
    <xf numFmtId="0" fontId="9" fillId="8" borderId="20" xfId="0" applyFont="1" applyFill="1" applyBorder="1"/>
    <xf numFmtId="0" fontId="16" fillId="8" borderId="12" xfId="0" applyFont="1" applyFill="1" applyBorder="1"/>
    <xf numFmtId="0" fontId="4" fillId="0" borderId="30" xfId="0" applyFont="1" applyBorder="1"/>
    <xf numFmtId="0" fontId="4" fillId="0" borderId="14" xfId="0" applyFont="1" applyBorder="1"/>
    <xf numFmtId="0" fontId="4" fillId="0" borderId="5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87" fillId="8" borderId="16" xfId="0" applyFont="1" applyFill="1" applyBorder="1"/>
    <xf numFmtId="165" fontId="12" fillId="4" borderId="10" xfId="0" applyNumberFormat="1" applyFont="1" applyFill="1" applyBorder="1"/>
    <xf numFmtId="0" fontId="67" fillId="28" borderId="16" xfId="0" applyFont="1" applyFill="1" applyBorder="1"/>
    <xf numFmtId="0" fontId="87" fillId="8" borderId="17" xfId="0" applyFont="1" applyFill="1" applyBorder="1"/>
    <xf numFmtId="165" fontId="12" fillId="4" borderId="14" xfId="0" applyNumberFormat="1" applyFont="1" applyFill="1" applyBorder="1"/>
    <xf numFmtId="0" fontId="67" fillId="28" borderId="17" xfId="0" applyFont="1" applyFill="1" applyBorder="1"/>
    <xf numFmtId="165" fontId="16" fillId="5" borderId="8" xfId="0" applyNumberFormat="1" applyFont="1" applyFill="1" applyBorder="1"/>
    <xf numFmtId="2" fontId="87" fillId="5" borderId="17" xfId="0" applyNumberFormat="1" applyFont="1" applyFill="1" applyBorder="1"/>
    <xf numFmtId="2" fontId="87" fillId="5" borderId="8" xfId="0" applyNumberFormat="1" applyFont="1" applyFill="1" applyBorder="1"/>
    <xf numFmtId="0" fontId="87" fillId="5" borderId="8" xfId="0" applyFont="1" applyFill="1" applyBorder="1"/>
    <xf numFmtId="0" fontId="3" fillId="8" borderId="0" xfId="0" applyFont="1" applyFill="1"/>
    <xf numFmtId="0" fontId="4" fillId="8" borderId="0" xfId="0" applyFont="1" applyFill="1"/>
    <xf numFmtId="17" fontId="3" fillId="0" borderId="0" xfId="0" applyNumberFormat="1" applyFont="1"/>
    <xf numFmtId="0" fontId="3" fillId="2" borderId="0" xfId="0" applyFont="1" applyFill="1"/>
    <xf numFmtId="0" fontId="88" fillId="8" borderId="18" xfId="0" applyFont="1" applyFill="1" applyBorder="1" applyAlignment="1">
      <alignment vertical="top"/>
    </xf>
    <xf numFmtId="0" fontId="30" fillId="8" borderId="29" xfId="0" applyFont="1" applyFill="1" applyBorder="1"/>
    <xf numFmtId="0" fontId="4" fillId="8" borderId="28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2" fontId="3" fillId="8" borderId="0" xfId="0" applyNumberFormat="1" applyFont="1" applyFill="1"/>
    <xf numFmtId="2" fontId="87" fillId="5" borderId="13" xfId="0" applyNumberFormat="1" applyFont="1" applyFill="1" applyBorder="1"/>
    <xf numFmtId="0" fontId="87" fillId="5" borderId="13" xfId="0" applyFont="1" applyFill="1" applyBorder="1"/>
    <xf numFmtId="2" fontId="10" fillId="5" borderId="6" xfId="0" applyNumberFormat="1" applyFont="1" applyFill="1" applyBorder="1"/>
    <xf numFmtId="0" fontId="87" fillId="5" borderId="6" xfId="0" applyFont="1" applyFill="1" applyBorder="1"/>
    <xf numFmtId="0" fontId="34" fillId="0" borderId="19" xfId="0" applyFont="1" applyBorder="1"/>
    <xf numFmtId="2" fontId="16" fillId="5" borderId="6" xfId="0" applyNumberFormat="1" applyFont="1" applyFill="1" applyBorder="1"/>
    <xf numFmtId="0" fontId="16" fillId="5" borderId="5" xfId="0" applyFont="1" applyFill="1" applyBorder="1"/>
    <xf numFmtId="165" fontId="16" fillId="5" borderId="6" xfId="0" applyNumberFormat="1" applyFont="1" applyFill="1" applyBorder="1"/>
    <xf numFmtId="2" fontId="16" fillId="5" borderId="5" xfId="0" applyNumberFormat="1" applyFont="1" applyFill="1" applyBorder="1"/>
    <xf numFmtId="0" fontId="4" fillId="21" borderId="0" xfId="0" applyFont="1" applyFill="1"/>
    <xf numFmtId="0" fontId="89" fillId="0" borderId="0" xfId="0" applyFont="1"/>
    <xf numFmtId="0" fontId="90" fillId="0" borderId="0" xfId="0" applyFont="1"/>
    <xf numFmtId="14" fontId="78" fillId="5" borderId="21" xfId="0" applyNumberFormat="1" applyFont="1" applyFill="1" applyBorder="1"/>
    <xf numFmtId="0" fontId="29" fillId="5" borderId="28" xfId="0" applyFont="1" applyFill="1" applyBorder="1" applyAlignment="1">
      <alignment horizontal="center"/>
    </xf>
    <xf numFmtId="0" fontId="29" fillId="5" borderId="19" xfId="0" applyFont="1" applyFill="1" applyBorder="1" applyAlignment="1">
      <alignment horizontal="center"/>
    </xf>
    <xf numFmtId="0" fontId="87" fillId="8" borderId="1" xfId="0" applyFont="1" applyFill="1" applyBorder="1"/>
    <xf numFmtId="1" fontId="16" fillId="5" borderId="16" xfId="0" applyNumberFormat="1" applyFont="1" applyFill="1" applyBorder="1"/>
    <xf numFmtId="1" fontId="4" fillId="2" borderId="0" xfId="0" applyNumberFormat="1" applyFont="1" applyFill="1"/>
    <xf numFmtId="0" fontId="87" fillId="8" borderId="9" xfId="0" applyFont="1" applyFill="1" applyBorder="1"/>
    <xf numFmtId="1" fontId="16" fillId="5" borderId="17" xfId="0" applyNumberFormat="1" applyFont="1" applyFill="1" applyBorder="1"/>
    <xf numFmtId="1" fontId="12" fillId="2" borderId="0" xfId="0" applyNumberFormat="1" applyFont="1" applyFill="1"/>
    <xf numFmtId="0" fontId="87" fillId="8" borderId="13" xfId="0" applyFont="1" applyFill="1" applyBorder="1"/>
    <xf numFmtId="0" fontId="12" fillId="4" borderId="30" xfId="0" applyFont="1" applyFill="1" applyBorder="1"/>
    <xf numFmtId="165" fontId="12" fillId="4" borderId="21" xfId="0" applyNumberFormat="1" applyFont="1" applyFill="1" applyBorder="1"/>
    <xf numFmtId="0" fontId="67" fillId="28" borderId="13" xfId="0" applyFont="1" applyFill="1" applyBorder="1"/>
    <xf numFmtId="2" fontId="3" fillId="4" borderId="30" xfId="0" applyNumberFormat="1" applyFont="1" applyFill="1" applyBorder="1"/>
    <xf numFmtId="0" fontId="30" fillId="8" borderId="19" xfId="0" applyFont="1" applyFill="1" applyBorder="1"/>
    <xf numFmtId="0" fontId="3" fillId="4" borderId="2" xfId="0" applyFont="1" applyFill="1" applyBorder="1"/>
    <xf numFmtId="2" fontId="16" fillId="5" borderId="3" xfId="0" applyNumberFormat="1" applyFont="1" applyFill="1" applyBorder="1"/>
    <xf numFmtId="1" fontId="87" fillId="5" borderId="0" xfId="0" applyNumberFormat="1" applyFont="1" applyFill="1"/>
    <xf numFmtId="0" fontId="87" fillId="5" borderId="3" xfId="0" applyFont="1" applyFill="1" applyBorder="1"/>
    <xf numFmtId="164" fontId="87" fillId="5" borderId="0" xfId="0" applyNumberFormat="1" applyFont="1" applyFill="1"/>
    <xf numFmtId="165" fontId="87" fillId="5" borderId="0" xfId="0" applyNumberFormat="1" applyFont="1" applyFill="1"/>
    <xf numFmtId="2" fontId="87" fillId="5" borderId="1" xfId="0" applyNumberFormat="1" applyFont="1" applyFill="1" applyBorder="1"/>
    <xf numFmtId="2" fontId="87" fillId="5" borderId="0" xfId="0" applyNumberFormat="1" applyFont="1" applyFill="1"/>
    <xf numFmtId="164" fontId="87" fillId="5" borderId="7" xfId="0" applyNumberFormat="1" applyFont="1" applyFill="1" applyBorder="1"/>
    <xf numFmtId="1" fontId="87" fillId="5" borderId="9" xfId="0" applyNumberFormat="1" applyFont="1" applyFill="1" applyBorder="1"/>
    <xf numFmtId="0" fontId="87" fillId="5" borderId="0" xfId="0" applyFont="1" applyFill="1"/>
    <xf numFmtId="164" fontId="87" fillId="5" borderId="8" xfId="0" applyNumberFormat="1" applyFont="1" applyFill="1" applyBorder="1"/>
    <xf numFmtId="1" fontId="87" fillId="5" borderId="8" xfId="0" applyNumberFormat="1" applyFont="1" applyFill="1" applyBorder="1"/>
    <xf numFmtId="0" fontId="87" fillId="5" borderId="7" xfId="0" applyFont="1" applyFill="1" applyBorder="1"/>
    <xf numFmtId="0" fontId="87" fillId="8" borderId="4" xfId="0" applyFont="1" applyFill="1" applyBorder="1"/>
    <xf numFmtId="1" fontId="87" fillId="5" borderId="4" xfId="0" applyNumberFormat="1" applyFont="1" applyFill="1" applyBorder="1"/>
    <xf numFmtId="0" fontId="87" fillId="5" borderId="5" xfId="0" applyFont="1" applyFill="1" applyBorder="1"/>
    <xf numFmtId="164" fontId="87" fillId="5" borderId="6" xfId="0" applyNumberFormat="1" applyFont="1" applyFill="1" applyBorder="1"/>
    <xf numFmtId="1" fontId="10" fillId="5" borderId="13" xfId="0" applyNumberFormat="1" applyFont="1" applyFill="1" applyBorder="1"/>
    <xf numFmtId="165" fontId="16" fillId="5" borderId="16" xfId="0" applyNumberFormat="1" applyFont="1" applyFill="1" applyBorder="1"/>
    <xf numFmtId="165" fontId="16" fillId="5" borderId="17" xfId="0" applyNumberFormat="1" applyFont="1" applyFill="1" applyBorder="1"/>
    <xf numFmtId="2" fontId="10" fillId="5" borderId="16" xfId="0" applyNumberFormat="1" applyFont="1" applyFill="1" applyBorder="1"/>
    <xf numFmtId="2" fontId="10" fillId="5" borderId="0" xfId="0" applyNumberFormat="1" applyFont="1" applyFill="1"/>
    <xf numFmtId="2" fontId="10" fillId="5" borderId="17" xfId="0" applyNumberFormat="1" applyFont="1" applyFill="1" applyBorder="1"/>
    <xf numFmtId="165" fontId="16" fillId="5" borderId="13" xfId="0" applyNumberFormat="1" applyFont="1" applyFill="1" applyBorder="1"/>
    <xf numFmtId="165" fontId="3" fillId="4" borderId="4" xfId="0" applyNumberFormat="1" applyFont="1" applyFill="1" applyBorder="1"/>
    <xf numFmtId="0" fontId="16" fillId="5" borderId="6" xfId="0" applyFont="1" applyFill="1" applyBorder="1"/>
    <xf numFmtId="0" fontId="87" fillId="5" borderId="30" xfId="0" applyFont="1" applyFill="1" applyBorder="1"/>
    <xf numFmtId="1" fontId="87" fillId="5" borderId="6" xfId="0" applyNumberFormat="1" applyFont="1" applyFill="1" applyBorder="1"/>
    <xf numFmtId="2" fontId="87" fillId="5" borderId="5" xfId="0" applyNumberFormat="1" applyFont="1" applyFill="1" applyBorder="1"/>
    <xf numFmtId="2" fontId="87" fillId="5" borderId="6" xfId="0" applyNumberFormat="1" applyFont="1" applyFill="1" applyBorder="1"/>
    <xf numFmtId="0" fontId="87" fillId="4" borderId="0" xfId="0" applyFont="1" applyFill="1"/>
    <xf numFmtId="164" fontId="87" fillId="4" borderId="0" xfId="0" applyNumberFormat="1" applyFont="1" applyFill="1"/>
    <xf numFmtId="164" fontId="87" fillId="4" borderId="5" xfId="0" applyNumberFormat="1" applyFont="1" applyFill="1" applyBorder="1"/>
    <xf numFmtId="2" fontId="10" fillId="5" borderId="13" xfId="0" applyNumberFormat="1" applyFont="1" applyFill="1" applyBorder="1"/>
    <xf numFmtId="0" fontId="51" fillId="5" borderId="25" xfId="0" applyFont="1" applyFill="1" applyBorder="1"/>
    <xf numFmtId="0" fontId="30" fillId="5" borderId="26" xfId="0" applyFont="1" applyFill="1" applyBorder="1"/>
    <xf numFmtId="0" fontId="30" fillId="5" borderId="27" xfId="0" applyFont="1" applyFill="1" applyBorder="1"/>
    <xf numFmtId="0" fontId="51" fillId="5" borderId="57" xfId="0" applyFont="1" applyFill="1" applyBorder="1"/>
    <xf numFmtId="0" fontId="30" fillId="5" borderId="0" xfId="0" applyFont="1" applyFill="1"/>
    <xf numFmtId="0" fontId="30" fillId="5" borderId="48" xfId="0" applyFont="1" applyFill="1" applyBorder="1"/>
    <xf numFmtId="0" fontId="82" fillId="0" borderId="0" xfId="0" applyFont="1"/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/>
    <xf numFmtId="0" fontId="94" fillId="0" borderId="0" xfId="0" applyFont="1"/>
    <xf numFmtId="0" fontId="21" fillId="25" borderId="80" xfId="0" applyFont="1" applyFill="1" applyBorder="1" applyAlignment="1">
      <alignment horizontal="center" vertical="top" wrapText="1"/>
    </xf>
    <xf numFmtId="0" fontId="21" fillId="25" borderId="81" xfId="0" applyFont="1" applyFill="1" applyBorder="1" applyAlignment="1">
      <alignment horizontal="center" vertical="center" wrapText="1"/>
    </xf>
    <xf numFmtId="0" fontId="21" fillId="25" borderId="16" xfId="0" applyFont="1" applyFill="1" applyBorder="1" applyAlignment="1">
      <alignment horizontal="center" vertical="center"/>
    </xf>
    <xf numFmtId="0" fontId="82" fillId="25" borderId="80" xfId="0" applyFont="1" applyFill="1" applyBorder="1" applyAlignment="1">
      <alignment horizontal="center" vertical="top" wrapText="1"/>
    </xf>
    <xf numFmtId="0" fontId="94" fillId="25" borderId="80" xfId="0" applyFont="1" applyFill="1" applyBorder="1" applyAlignment="1">
      <alignment horizontal="center" vertical="top" wrapText="1"/>
    </xf>
    <xf numFmtId="0" fontId="94" fillId="25" borderId="81" xfId="0" applyFont="1" applyFill="1" applyBorder="1" applyAlignment="1">
      <alignment horizontal="center" vertical="center" wrapText="1"/>
    </xf>
    <xf numFmtId="0" fontId="94" fillId="25" borderId="16" xfId="0" applyFont="1" applyFill="1" applyBorder="1" applyAlignment="1">
      <alignment horizontal="center" vertical="center"/>
    </xf>
    <xf numFmtId="0" fontId="51" fillId="5" borderId="58" xfId="0" applyFont="1" applyFill="1" applyBorder="1"/>
    <xf numFmtId="0" fontId="30" fillId="5" borderId="37" xfId="0" applyFont="1" applyFill="1" applyBorder="1"/>
    <xf numFmtId="0" fontId="30" fillId="5" borderId="52" xfId="0" applyFont="1" applyFill="1" applyBorder="1"/>
    <xf numFmtId="0" fontId="21" fillId="25" borderId="82" xfId="0" applyFont="1" applyFill="1" applyBorder="1" applyAlignment="1">
      <alignment horizontal="center" vertical="top" wrapText="1"/>
    </xf>
    <xf numFmtId="0" fontId="21" fillId="25" borderId="83" xfId="0" applyFont="1" applyFill="1" applyBorder="1" applyAlignment="1">
      <alignment horizontal="center" vertical="center" wrapText="1"/>
    </xf>
    <xf numFmtId="0" fontId="21" fillId="25" borderId="84" xfId="0" applyFont="1" applyFill="1" applyBorder="1" applyAlignment="1">
      <alignment horizontal="center" vertical="center" wrapText="1"/>
    </xf>
    <xf numFmtId="0" fontId="21" fillId="25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82" fillId="25" borderId="82" xfId="0" applyFont="1" applyFill="1" applyBorder="1" applyAlignment="1">
      <alignment horizontal="center" vertical="top" wrapText="1"/>
    </xf>
    <xf numFmtId="0" fontId="94" fillId="25" borderId="82" xfId="0" applyFont="1" applyFill="1" applyBorder="1" applyAlignment="1">
      <alignment horizontal="center" vertical="top" wrapText="1"/>
    </xf>
    <xf numFmtId="0" fontId="94" fillId="25" borderId="83" xfId="0" applyFont="1" applyFill="1" applyBorder="1" applyAlignment="1">
      <alignment horizontal="center" vertical="center" wrapText="1"/>
    </xf>
    <xf numFmtId="0" fontId="94" fillId="25" borderId="84" xfId="0" applyFont="1" applyFill="1" applyBorder="1" applyAlignment="1">
      <alignment horizontal="center" vertical="center" wrapText="1"/>
    </xf>
    <xf numFmtId="165" fontId="82" fillId="2" borderId="1" xfId="0" applyNumberFormat="1" applyFont="1" applyFill="1" applyBorder="1"/>
    <xf numFmtId="164" fontId="21" fillId="0" borderId="16" xfId="0" applyNumberFormat="1" applyFont="1" applyBorder="1"/>
    <xf numFmtId="1" fontId="82" fillId="0" borderId="85" xfId="0" applyNumberFormat="1" applyFont="1" applyBorder="1" applyAlignment="1">
      <alignment horizontal="center" wrapText="1"/>
    </xf>
    <xf numFmtId="165" fontId="82" fillId="0" borderId="85" xfId="0" applyNumberFormat="1" applyFont="1" applyBorder="1" applyAlignment="1">
      <alignment horizontal="center" wrapText="1"/>
    </xf>
    <xf numFmtId="165" fontId="82" fillId="0" borderId="86" xfId="0" applyNumberFormat="1" applyFont="1" applyBorder="1" applyAlignment="1">
      <alignment horizontal="center" wrapText="1"/>
    </xf>
    <xf numFmtId="0" fontId="82" fillId="0" borderId="87" xfId="0" applyFont="1" applyBorder="1" applyAlignment="1">
      <alignment horizontal="center" wrapText="1"/>
    </xf>
    <xf numFmtId="0" fontId="94" fillId="0" borderId="87" xfId="0" applyFont="1" applyBorder="1" applyAlignment="1">
      <alignment horizontal="center" wrapText="1"/>
    </xf>
    <xf numFmtId="1" fontId="94" fillId="0" borderId="85" xfId="0" applyNumberFormat="1" applyFont="1" applyBorder="1" applyAlignment="1">
      <alignment horizontal="center" wrapText="1"/>
    </xf>
    <xf numFmtId="165" fontId="21" fillId="0" borderId="19" xfId="0" applyNumberFormat="1" applyFont="1" applyBorder="1" applyAlignment="1">
      <alignment horizontal="center"/>
    </xf>
    <xf numFmtId="1" fontId="21" fillId="0" borderId="19" xfId="0" applyNumberFormat="1" applyFont="1" applyBorder="1" applyAlignment="1">
      <alignment horizontal="center"/>
    </xf>
    <xf numFmtId="165" fontId="82" fillId="2" borderId="7" xfId="0" applyNumberFormat="1" applyFont="1" applyFill="1" applyBorder="1"/>
    <xf numFmtId="164" fontId="21" fillId="0" borderId="7" xfId="0" applyNumberFormat="1" applyFont="1" applyBorder="1"/>
    <xf numFmtId="165" fontId="82" fillId="0" borderId="88" xfId="0" applyNumberFormat="1" applyFont="1" applyBorder="1" applyAlignment="1">
      <alignment horizontal="center" wrapText="1"/>
    </xf>
    <xf numFmtId="0" fontId="82" fillId="0" borderId="80" xfId="0" applyFont="1" applyBorder="1" applyAlignment="1">
      <alignment horizontal="center" wrapText="1"/>
    </xf>
    <xf numFmtId="164" fontId="21" fillId="0" borderId="17" xfId="0" applyNumberFormat="1" applyFont="1" applyBorder="1"/>
    <xf numFmtId="165" fontId="82" fillId="0" borderId="89" xfId="0" applyNumberFormat="1" applyFont="1" applyBorder="1" applyAlignment="1">
      <alignment horizontal="center" wrapText="1"/>
    </xf>
    <xf numFmtId="0" fontId="82" fillId="0" borderId="19" xfId="0" applyFont="1" applyBorder="1" applyAlignment="1">
      <alignment horizontal="center"/>
    </xf>
    <xf numFmtId="0" fontId="94" fillId="0" borderId="80" xfId="0" applyFont="1" applyBorder="1" applyAlignment="1">
      <alignment horizontal="center" wrapText="1"/>
    </xf>
    <xf numFmtId="1" fontId="94" fillId="0" borderId="81" xfId="0" applyNumberFormat="1" applyFont="1" applyBorder="1" applyAlignment="1">
      <alignment horizontal="center" wrapText="1"/>
    </xf>
    <xf numFmtId="165" fontId="82" fillId="0" borderId="19" xfId="0" applyNumberFormat="1" applyFont="1" applyBorder="1" applyAlignment="1">
      <alignment horizontal="center"/>
    </xf>
    <xf numFmtId="0" fontId="82" fillId="0" borderId="19" xfId="0" applyFont="1" applyBorder="1" applyAlignment="1">
      <alignment horizontal="center" wrapText="1"/>
    </xf>
    <xf numFmtId="0" fontId="94" fillId="0" borderId="19" xfId="0" applyFont="1" applyBorder="1" applyAlignment="1">
      <alignment horizontal="center" wrapText="1"/>
    </xf>
    <xf numFmtId="1" fontId="21" fillId="0" borderId="18" xfId="0" applyNumberFormat="1" applyFont="1" applyBorder="1" applyAlignment="1">
      <alignment horizontal="center"/>
    </xf>
    <xf numFmtId="1" fontId="82" fillId="0" borderId="81" xfId="0" applyNumberFormat="1" applyFont="1" applyBorder="1" applyAlignment="1">
      <alignment horizontal="center" wrapText="1"/>
    </xf>
    <xf numFmtId="165" fontId="82" fillId="0" borderId="81" xfId="0" applyNumberFormat="1" applyFont="1" applyBorder="1" applyAlignment="1">
      <alignment horizontal="center" wrapText="1"/>
    </xf>
    <xf numFmtId="0" fontId="82" fillId="0" borderId="16" xfId="0" applyFont="1" applyBorder="1" applyAlignment="1">
      <alignment horizontal="center" wrapText="1"/>
    </xf>
    <xf numFmtId="0" fontId="82" fillId="0" borderId="16" xfId="0" applyFont="1" applyBorder="1" applyAlignment="1">
      <alignment horizontal="center"/>
    </xf>
    <xf numFmtId="1" fontId="82" fillId="0" borderId="90" xfId="0" applyNumberFormat="1" applyFont="1" applyBorder="1" applyAlignment="1">
      <alignment horizontal="center" wrapText="1"/>
    </xf>
    <xf numFmtId="165" fontId="82" fillId="0" borderId="91" xfId="0" applyNumberFormat="1" applyFont="1" applyBorder="1" applyAlignment="1">
      <alignment horizontal="center" wrapText="1"/>
    </xf>
    <xf numFmtId="165" fontId="82" fillId="0" borderId="92" xfId="0" applyNumberFormat="1" applyFont="1" applyBorder="1" applyAlignment="1">
      <alignment horizontal="center" wrapText="1"/>
    </xf>
    <xf numFmtId="165" fontId="82" fillId="0" borderId="18" xfId="0" applyNumberFormat="1" applyFont="1" applyBorder="1" applyAlignment="1">
      <alignment horizontal="center"/>
    </xf>
    <xf numFmtId="165" fontId="82" fillId="0" borderId="10" xfId="0" applyNumberFormat="1" applyFont="1" applyBorder="1" applyAlignment="1">
      <alignment horizontal="center"/>
    </xf>
    <xf numFmtId="0" fontId="82" fillId="0" borderId="20" xfId="0" applyFont="1" applyBorder="1" applyAlignment="1">
      <alignment horizontal="center" wrapText="1"/>
    </xf>
    <xf numFmtId="0" fontId="82" fillId="0" borderId="92" xfId="0" applyFont="1" applyBorder="1" applyAlignment="1">
      <alignment horizontal="center" wrapText="1"/>
    </xf>
    <xf numFmtId="0" fontId="51" fillId="5" borderId="0" xfId="0" applyFont="1" applyFill="1"/>
    <xf numFmtId="1" fontId="82" fillId="0" borderId="93" xfId="0" applyNumberFormat="1" applyFont="1" applyBorder="1" applyAlignment="1">
      <alignment horizontal="center" wrapText="1"/>
    </xf>
    <xf numFmtId="165" fontId="82" fillId="0" borderId="94" xfId="0" applyNumberFormat="1" applyFont="1" applyBorder="1" applyAlignment="1">
      <alignment horizontal="center" wrapText="1"/>
    </xf>
    <xf numFmtId="165" fontId="82" fillId="0" borderId="95" xfId="0" applyNumberFormat="1" applyFont="1" applyBorder="1" applyAlignment="1">
      <alignment horizontal="center" wrapText="1"/>
    </xf>
    <xf numFmtId="165" fontId="82" fillId="0" borderId="14" xfId="0" applyNumberFormat="1" applyFont="1" applyBorder="1" applyAlignment="1">
      <alignment horizontal="center" wrapText="1"/>
    </xf>
    <xf numFmtId="0" fontId="82" fillId="0" borderId="96" xfId="0" applyFont="1" applyBorder="1" applyAlignment="1">
      <alignment horizontal="center" wrapText="1"/>
    </xf>
    <xf numFmtId="0" fontId="82" fillId="0" borderId="94" xfId="0" applyFont="1" applyBorder="1" applyAlignment="1">
      <alignment horizontal="center" wrapText="1"/>
    </xf>
    <xf numFmtId="0" fontId="94" fillId="0" borderId="97" xfId="0" applyFont="1" applyBorder="1" applyAlignment="1">
      <alignment horizontal="center" wrapText="1"/>
    </xf>
    <xf numFmtId="1" fontId="94" fillId="0" borderId="98" xfId="0" applyNumberFormat="1" applyFont="1" applyBorder="1" applyAlignment="1">
      <alignment horizontal="center" wrapText="1"/>
    </xf>
    <xf numFmtId="165" fontId="82" fillId="0" borderId="99" xfId="0" applyNumberFormat="1" applyFont="1" applyBorder="1" applyAlignment="1">
      <alignment horizontal="center" wrapText="1"/>
    </xf>
    <xf numFmtId="0" fontId="82" fillId="0" borderId="100" xfId="0" applyFont="1" applyBorder="1" applyAlignment="1">
      <alignment horizontal="center" wrapText="1"/>
    </xf>
    <xf numFmtId="165" fontId="82" fillId="0" borderId="101" xfId="0" applyNumberFormat="1" applyFont="1" applyBorder="1" applyAlignment="1">
      <alignment horizontal="center" wrapText="1"/>
    </xf>
    <xf numFmtId="0" fontId="82" fillId="0" borderId="102" xfId="0" applyFont="1" applyBorder="1" applyAlignment="1">
      <alignment horizontal="center" wrapText="1"/>
    </xf>
    <xf numFmtId="0" fontId="82" fillId="0" borderId="38" xfId="0" applyFont="1" applyBorder="1" applyAlignment="1">
      <alignment horizontal="center" wrapText="1"/>
    </xf>
    <xf numFmtId="0" fontId="82" fillId="0" borderId="0" xfId="0" applyFont="1" applyAlignment="1">
      <alignment wrapText="1"/>
    </xf>
    <xf numFmtId="165" fontId="82" fillId="0" borderId="103" xfId="0" applyNumberFormat="1" applyFont="1" applyBorder="1" applyAlignment="1">
      <alignment horizontal="center" wrapText="1"/>
    </xf>
    <xf numFmtId="0" fontId="82" fillId="0" borderId="104" xfId="0" applyFont="1" applyBorder="1" applyAlignment="1">
      <alignment horizontal="center" wrapText="1"/>
    </xf>
    <xf numFmtId="0" fontId="94" fillId="0" borderId="105" xfId="0" applyFont="1" applyBorder="1" applyAlignment="1">
      <alignment horizontal="center" wrapText="1"/>
    </xf>
    <xf numFmtId="0" fontId="82" fillId="0" borderId="15" xfId="0" applyFont="1" applyBorder="1" applyAlignment="1">
      <alignment horizontal="center"/>
    </xf>
    <xf numFmtId="0" fontId="82" fillId="0" borderId="38" xfId="0" applyFont="1" applyBorder="1" applyAlignment="1">
      <alignment horizontal="center"/>
    </xf>
    <xf numFmtId="0" fontId="21" fillId="0" borderId="94" xfId="0" applyFont="1" applyBorder="1" applyAlignment="1">
      <alignment horizontal="center" wrapText="1"/>
    </xf>
    <xf numFmtId="0" fontId="95" fillId="0" borderId="19" xfId="0" applyFont="1" applyBorder="1" applyAlignment="1">
      <alignment horizontal="center"/>
    </xf>
    <xf numFmtId="165" fontId="95" fillId="0" borderId="19" xfId="0" applyNumberFormat="1" applyFont="1" applyBorder="1" applyAlignment="1">
      <alignment horizontal="center"/>
    </xf>
    <xf numFmtId="165" fontId="82" fillId="2" borderId="30" xfId="0" applyNumberFormat="1" applyFont="1" applyFill="1" applyBorder="1"/>
    <xf numFmtId="164" fontId="21" fillId="0" borderId="30" xfId="0" applyNumberFormat="1" applyFont="1" applyBorder="1"/>
    <xf numFmtId="164" fontId="21" fillId="0" borderId="13" xfId="0" applyNumberFormat="1" applyFont="1" applyBorder="1"/>
    <xf numFmtId="1" fontId="82" fillId="0" borderId="106" xfId="0" applyNumberFormat="1" applyFont="1" applyBorder="1" applyAlignment="1">
      <alignment horizontal="center" wrapText="1"/>
    </xf>
    <xf numFmtId="165" fontId="82" fillId="0" borderId="107" xfId="0" applyNumberFormat="1" applyFont="1" applyBorder="1" applyAlignment="1">
      <alignment horizontal="center" wrapText="1"/>
    </xf>
    <xf numFmtId="165" fontId="82" fillId="0" borderId="108" xfId="0" applyNumberFormat="1" applyFont="1" applyBorder="1" applyAlignment="1">
      <alignment horizontal="center" wrapText="1"/>
    </xf>
    <xf numFmtId="165" fontId="82" fillId="0" borderId="21" xfId="0" applyNumberFormat="1" applyFont="1" applyBorder="1" applyAlignment="1">
      <alignment horizontal="center" wrapText="1"/>
    </xf>
    <xf numFmtId="0" fontId="82" fillId="0" borderId="54" xfId="0" applyFont="1" applyBorder="1" applyAlignment="1">
      <alignment horizontal="center"/>
    </xf>
    <xf numFmtId="0" fontId="82" fillId="0" borderId="4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6" fillId="0" borderId="1" xfId="0" applyFont="1" applyBorder="1"/>
    <xf numFmtId="0" fontId="96" fillId="0" borderId="2" xfId="0" applyFont="1" applyBorder="1"/>
    <xf numFmtId="0" fontId="96" fillId="0" borderId="3" xfId="0" applyFont="1" applyBorder="1"/>
    <xf numFmtId="0" fontId="30" fillId="4" borderId="2" xfId="0" applyFont="1" applyFill="1" applyBorder="1"/>
    <xf numFmtId="0" fontId="96" fillId="0" borderId="7" xfId="0" applyFont="1" applyBorder="1"/>
    <xf numFmtId="0" fontId="96" fillId="2" borderId="0" xfId="0" applyFont="1" applyFill="1"/>
    <xf numFmtId="0" fontId="96" fillId="2" borderId="8" xfId="0" applyFont="1" applyFill="1" applyBorder="1"/>
    <xf numFmtId="0" fontId="57" fillId="11" borderId="19" xfId="0" applyFont="1" applyFill="1" applyBorder="1"/>
    <xf numFmtId="0" fontId="96" fillId="0" borderId="0" xfId="0" applyFont="1"/>
    <xf numFmtId="0" fontId="96" fillId="0" borderId="8" xfId="0" applyFont="1" applyBorder="1"/>
    <xf numFmtId="14" fontId="7" fillId="5" borderId="13" xfId="0" applyNumberFormat="1" applyFont="1" applyFill="1" applyBorder="1"/>
    <xf numFmtId="0" fontId="87" fillId="11" borderId="16" xfId="0" applyFont="1" applyFill="1" applyBorder="1"/>
    <xf numFmtId="2" fontId="87" fillId="5" borderId="16" xfId="0" applyNumberFormat="1" applyFont="1" applyFill="1" applyBorder="1"/>
    <xf numFmtId="0" fontId="87" fillId="11" borderId="17" xfId="0" applyFont="1" applyFill="1" applyBorder="1"/>
    <xf numFmtId="2" fontId="87" fillId="5" borderId="7" xfId="0" applyNumberFormat="1" applyFont="1" applyFill="1" applyBorder="1"/>
    <xf numFmtId="0" fontId="30" fillId="4" borderId="5" xfId="0" applyFont="1" applyFill="1" applyBorder="1"/>
    <xf numFmtId="0" fontId="9" fillId="8" borderId="13" xfId="0" applyFont="1" applyFill="1" applyBorder="1"/>
    <xf numFmtId="0" fontId="4" fillId="8" borderId="13" xfId="0" applyFont="1" applyFill="1" applyBorder="1"/>
    <xf numFmtId="0" fontId="97" fillId="0" borderId="1" xfId="0" applyFont="1" applyBorder="1"/>
    <xf numFmtId="0" fontId="97" fillId="0" borderId="2" xfId="0" applyFont="1" applyBorder="1"/>
    <xf numFmtId="0" fontId="4" fillId="0" borderId="3" xfId="0" applyFont="1" applyBorder="1"/>
    <xf numFmtId="0" fontId="97" fillId="0" borderId="7" xfId="0" applyFont="1" applyBorder="1"/>
    <xf numFmtId="0" fontId="97" fillId="0" borderId="0" xfId="0" applyFont="1"/>
    <xf numFmtId="0" fontId="97" fillId="2" borderId="0" xfId="0" applyFont="1" applyFill="1"/>
    <xf numFmtId="0" fontId="97" fillId="2" borderId="8" xfId="0" applyFont="1" applyFill="1" applyBorder="1"/>
    <xf numFmtId="0" fontId="97" fillId="0" borderId="8" xfId="0" applyFont="1" applyBorder="1"/>
    <xf numFmtId="165" fontId="87" fillId="5" borderId="8" xfId="0" applyNumberFormat="1" applyFont="1" applyFill="1" applyBorder="1"/>
    <xf numFmtId="1" fontId="87" fillId="5" borderId="16" xfId="0" applyNumberFormat="1" applyFont="1" applyFill="1" applyBorder="1"/>
    <xf numFmtId="0" fontId="87" fillId="5" borderId="2" xfId="0" applyFont="1" applyFill="1" applyBorder="1"/>
    <xf numFmtId="165" fontId="87" fillId="5" borderId="3" xfId="0" applyNumberFormat="1" applyFont="1" applyFill="1" applyBorder="1"/>
    <xf numFmtId="1" fontId="87" fillId="5" borderId="17" xfId="0" applyNumberFormat="1" applyFont="1" applyFill="1" applyBorder="1"/>
    <xf numFmtId="1" fontId="87" fillId="5" borderId="13" xfId="0" applyNumberFormat="1" applyFont="1" applyFill="1" applyBorder="1"/>
    <xf numFmtId="165" fontId="87" fillId="5" borderId="6" xfId="0" applyNumberFormat="1" applyFont="1" applyFill="1" applyBorder="1"/>
    <xf numFmtId="165" fontId="3" fillId="0" borderId="0" xfId="0" applyNumberFormat="1" applyFont="1"/>
    <xf numFmtId="0" fontId="97" fillId="0" borderId="30" xfId="0" applyFont="1" applyBorder="1"/>
    <xf numFmtId="0" fontId="97" fillId="0" borderId="5" xfId="0" applyFont="1" applyBorder="1"/>
    <xf numFmtId="0" fontId="87" fillId="11" borderId="13" xfId="0" applyFont="1" applyFill="1" applyBorder="1"/>
    <xf numFmtId="1" fontId="87" fillId="5" borderId="30" xfId="0" applyNumberFormat="1" applyFont="1" applyFill="1" applyBorder="1"/>
    <xf numFmtId="0" fontId="4" fillId="18" borderId="0" xfId="0" applyFont="1" applyFill="1"/>
    <xf numFmtId="0" fontId="4" fillId="5" borderId="25" xfId="0" applyFont="1" applyFill="1" applyBorder="1"/>
    <xf numFmtId="0" fontId="4" fillId="5" borderId="26" xfId="0" applyFont="1" applyFill="1" applyBorder="1"/>
    <xf numFmtId="0" fontId="4" fillId="5" borderId="17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14" fontId="15" fillId="5" borderId="16" xfId="0" applyNumberFormat="1" applyFont="1" applyFill="1" applyBorder="1"/>
    <xf numFmtId="0" fontId="10" fillId="23" borderId="19" xfId="0" applyFont="1" applyFill="1" applyBorder="1"/>
    <xf numFmtId="0" fontId="16" fillId="11" borderId="19" xfId="0" applyFont="1" applyFill="1" applyBorder="1"/>
    <xf numFmtId="14" fontId="15" fillId="10" borderId="16" xfId="0" applyNumberFormat="1" applyFont="1" applyFill="1" applyBorder="1"/>
    <xf numFmtId="0" fontId="46" fillId="0" borderId="0" xfId="0" applyFont="1"/>
    <xf numFmtId="0" fontId="4" fillId="5" borderId="57" xfId="0" applyFont="1" applyFill="1" applyBorder="1"/>
    <xf numFmtId="0" fontId="4" fillId="5" borderId="7" xfId="0" applyFont="1" applyFill="1" applyBorder="1"/>
    <xf numFmtId="0" fontId="15" fillId="11" borderId="19" xfId="0" applyFont="1" applyFill="1" applyBorder="1"/>
    <xf numFmtId="0" fontId="15" fillId="5" borderId="19" xfId="0" applyFont="1" applyFill="1" applyBorder="1"/>
    <xf numFmtId="0" fontId="15" fillId="0" borderId="19" xfId="0" applyFont="1" applyBorder="1"/>
    <xf numFmtId="0" fontId="15" fillId="10" borderId="19" xfId="0" applyFont="1" applyFill="1" applyBorder="1"/>
    <xf numFmtId="0" fontId="27" fillId="11" borderId="16" xfId="0" applyFont="1" applyFill="1" applyBorder="1"/>
    <xf numFmtId="164" fontId="27" fillId="5" borderId="1" xfId="0" applyNumberFormat="1" applyFont="1" applyFill="1" applyBorder="1"/>
    <xf numFmtId="164" fontId="32" fillId="5" borderId="1" xfId="0" applyNumberFormat="1" applyFont="1" applyFill="1" applyBorder="1"/>
    <xf numFmtId="164" fontId="9" fillId="5" borderId="8" xfId="0" applyNumberFormat="1" applyFont="1" applyFill="1" applyBorder="1"/>
    <xf numFmtId="0" fontId="32" fillId="11" borderId="16" xfId="0" applyFont="1" applyFill="1" applyBorder="1"/>
    <xf numFmtId="164" fontId="9" fillId="5" borderId="16" xfId="0" applyNumberFormat="1" applyFont="1" applyFill="1" applyBorder="1"/>
    <xf numFmtId="164" fontId="32" fillId="5" borderId="16" xfId="0" applyNumberFormat="1" applyFont="1" applyFill="1" applyBorder="1"/>
    <xf numFmtId="1" fontId="87" fillId="5" borderId="1" xfId="0" applyNumberFormat="1" applyFont="1" applyFill="1" applyBorder="1"/>
    <xf numFmtId="164" fontId="87" fillId="5" borderId="1" xfId="0" applyNumberFormat="1" applyFont="1" applyFill="1" applyBorder="1"/>
    <xf numFmtId="0" fontId="27" fillId="11" borderId="17" xfId="0" applyFont="1" applyFill="1" applyBorder="1"/>
    <xf numFmtId="164" fontId="27" fillId="5" borderId="7" xfId="0" applyNumberFormat="1" applyFont="1" applyFill="1" applyBorder="1"/>
    <xf numFmtId="164" fontId="32" fillId="5" borderId="7" xfId="0" applyNumberFormat="1" applyFont="1" applyFill="1" applyBorder="1"/>
    <xf numFmtId="0" fontId="32" fillId="11" borderId="17" xfId="0" applyFont="1" applyFill="1" applyBorder="1"/>
    <xf numFmtId="164" fontId="9" fillId="5" borderId="17" xfId="0" applyNumberFormat="1" applyFont="1" applyFill="1" applyBorder="1"/>
    <xf numFmtId="164" fontId="32" fillId="5" borderId="17" xfId="0" applyNumberFormat="1" applyFont="1" applyFill="1" applyBorder="1"/>
    <xf numFmtId="1" fontId="87" fillId="5" borderId="7" xfId="0" applyNumberFormat="1" applyFont="1" applyFill="1" applyBorder="1"/>
    <xf numFmtId="0" fontId="4" fillId="5" borderId="58" xfId="0" applyFont="1" applyFill="1" applyBorder="1"/>
    <xf numFmtId="0" fontId="4" fillId="5" borderId="37" xfId="0" applyFont="1" applyFill="1" applyBorder="1"/>
    <xf numFmtId="0" fontId="4" fillId="5" borderId="13" xfId="0" applyFont="1" applyFill="1" applyBorder="1"/>
    <xf numFmtId="0" fontId="4" fillId="5" borderId="30" xfId="0" applyFont="1" applyFill="1" applyBorder="1"/>
    <xf numFmtId="0" fontId="4" fillId="5" borderId="6" xfId="0" applyFont="1" applyFill="1" applyBorder="1"/>
    <xf numFmtId="0" fontId="42" fillId="0" borderId="0" xfId="0" applyFont="1"/>
    <xf numFmtId="165" fontId="7" fillId="5" borderId="16" xfId="0" applyNumberFormat="1" applyFont="1" applyFill="1" applyBorder="1"/>
    <xf numFmtId="0" fontId="7" fillId="10" borderId="16" xfId="0" applyFont="1" applyFill="1" applyBorder="1"/>
    <xf numFmtId="165" fontId="7" fillId="5" borderId="1" xfId="0" applyNumberFormat="1" applyFont="1" applyFill="1" applyBorder="1"/>
    <xf numFmtId="165" fontId="23" fillId="5" borderId="1" xfId="0" applyNumberFormat="1" applyFont="1" applyFill="1" applyBorder="1"/>
    <xf numFmtId="165" fontId="23" fillId="5" borderId="3" xfId="0" applyNumberFormat="1" applyFont="1" applyFill="1" applyBorder="1"/>
    <xf numFmtId="2" fontId="23" fillId="5" borderId="3" xfId="0" applyNumberFormat="1" applyFont="1" applyFill="1" applyBorder="1"/>
    <xf numFmtId="164" fontId="23" fillId="5" borderId="3" xfId="0" applyNumberFormat="1" applyFont="1" applyFill="1" applyBorder="1"/>
    <xf numFmtId="165" fontId="7" fillId="5" borderId="17" xfId="0" applyNumberFormat="1" applyFont="1" applyFill="1" applyBorder="1"/>
    <xf numFmtId="0" fontId="7" fillId="10" borderId="17" xfId="0" applyFont="1" applyFill="1" applyBorder="1"/>
    <xf numFmtId="165" fontId="7" fillId="5" borderId="7" xfId="0" applyNumberFormat="1" applyFont="1" applyFill="1" applyBorder="1"/>
    <xf numFmtId="165" fontId="23" fillId="5" borderId="7" xfId="0" applyNumberFormat="1" applyFont="1" applyFill="1" applyBorder="1"/>
    <xf numFmtId="165" fontId="23" fillId="5" borderId="8" xfId="0" applyNumberFormat="1" applyFont="1" applyFill="1" applyBorder="1"/>
    <xf numFmtId="2" fontId="23" fillId="5" borderId="8" xfId="0" applyNumberFormat="1" applyFont="1" applyFill="1" applyBorder="1"/>
    <xf numFmtId="0" fontId="23" fillId="5" borderId="8" xfId="0" applyFont="1" applyFill="1" applyBorder="1"/>
    <xf numFmtId="1" fontId="23" fillId="5" borderId="8" xfId="0" applyNumberFormat="1" applyFont="1" applyFill="1" applyBorder="1"/>
    <xf numFmtId="164" fontId="23" fillId="5" borderId="8" xfId="0" applyNumberFormat="1" applyFont="1" applyFill="1" applyBorder="1"/>
    <xf numFmtId="164" fontId="32" fillId="5" borderId="8" xfId="0" applyNumberFormat="1" applyFont="1" applyFill="1" applyBorder="1"/>
    <xf numFmtId="2" fontId="71" fillId="5" borderId="7" xfId="0" applyNumberFormat="1" applyFont="1" applyFill="1" applyBorder="1"/>
    <xf numFmtId="2" fontId="7" fillId="5" borderId="7" xfId="0" applyNumberFormat="1" applyFont="1" applyFill="1" applyBorder="1"/>
    <xf numFmtId="0" fontId="4" fillId="0" borderId="7" xfId="0" applyFont="1" applyBorder="1"/>
    <xf numFmtId="0" fontId="15" fillId="11" borderId="7" xfId="0" applyFont="1" applyFill="1" applyBorder="1"/>
    <xf numFmtId="168" fontId="79" fillId="0" borderId="19" xfId="0" applyNumberFormat="1" applyFont="1" applyBorder="1" applyAlignment="1">
      <alignment horizontal="right" wrapText="1"/>
    </xf>
    <xf numFmtId="168" fontId="79" fillId="0" borderId="17" xfId="0" applyNumberFormat="1" applyFont="1" applyBorder="1" applyAlignment="1">
      <alignment horizontal="right" wrapText="1"/>
    </xf>
    <xf numFmtId="2" fontId="7" fillId="5" borderId="17" xfId="0" applyNumberFormat="1" applyFont="1" applyFill="1" applyBorder="1"/>
    <xf numFmtId="164" fontId="7" fillId="5" borderId="8" xfId="0" applyNumberFormat="1" applyFont="1" applyFill="1" applyBorder="1"/>
    <xf numFmtId="165" fontId="7" fillId="5" borderId="8" xfId="0" applyNumberFormat="1" applyFont="1" applyFill="1" applyBorder="1"/>
    <xf numFmtId="0" fontId="31" fillId="11" borderId="7" xfId="0" applyFont="1" applyFill="1" applyBorder="1"/>
    <xf numFmtId="2" fontId="57" fillId="5" borderId="7" xfId="0" applyNumberFormat="1" applyFont="1" applyFill="1" applyBorder="1"/>
    <xf numFmtId="0" fontId="23" fillId="11" borderId="7" xfId="0" applyFont="1" applyFill="1" applyBorder="1"/>
    <xf numFmtId="2" fontId="4" fillId="5" borderId="7" xfId="0" applyNumberFormat="1" applyFont="1" applyFill="1" applyBorder="1"/>
    <xf numFmtId="2" fontId="51" fillId="5" borderId="7" xfId="0" applyNumberFormat="1" applyFont="1" applyFill="1" applyBorder="1"/>
    <xf numFmtId="0" fontId="7" fillId="10" borderId="13" xfId="0" applyFont="1" applyFill="1" applyBorder="1"/>
    <xf numFmtId="165" fontId="7" fillId="5" borderId="13" xfId="0" applyNumberFormat="1" applyFont="1" applyFill="1" applyBorder="1"/>
    <xf numFmtId="2" fontId="7" fillId="5" borderId="30" xfId="0" applyNumberFormat="1" applyFont="1" applyFill="1" applyBorder="1"/>
    <xf numFmtId="2" fontId="7" fillId="5" borderId="13" xfId="0" applyNumberFormat="1" applyFont="1" applyFill="1" applyBorder="1"/>
    <xf numFmtId="164" fontId="7" fillId="5" borderId="6" xfId="0" applyNumberFormat="1" applyFont="1" applyFill="1" applyBorder="1"/>
    <xf numFmtId="0" fontId="31" fillId="11" borderId="30" xfId="0" applyFont="1" applyFill="1" applyBorder="1"/>
    <xf numFmtId="2" fontId="57" fillId="5" borderId="30" xfId="0" applyNumberFormat="1" applyFont="1" applyFill="1" applyBorder="1"/>
    <xf numFmtId="164" fontId="32" fillId="5" borderId="30" xfId="0" applyNumberFormat="1" applyFont="1" applyFill="1" applyBorder="1"/>
    <xf numFmtId="164" fontId="9" fillId="5" borderId="6" xfId="0" applyNumberFormat="1" applyFont="1" applyFill="1" applyBorder="1"/>
    <xf numFmtId="0" fontId="23" fillId="11" borderId="30" xfId="0" applyFont="1" applyFill="1" applyBorder="1"/>
    <xf numFmtId="2" fontId="4" fillId="5" borderId="30" xfId="0" applyNumberFormat="1" applyFont="1" applyFill="1" applyBorder="1"/>
    <xf numFmtId="164" fontId="32" fillId="5" borderId="6" xfId="0" applyNumberFormat="1" applyFont="1" applyFill="1" applyBorder="1"/>
    <xf numFmtId="164" fontId="9" fillId="5" borderId="13" xfId="0" applyNumberFormat="1" applyFont="1" applyFill="1" applyBorder="1"/>
    <xf numFmtId="164" fontId="32" fillId="5" borderId="13" xfId="0" applyNumberFormat="1" applyFont="1" applyFill="1" applyBorder="1"/>
    <xf numFmtId="2" fontId="51" fillId="5" borderId="30" xfId="0" applyNumberFormat="1" applyFont="1" applyFill="1" applyBorder="1"/>
    <xf numFmtId="0" fontId="4" fillId="2" borderId="1" xfId="0" applyFont="1" applyFill="1" applyBorder="1"/>
    <xf numFmtId="0" fontId="12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98" fillId="25" borderId="19" xfId="0" applyFont="1" applyFill="1" applyBorder="1" applyAlignment="1">
      <alignment horizontal="center" vertical="top" wrapText="1"/>
    </xf>
    <xf numFmtId="0" fontId="99" fillId="25" borderId="19" xfId="0" applyFont="1" applyFill="1" applyBorder="1" applyAlignment="1">
      <alignment horizontal="center" wrapText="1"/>
    </xf>
    <xf numFmtId="0" fontId="99" fillId="2" borderId="19" xfId="0" applyFont="1" applyFill="1" applyBorder="1" applyAlignment="1">
      <alignment horizontal="center" wrapText="1"/>
    </xf>
    <xf numFmtId="0" fontId="21" fillId="0" borderId="19" xfId="0" applyFont="1" applyBorder="1" applyAlignment="1">
      <alignment vertical="top" wrapText="1"/>
    </xf>
    <xf numFmtId="168" fontId="21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wrapText="1"/>
    </xf>
    <xf numFmtId="168" fontId="100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vertical="top" wrapText="1"/>
    </xf>
    <xf numFmtId="168" fontId="21" fillId="0" borderId="17" xfId="0" applyNumberFormat="1" applyFont="1" applyBorder="1" applyAlignment="1">
      <alignment horizontal="right" wrapText="1"/>
    </xf>
    <xf numFmtId="0" fontId="16" fillId="4" borderId="0" xfId="0" applyFont="1" applyFill="1"/>
    <xf numFmtId="0" fontId="4" fillId="28" borderId="18" xfId="0" applyFont="1" applyFill="1" applyBorder="1"/>
    <xf numFmtId="0" fontId="4" fillId="28" borderId="19" xfId="0" applyFont="1" applyFill="1" applyBorder="1"/>
    <xf numFmtId="0" fontId="11" fillId="28" borderId="18" xfId="0" applyFont="1" applyFill="1" applyBorder="1"/>
    <xf numFmtId="0" fontId="20" fillId="28" borderId="19" xfId="0" applyFont="1" applyFill="1" applyBorder="1"/>
    <xf numFmtId="0" fontId="20" fillId="28" borderId="18" xfId="0" applyFont="1" applyFill="1" applyBorder="1"/>
    <xf numFmtId="0" fontId="4" fillId="28" borderId="42" xfId="0" applyFont="1" applyFill="1" applyBorder="1"/>
    <xf numFmtId="0" fontId="11" fillId="0" borderId="0" xfId="0" applyFont="1" applyAlignment="1">
      <alignment horizontal="center"/>
    </xf>
    <xf numFmtId="0" fontId="101" fillId="0" borderId="0" xfId="0" applyFont="1"/>
    <xf numFmtId="0" fontId="9" fillId="8" borderId="16" xfId="0" applyFont="1" applyFill="1" applyBorder="1"/>
    <xf numFmtId="0" fontId="29" fillId="4" borderId="16" xfId="0" applyFont="1" applyFill="1" applyBorder="1"/>
    <xf numFmtId="0" fontId="9" fillId="8" borderId="3" xfId="0" applyFont="1" applyFill="1" applyBorder="1"/>
    <xf numFmtId="0" fontId="4" fillId="0" borderId="10" xfId="0" applyFont="1" applyBorder="1"/>
    <xf numFmtId="0" fontId="9" fillId="8" borderId="40" xfId="0" applyFont="1" applyFill="1" applyBorder="1"/>
    <xf numFmtId="14" fontId="4" fillId="4" borderId="13" xfId="0" applyNumberFormat="1" applyFont="1" applyFill="1" applyBorder="1"/>
    <xf numFmtId="0" fontId="9" fillId="8" borderId="6" xfId="0" applyFont="1" applyFill="1" applyBorder="1"/>
    <xf numFmtId="14" fontId="49" fillId="4" borderId="14" xfId="0" applyNumberFormat="1" applyFont="1" applyFill="1" applyBorder="1"/>
    <xf numFmtId="14" fontId="4" fillId="0" borderId="21" xfId="0" applyNumberFormat="1" applyFont="1" applyBorder="1"/>
    <xf numFmtId="14" fontId="4" fillId="5" borderId="49" xfId="0" applyNumberFormat="1" applyFont="1" applyFill="1" applyBorder="1"/>
    <xf numFmtId="1" fontId="9" fillId="5" borderId="9" xfId="0" applyNumberFormat="1" applyFont="1" applyFill="1" applyBorder="1"/>
    <xf numFmtId="164" fontId="9" fillId="8" borderId="16" xfId="0" applyNumberFormat="1" applyFont="1" applyFill="1" applyBorder="1"/>
    <xf numFmtId="0" fontId="9" fillId="8" borderId="0" xfId="0" applyFont="1" applyFill="1"/>
    <xf numFmtId="164" fontId="9" fillId="4" borderId="16" xfId="0" applyNumberFormat="1" applyFont="1" applyFill="1" applyBorder="1"/>
    <xf numFmtId="2" fontId="9" fillId="4" borderId="16" xfId="0" applyNumberFormat="1" applyFont="1" applyFill="1" applyBorder="1"/>
    <xf numFmtId="2" fontId="9" fillId="4" borderId="1" xfId="0" applyNumberFormat="1" applyFont="1" applyFill="1" applyBorder="1"/>
    <xf numFmtId="164" fontId="10" fillId="4" borderId="16" xfId="0" applyNumberFormat="1" applyFont="1" applyFill="1" applyBorder="1"/>
    <xf numFmtId="1" fontId="10" fillId="4" borderId="2" xfId="0" applyNumberFormat="1" applyFont="1" applyFill="1" applyBorder="1"/>
    <xf numFmtId="164" fontId="10" fillId="4" borderId="2" xfId="0" applyNumberFormat="1" applyFont="1" applyFill="1" applyBorder="1"/>
    <xf numFmtId="164" fontId="12" fillId="5" borderId="8" xfId="0" applyNumberFormat="1" applyFont="1" applyFill="1" applyBorder="1"/>
    <xf numFmtId="164" fontId="12" fillId="5" borderId="40" xfId="0" applyNumberFormat="1" applyFont="1" applyFill="1" applyBorder="1"/>
    <xf numFmtId="3" fontId="3" fillId="0" borderId="0" xfId="0" applyNumberFormat="1" applyFont="1"/>
    <xf numFmtId="0" fontId="9" fillId="8" borderId="17" xfId="0" applyFont="1" applyFill="1" applyBorder="1"/>
    <xf numFmtId="164" fontId="9" fillId="8" borderId="17" xfId="0" applyNumberFormat="1" applyFont="1" applyFill="1" applyBorder="1"/>
    <xf numFmtId="164" fontId="9" fillId="4" borderId="17" xfId="0" applyNumberFormat="1" applyFont="1" applyFill="1" applyBorder="1"/>
    <xf numFmtId="2" fontId="9" fillId="4" borderId="17" xfId="0" applyNumberFormat="1" applyFont="1" applyFill="1" applyBorder="1"/>
    <xf numFmtId="2" fontId="9" fillId="4" borderId="7" xfId="0" applyNumberFormat="1" applyFont="1" applyFill="1" applyBorder="1"/>
    <xf numFmtId="1" fontId="10" fillId="4" borderId="7" xfId="0" applyNumberFormat="1" applyFont="1" applyFill="1" applyBorder="1"/>
    <xf numFmtId="164" fontId="10" fillId="4" borderId="17" xfId="0" applyNumberFormat="1" applyFont="1" applyFill="1" applyBorder="1"/>
    <xf numFmtId="1" fontId="10" fillId="4" borderId="0" xfId="0" applyNumberFormat="1" applyFont="1" applyFill="1"/>
    <xf numFmtId="1" fontId="10" fillId="4" borderId="17" xfId="0" applyNumberFormat="1" applyFont="1" applyFill="1" applyBorder="1"/>
    <xf numFmtId="164" fontId="12" fillId="5" borderId="14" xfId="0" applyNumberFormat="1" applyFont="1" applyFill="1" applyBorder="1"/>
    <xf numFmtId="14" fontId="9" fillId="5" borderId="16" xfId="0" applyNumberFormat="1" applyFont="1" applyFill="1" applyBorder="1"/>
    <xf numFmtId="1" fontId="9" fillId="5" borderId="1" xfId="0" applyNumberFormat="1" applyFont="1" applyFill="1" applyBorder="1"/>
    <xf numFmtId="1" fontId="54" fillId="5" borderId="1" xfId="0" applyNumberFormat="1" applyFont="1" applyFill="1" applyBorder="1"/>
    <xf numFmtId="1" fontId="54" fillId="5" borderId="16" xfId="0" applyNumberFormat="1" applyFont="1" applyFill="1" applyBorder="1"/>
    <xf numFmtId="164" fontId="54" fillId="5" borderId="16" xfId="0" applyNumberFormat="1" applyFont="1" applyFill="1" applyBorder="1"/>
    <xf numFmtId="1" fontId="9" fillId="5" borderId="7" xfId="0" applyNumberFormat="1" applyFont="1" applyFill="1" applyBorder="1"/>
    <xf numFmtId="1" fontId="54" fillId="5" borderId="7" xfId="0" applyNumberFormat="1" applyFont="1" applyFill="1" applyBorder="1"/>
    <xf numFmtId="1" fontId="54" fillId="5" borderId="17" xfId="0" applyNumberFormat="1" applyFont="1" applyFill="1" applyBorder="1"/>
    <xf numFmtId="164" fontId="54" fillId="5" borderId="17" xfId="0" applyNumberFormat="1" applyFont="1" applyFill="1" applyBorder="1"/>
    <xf numFmtId="1" fontId="30" fillId="0" borderId="0" xfId="0" applyNumberFormat="1" applyFont="1"/>
    <xf numFmtId="164" fontId="4" fillId="5" borderId="8" xfId="0" applyNumberFormat="1" applyFont="1" applyFill="1" applyBorder="1"/>
    <xf numFmtId="164" fontId="11" fillId="0" borderId="8" xfId="0" applyNumberFormat="1" applyFont="1" applyBorder="1"/>
    <xf numFmtId="164" fontId="12" fillId="2" borderId="10" xfId="0" applyNumberFormat="1" applyFont="1" applyFill="1" applyBorder="1"/>
    <xf numFmtId="164" fontId="9" fillId="7" borderId="10" xfId="0" applyNumberFormat="1" applyFont="1" applyFill="1" applyBorder="1"/>
    <xf numFmtId="1" fontId="30" fillId="5" borderId="7" xfId="0" applyNumberFormat="1" applyFont="1" applyFill="1" applyBorder="1"/>
    <xf numFmtId="164" fontId="12" fillId="2" borderId="14" xfId="0" applyNumberFormat="1" applyFont="1" applyFill="1" applyBorder="1"/>
    <xf numFmtId="164" fontId="9" fillId="7" borderId="14" xfId="0" applyNumberFormat="1" applyFont="1" applyFill="1" applyBorder="1"/>
    <xf numFmtId="1" fontId="10" fillId="4" borderId="14" xfId="0" applyNumberFormat="1" applyFont="1" applyFill="1" applyBorder="1"/>
    <xf numFmtId="166" fontId="12" fillId="0" borderId="0" xfId="0" applyNumberFormat="1" applyFont="1"/>
    <xf numFmtId="164" fontId="9" fillId="29" borderId="16" xfId="0" applyNumberFormat="1" applyFont="1" applyFill="1" applyBorder="1"/>
    <xf numFmtId="164" fontId="9" fillId="29" borderId="17" xfId="0" applyNumberFormat="1" applyFont="1" applyFill="1" applyBorder="1"/>
    <xf numFmtId="0" fontId="30" fillId="5" borderId="7" xfId="0" applyFont="1" applyFill="1" applyBorder="1"/>
    <xf numFmtId="0" fontId="30" fillId="5" borderId="30" xfId="0" applyFont="1" applyFill="1" applyBorder="1"/>
    <xf numFmtId="0" fontId="30" fillId="0" borderId="13" xfId="0" applyFont="1" applyBorder="1"/>
    <xf numFmtId="164" fontId="11" fillId="0" borderId="13" xfId="0" applyNumberFormat="1" applyFont="1" applyBorder="1"/>
    <xf numFmtId="0" fontId="9" fillId="8" borderId="7" xfId="0" applyFont="1" applyFill="1" applyBorder="1"/>
    <xf numFmtId="164" fontId="9" fillId="8" borderId="13" xfId="0" applyNumberFormat="1" applyFont="1" applyFill="1" applyBorder="1"/>
    <xf numFmtId="164" fontId="12" fillId="2" borderId="21" xfId="0" applyNumberFormat="1" applyFont="1" applyFill="1" applyBorder="1"/>
    <xf numFmtId="0" fontId="9" fillId="8" borderId="109" xfId="0" applyFont="1" applyFill="1" applyBorder="1"/>
    <xf numFmtId="164" fontId="9" fillId="4" borderId="13" xfId="0" applyNumberFormat="1" applyFont="1" applyFill="1" applyBorder="1"/>
    <xf numFmtId="164" fontId="9" fillId="7" borderId="41" xfId="0" applyNumberFormat="1" applyFont="1" applyFill="1" applyBorder="1"/>
    <xf numFmtId="164" fontId="9" fillId="29" borderId="13" xfId="0" applyNumberFormat="1" applyFont="1" applyFill="1" applyBorder="1"/>
    <xf numFmtId="2" fontId="9" fillId="4" borderId="13" xfId="0" applyNumberFormat="1" applyFont="1" applyFill="1" applyBorder="1"/>
    <xf numFmtId="164" fontId="10" fillId="4" borderId="30" xfId="0" applyNumberFormat="1" applyFont="1" applyFill="1" applyBorder="1"/>
    <xf numFmtId="1" fontId="10" fillId="4" borderId="13" xfId="0" applyNumberFormat="1" applyFont="1" applyFill="1" applyBorder="1"/>
    <xf numFmtId="1" fontId="10" fillId="4" borderId="41" xfId="0" applyNumberFormat="1" applyFont="1" applyFill="1" applyBorder="1"/>
    <xf numFmtId="0" fontId="20" fillId="28" borderId="42" xfId="0" applyFont="1" applyFill="1" applyBorder="1"/>
    <xf numFmtId="0" fontId="9" fillId="8" borderId="15" xfId="0" applyFont="1" applyFill="1" applyBorder="1"/>
    <xf numFmtId="0" fontId="30" fillId="0" borderId="10" xfId="0" applyFont="1" applyBorder="1"/>
    <xf numFmtId="14" fontId="4" fillId="0" borderId="14" xfId="0" applyNumberFormat="1" applyFont="1" applyBorder="1"/>
    <xf numFmtId="14" fontId="29" fillId="0" borderId="14" xfId="0" applyNumberFormat="1" applyFont="1" applyBorder="1"/>
    <xf numFmtId="0" fontId="102" fillId="0" borderId="0" xfId="0" applyFont="1" applyAlignment="1">
      <alignment horizontal="center"/>
    </xf>
    <xf numFmtId="164" fontId="12" fillId="5" borderId="17" xfId="0" applyNumberFormat="1" applyFont="1" applyFill="1" applyBorder="1"/>
    <xf numFmtId="164" fontId="12" fillId="4" borderId="17" xfId="0" applyNumberFormat="1" applyFont="1" applyFill="1" applyBorder="1"/>
    <xf numFmtId="0" fontId="102" fillId="30" borderId="110" xfId="0" applyFont="1" applyFill="1" applyBorder="1" applyAlignment="1">
      <alignment wrapText="1"/>
    </xf>
    <xf numFmtId="0" fontId="102" fillId="30" borderId="110" xfId="0" applyFont="1" applyFill="1" applyBorder="1" applyAlignment="1">
      <alignment horizontal="center" wrapText="1"/>
    </xf>
    <xf numFmtId="0" fontId="103" fillId="30" borderId="110" xfId="0" applyFont="1" applyFill="1" applyBorder="1" applyAlignment="1">
      <alignment wrapText="1"/>
    </xf>
    <xf numFmtId="0" fontId="103" fillId="30" borderId="110" xfId="0" applyFont="1" applyFill="1" applyBorder="1" applyAlignment="1">
      <alignment horizontal="center" wrapText="1"/>
    </xf>
    <xf numFmtId="0" fontId="29" fillId="0" borderId="0" xfId="0" applyFont="1"/>
    <xf numFmtId="0" fontId="104" fillId="0" borderId="0" xfId="0" applyFont="1"/>
    <xf numFmtId="0" fontId="105" fillId="0" borderId="0" xfId="0" applyFont="1"/>
    <xf numFmtId="164" fontId="30" fillId="4" borderId="17" xfId="0" applyNumberFormat="1" applyFont="1" applyFill="1" applyBorder="1"/>
    <xf numFmtId="0" fontId="30" fillId="4" borderId="17" xfId="0" applyFont="1" applyFill="1" applyBorder="1"/>
    <xf numFmtId="164" fontId="10" fillId="5" borderId="13" xfId="0" applyNumberFormat="1" applyFont="1" applyFill="1" applyBorder="1"/>
    <xf numFmtId="164" fontId="12" fillId="5" borderId="41" xfId="0" applyNumberFormat="1" applyFont="1" applyFill="1" applyBorder="1"/>
    <xf numFmtId="0" fontId="30" fillId="4" borderId="13" xfId="0" applyFont="1" applyFill="1" applyBorder="1"/>
    <xf numFmtId="0" fontId="20" fillId="0" borderId="29" xfId="0" applyFont="1" applyBorder="1"/>
    <xf numFmtId="0" fontId="20" fillId="0" borderId="28" xfId="0" applyFont="1" applyBorder="1"/>
    <xf numFmtId="0" fontId="20" fillId="2" borderId="16" xfId="0" applyFont="1" applyFill="1" applyBorder="1"/>
    <xf numFmtId="0" fontId="12" fillId="2" borderId="10" xfId="0" applyFont="1" applyFill="1" applyBorder="1"/>
    <xf numFmtId="0" fontId="20" fillId="2" borderId="24" xfId="0" applyFont="1" applyFill="1" applyBorder="1"/>
    <xf numFmtId="0" fontId="12" fillId="2" borderId="14" xfId="0" applyFont="1" applyFill="1" applyBorder="1"/>
    <xf numFmtId="166" fontId="12" fillId="0" borderId="26" xfId="0" applyNumberFormat="1" applyFont="1" applyBorder="1"/>
    <xf numFmtId="166" fontId="12" fillId="0" borderId="27" xfId="0" applyNumberFormat="1" applyFont="1" applyBorder="1"/>
    <xf numFmtId="166" fontId="12" fillId="0" borderId="16" xfId="0" applyNumberFormat="1" applyFont="1" applyBorder="1"/>
    <xf numFmtId="166" fontId="12" fillId="0" borderId="48" xfId="0" applyNumberFormat="1" applyFont="1" applyBorder="1"/>
    <xf numFmtId="0" fontId="20" fillId="2" borderId="13" xfId="0" applyFont="1" applyFill="1" applyBorder="1"/>
    <xf numFmtId="0" fontId="12" fillId="2" borderId="21" xfId="0" applyFont="1" applyFill="1" applyBorder="1"/>
    <xf numFmtId="166" fontId="12" fillId="0" borderId="37" xfId="0" applyNumberFormat="1" applyFont="1" applyBorder="1"/>
    <xf numFmtId="166" fontId="12" fillId="0" borderId="52" xfId="0" applyNumberFormat="1" applyFont="1" applyBorder="1"/>
    <xf numFmtId="166" fontId="12" fillId="0" borderId="15" xfId="0" applyNumberFormat="1" applyFont="1" applyBorder="1"/>
    <xf numFmtId="0" fontId="4" fillId="13" borderId="0" xfId="0" applyFont="1" applyFill="1"/>
    <xf numFmtId="14" fontId="7" fillId="5" borderId="16" xfId="0" applyNumberFormat="1" applyFont="1" applyFill="1" applyBorder="1"/>
    <xf numFmtId="0" fontId="9" fillId="22" borderId="19" xfId="0" applyFont="1" applyFill="1" applyBorder="1"/>
    <xf numFmtId="0" fontId="4" fillId="22" borderId="19" xfId="0" applyFont="1" applyFill="1" applyBorder="1"/>
    <xf numFmtId="0" fontId="106" fillId="4" borderId="18" xfId="0" applyFont="1" applyFill="1" applyBorder="1"/>
    <xf numFmtId="0" fontId="106" fillId="4" borderId="28" xfId="0" applyFont="1" applyFill="1" applyBorder="1"/>
    <xf numFmtId="0" fontId="9" fillId="8" borderId="28" xfId="0" applyFont="1" applyFill="1" applyBorder="1"/>
    <xf numFmtId="0" fontId="107" fillId="4" borderId="7" xfId="0" applyFont="1" applyFill="1" applyBorder="1" applyAlignment="1">
      <alignment horizontal="left"/>
    </xf>
    <xf numFmtId="0" fontId="107" fillId="4" borderId="0" xfId="0" applyFont="1" applyFill="1" applyAlignment="1">
      <alignment horizontal="left"/>
    </xf>
    <xf numFmtId="0" fontId="107" fillId="4" borderId="8" xfId="0" applyFont="1" applyFill="1" applyBorder="1" applyAlignment="1">
      <alignment horizontal="left"/>
    </xf>
    <xf numFmtId="0" fontId="22" fillId="22" borderId="16" xfId="0" applyFont="1" applyFill="1" applyBorder="1"/>
    <xf numFmtId="2" fontId="9" fillId="5" borderId="1" xfId="0" applyNumberFormat="1" applyFont="1" applyFill="1" applyBorder="1"/>
    <xf numFmtId="14" fontId="108" fillId="0" borderId="14" xfId="0" applyNumberFormat="1" applyFont="1" applyBorder="1"/>
    <xf numFmtId="14" fontId="109" fillId="0" borderId="14" xfId="0" applyNumberFormat="1" applyFont="1" applyBorder="1"/>
    <xf numFmtId="0" fontId="4" fillId="5" borderId="19" xfId="0" applyFont="1" applyFill="1" applyBorder="1" applyAlignment="1">
      <alignment horizontal="center"/>
    </xf>
    <xf numFmtId="0" fontId="22" fillId="22" borderId="17" xfId="0" applyFont="1" applyFill="1" applyBorder="1"/>
    <xf numFmtId="2" fontId="20" fillId="5" borderId="17" xfId="0" applyNumberFormat="1" applyFont="1" applyFill="1" applyBorder="1"/>
    <xf numFmtId="1" fontId="9" fillId="4" borderId="8" xfId="0" applyNumberFormat="1" applyFont="1" applyFill="1" applyBorder="1"/>
    <xf numFmtId="1" fontId="10" fillId="4" borderId="8" xfId="0" applyNumberFormat="1" applyFont="1" applyFill="1" applyBorder="1"/>
    <xf numFmtId="164" fontId="9" fillId="5" borderId="3" xfId="0" applyNumberFormat="1" applyFont="1" applyFill="1" applyBorder="1"/>
    <xf numFmtId="1" fontId="9" fillId="4" borderId="16" xfId="0" applyNumberFormat="1" applyFont="1" applyFill="1" applyBorder="1"/>
    <xf numFmtId="1" fontId="9" fillId="4" borderId="3" xfId="0" applyNumberFormat="1" applyFont="1" applyFill="1" applyBorder="1"/>
    <xf numFmtId="1" fontId="9" fillId="5" borderId="3" xfId="0" applyNumberFormat="1" applyFont="1" applyFill="1" applyBorder="1"/>
    <xf numFmtId="2" fontId="9" fillId="5" borderId="3" xfId="0" applyNumberFormat="1" applyFont="1" applyFill="1" applyBorder="1"/>
    <xf numFmtId="0" fontId="20" fillId="4" borderId="7" xfId="0" applyFont="1" applyFill="1" applyBorder="1" applyAlignment="1">
      <alignment horizontal="left"/>
    </xf>
    <xf numFmtId="164" fontId="20" fillId="5" borderId="17" xfId="0" applyNumberFormat="1" applyFont="1" applyFill="1" applyBorder="1"/>
    <xf numFmtId="164" fontId="9" fillId="4" borderId="8" xfId="0" applyNumberFormat="1" applyFont="1" applyFill="1" applyBorder="1"/>
    <xf numFmtId="1" fontId="20" fillId="5" borderId="17" xfId="0" applyNumberFormat="1" applyFont="1" applyFill="1" applyBorder="1"/>
    <xf numFmtId="1" fontId="9" fillId="5" borderId="8" xfId="0" applyNumberFormat="1" applyFont="1" applyFill="1" applyBorder="1"/>
    <xf numFmtId="2" fontId="9" fillId="5" borderId="8" xfId="0" applyNumberFormat="1" applyFont="1" applyFill="1" applyBorder="1"/>
    <xf numFmtId="0" fontId="20" fillId="4" borderId="7" xfId="0" applyFont="1" applyFill="1" applyBorder="1"/>
    <xf numFmtId="0" fontId="106" fillId="4" borderId="2" xfId="0" applyFont="1" applyFill="1" applyBorder="1"/>
    <xf numFmtId="2" fontId="4" fillId="4" borderId="0" xfId="0" applyNumberFormat="1" applyFont="1" applyFill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right"/>
    </xf>
    <xf numFmtId="14" fontId="4" fillId="0" borderId="0" xfId="0" applyNumberFormat="1" applyFont="1"/>
    <xf numFmtId="0" fontId="22" fillId="0" borderId="19" xfId="0" applyFont="1" applyBorder="1"/>
    <xf numFmtId="0" fontId="20" fillId="22" borderId="24" xfId="0" applyFont="1" applyFill="1" applyBorder="1"/>
    <xf numFmtId="2" fontId="20" fillId="21" borderId="0" xfId="0" applyNumberFormat="1" applyFont="1" applyFill="1"/>
    <xf numFmtId="2" fontId="20" fillId="21" borderId="8" xfId="0" applyNumberFormat="1" applyFont="1" applyFill="1" applyBorder="1"/>
    <xf numFmtId="0" fontId="20" fillId="13" borderId="16" xfId="0" applyFont="1" applyFill="1" applyBorder="1"/>
    <xf numFmtId="0" fontId="20" fillId="22" borderId="17" xfId="0" applyFont="1" applyFill="1" applyBorder="1"/>
    <xf numFmtId="0" fontId="20" fillId="13" borderId="17" xfId="0" applyFont="1" applyFill="1" applyBorder="1"/>
    <xf numFmtId="2" fontId="4" fillId="4" borderId="5" xfId="0" applyNumberFormat="1" applyFont="1" applyFill="1" applyBorder="1"/>
    <xf numFmtId="164" fontId="9" fillId="5" borderId="7" xfId="0" applyNumberFormat="1" applyFont="1" applyFill="1" applyBorder="1"/>
    <xf numFmtId="1" fontId="9" fillId="4" borderId="17" xfId="0" applyNumberFormat="1" applyFont="1" applyFill="1" applyBorder="1"/>
    <xf numFmtId="0" fontId="20" fillId="22" borderId="13" xfId="0" applyFont="1" applyFill="1" applyBorder="1"/>
    <xf numFmtId="2" fontId="20" fillId="21" borderId="4" xfId="0" applyNumberFormat="1" applyFont="1" applyFill="1" applyBorder="1"/>
    <xf numFmtId="2" fontId="20" fillId="21" borderId="6" xfId="0" applyNumberFormat="1" applyFont="1" applyFill="1" applyBorder="1"/>
    <xf numFmtId="0" fontId="22" fillId="22" borderId="13" xfId="0" applyFont="1" applyFill="1" applyBorder="1"/>
    <xf numFmtId="164" fontId="9" fillId="5" borderId="30" xfId="0" applyNumberFormat="1" applyFont="1" applyFill="1" applyBorder="1"/>
    <xf numFmtId="2" fontId="9" fillId="5" borderId="6" xfId="0" applyNumberFormat="1" applyFont="1" applyFill="1" applyBorder="1"/>
    <xf numFmtId="0" fontId="20" fillId="4" borderId="6" xfId="0" applyFont="1" applyFill="1" applyBorder="1"/>
    <xf numFmtId="0" fontId="29" fillId="4" borderId="1" xfId="0" applyFont="1" applyFill="1" applyBorder="1"/>
    <xf numFmtId="0" fontId="29" fillId="4" borderId="2" xfId="0" applyFont="1" applyFill="1" applyBorder="1"/>
    <xf numFmtId="0" fontId="29" fillId="4" borderId="9" xfId="0" applyFont="1" applyFill="1" applyBorder="1"/>
    <xf numFmtId="0" fontId="29" fillId="4" borderId="0" xfId="0" applyFont="1" applyFill="1"/>
    <xf numFmtId="14" fontId="10" fillId="5" borderId="16" xfId="0" applyNumberFormat="1" applyFont="1" applyFill="1" applyBorder="1"/>
    <xf numFmtId="0" fontId="20" fillId="22" borderId="19" xfId="0" applyFont="1" applyFill="1" applyBorder="1"/>
    <xf numFmtId="0" fontId="20" fillId="0" borderId="19" xfId="0" applyFont="1" applyBorder="1" applyAlignment="1">
      <alignment horizontal="right"/>
    </xf>
    <xf numFmtId="0" fontId="22" fillId="4" borderId="18" xfId="0" applyFont="1" applyFill="1" applyBorder="1"/>
    <xf numFmtId="14" fontId="4" fillId="0" borderId="58" xfId="0" applyNumberFormat="1" applyFont="1" applyBorder="1"/>
    <xf numFmtId="0" fontId="22" fillId="0" borderId="16" xfId="0" applyFont="1" applyBorder="1"/>
    <xf numFmtId="0" fontId="22" fillId="0" borderId="16" xfId="0" applyFont="1" applyBorder="1" applyAlignment="1">
      <alignment horizontal="left"/>
    </xf>
    <xf numFmtId="0" fontId="29" fillId="4" borderId="4" xfId="0" applyFont="1" applyFill="1" applyBorder="1"/>
    <xf numFmtId="0" fontId="29" fillId="4" borderId="5" xfId="0" applyFont="1" applyFill="1" applyBorder="1"/>
    <xf numFmtId="0" fontId="37" fillId="22" borderId="16" xfId="0" applyFont="1" applyFill="1" applyBorder="1"/>
    <xf numFmtId="2" fontId="10" fillId="5" borderId="1" xfId="0" applyNumberFormat="1" applyFont="1" applyFill="1" applyBorder="1"/>
    <xf numFmtId="0" fontId="10" fillId="5" borderId="3" xfId="0" applyFont="1" applyFill="1" applyBorder="1"/>
    <xf numFmtId="0" fontId="20" fillId="13" borderId="24" xfId="0" applyFont="1" applyFill="1" applyBorder="1"/>
    <xf numFmtId="1" fontId="20" fillId="0" borderId="9" xfId="0" applyNumberFormat="1" applyFont="1" applyBorder="1"/>
    <xf numFmtId="2" fontId="20" fillId="0" borderId="25" xfId="0" applyNumberFormat="1" applyFont="1" applyBorder="1"/>
    <xf numFmtId="2" fontId="20" fillId="0" borderId="27" xfId="0" applyNumberFormat="1" applyFont="1" applyBorder="1"/>
    <xf numFmtId="0" fontId="29" fillId="0" borderId="17" xfId="0" applyFont="1" applyBorder="1"/>
    <xf numFmtId="0" fontId="20" fillId="8" borderId="19" xfId="0" applyFont="1" applyFill="1" applyBorder="1"/>
    <xf numFmtId="0" fontId="37" fillId="22" borderId="17" xfId="0" applyFont="1" applyFill="1" applyBorder="1"/>
    <xf numFmtId="2" fontId="10" fillId="5" borderId="7" xfId="0" applyNumberFormat="1" applyFont="1" applyFill="1" applyBorder="1"/>
    <xf numFmtId="0" fontId="10" fillId="5" borderId="8" xfId="0" applyFont="1" applyFill="1" applyBorder="1"/>
    <xf numFmtId="1" fontId="20" fillId="0" borderId="7" xfId="0" applyNumberFormat="1" applyFont="1" applyBorder="1"/>
    <xf numFmtId="2" fontId="20" fillId="0" borderId="57" xfId="0" applyNumberFormat="1" applyFont="1" applyBorder="1"/>
    <xf numFmtId="2" fontId="20" fillId="0" borderId="48" xfId="0" applyNumberFormat="1" applyFont="1" applyBorder="1"/>
    <xf numFmtId="14" fontId="49" fillId="0" borderId="13" xfId="0" applyNumberFormat="1" applyFont="1" applyBorder="1"/>
    <xf numFmtId="0" fontId="106" fillId="0" borderId="16" xfId="0" applyFont="1" applyBorder="1"/>
    <xf numFmtId="0" fontId="106" fillId="4" borderId="19" xfId="0" applyFont="1" applyFill="1" applyBorder="1"/>
    <xf numFmtId="2" fontId="10" fillId="4" borderId="16" xfId="0" applyNumberFormat="1" applyFont="1" applyFill="1" applyBorder="1"/>
    <xf numFmtId="2" fontId="10" fillId="5" borderId="3" xfId="0" applyNumberFormat="1" applyFont="1" applyFill="1" applyBorder="1"/>
    <xf numFmtId="0" fontId="20" fillId="8" borderId="16" xfId="0" applyFont="1" applyFill="1" applyBorder="1"/>
    <xf numFmtId="1" fontId="20" fillId="4" borderId="1" xfId="0" applyNumberFormat="1" applyFont="1" applyFill="1" applyBorder="1"/>
    <xf numFmtId="2" fontId="30" fillId="4" borderId="0" xfId="0" applyNumberFormat="1" applyFont="1" applyFill="1"/>
    <xf numFmtId="2" fontId="20" fillId="4" borderId="3" xfId="0" applyNumberFormat="1" applyFont="1" applyFill="1" applyBorder="1"/>
    <xf numFmtId="2" fontId="12" fillId="5" borderId="17" xfId="0" applyNumberFormat="1" applyFont="1" applyFill="1" applyBorder="1"/>
    <xf numFmtId="0" fontId="20" fillId="8" borderId="17" xfId="0" applyFont="1" applyFill="1" applyBorder="1"/>
    <xf numFmtId="1" fontId="20" fillId="4" borderId="9" xfId="0" applyNumberFormat="1" applyFont="1" applyFill="1" applyBorder="1"/>
    <xf numFmtId="0" fontId="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7" xfId="0" applyFont="1" applyBorder="1"/>
    <xf numFmtId="0" fontId="9" fillId="0" borderId="0" xfId="0" applyFont="1" applyAlignment="1">
      <alignment horizontal="center" vertical="top" wrapText="1"/>
    </xf>
    <xf numFmtId="0" fontId="110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110" fillId="0" borderId="0" xfId="0" applyFont="1" applyAlignment="1">
      <alignment horizontal="center" wrapText="1"/>
    </xf>
    <xf numFmtId="165" fontId="110" fillId="0" borderId="0" xfId="0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 vertical="top" wrapText="1"/>
    </xf>
    <xf numFmtId="165" fontId="16" fillId="0" borderId="0" xfId="0" applyNumberFormat="1" applyFont="1" applyAlignment="1">
      <alignment horizontal="center"/>
    </xf>
    <xf numFmtId="165" fontId="110" fillId="0" borderId="0" xfId="0" applyNumberFormat="1" applyFont="1" applyAlignment="1">
      <alignment horizontal="center"/>
    </xf>
    <xf numFmtId="0" fontId="20" fillId="13" borderId="13" xfId="0" applyFont="1" applyFill="1" applyBorder="1"/>
    <xf numFmtId="0" fontId="20" fillId="0" borderId="4" xfId="0" applyFont="1" applyBorder="1"/>
    <xf numFmtId="2" fontId="20" fillId="0" borderId="58" xfId="0" applyNumberFormat="1" applyFont="1" applyBorder="1"/>
    <xf numFmtId="2" fontId="20" fillId="0" borderId="52" xfId="0" applyNumberFormat="1" applyFont="1" applyBorder="1"/>
    <xf numFmtId="0" fontId="21" fillId="0" borderId="0" xfId="0" applyFont="1" applyAlignment="1">
      <alignment horizontal="center" wrapText="1"/>
    </xf>
    <xf numFmtId="164" fontId="10" fillId="5" borderId="17" xfId="0" applyNumberFormat="1" applyFont="1" applyFill="1" applyBorder="1"/>
    <xf numFmtId="0" fontId="30" fillId="2" borderId="18" xfId="0" applyFont="1" applyFill="1" applyBorder="1"/>
    <xf numFmtId="0" fontId="30" fillId="2" borderId="29" xfId="0" applyFont="1" applyFill="1" applyBorder="1"/>
    <xf numFmtId="0" fontId="30" fillId="2" borderId="2" xfId="0" applyFont="1" applyFill="1" applyBorder="1"/>
    <xf numFmtId="0" fontId="30" fillId="2" borderId="3" xfId="0" applyFont="1" applyFill="1" applyBorder="1"/>
    <xf numFmtId="0" fontId="30" fillId="20" borderId="0" xfId="0" applyFont="1" applyFill="1"/>
    <xf numFmtId="0" fontId="4" fillId="20" borderId="0" xfId="0" applyFont="1" applyFill="1"/>
    <xf numFmtId="0" fontId="30" fillId="20" borderId="1" xfId="0" applyFont="1" applyFill="1" applyBorder="1"/>
    <xf numFmtId="0" fontId="4" fillId="20" borderId="3" xfId="0" applyFont="1" applyFill="1" applyBorder="1"/>
    <xf numFmtId="1" fontId="4" fillId="4" borderId="9" xfId="0" applyNumberFormat="1" applyFont="1" applyFill="1" applyBorder="1"/>
    <xf numFmtId="2" fontId="4" fillId="4" borderId="8" xfId="0" applyNumberFormat="1" applyFont="1" applyFill="1" applyBorder="1"/>
    <xf numFmtId="0" fontId="4" fillId="0" borderId="32" xfId="0" applyFont="1" applyBorder="1"/>
    <xf numFmtId="0" fontId="30" fillId="20" borderId="30" xfId="0" applyFont="1" applyFill="1" applyBorder="1"/>
    <xf numFmtId="0" fontId="4" fillId="20" borderId="6" xfId="0" applyFont="1" applyFill="1" applyBorder="1"/>
    <xf numFmtId="1" fontId="4" fillId="4" borderId="25" xfId="0" applyNumberFormat="1" applyFont="1" applyFill="1" applyBorder="1"/>
    <xf numFmtId="164" fontId="4" fillId="4" borderId="27" xfId="0" applyNumberFormat="1" applyFont="1" applyFill="1" applyBorder="1"/>
    <xf numFmtId="164" fontId="4" fillId="20" borderId="0" xfId="0" applyNumberFormat="1" applyFont="1" applyFill="1"/>
    <xf numFmtId="164" fontId="4" fillId="0" borderId="3" xfId="0" applyNumberFormat="1" applyFont="1" applyBorder="1"/>
    <xf numFmtId="1" fontId="4" fillId="4" borderId="57" xfId="0" applyNumberFormat="1" applyFont="1" applyFill="1" applyBorder="1"/>
    <xf numFmtId="164" fontId="4" fillId="4" borderId="48" xfId="0" applyNumberFormat="1" applyFont="1" applyFill="1" applyBorder="1"/>
    <xf numFmtId="164" fontId="4" fillId="0" borderId="8" xfId="0" applyNumberFormat="1" applyFont="1" applyBorder="1"/>
    <xf numFmtId="1" fontId="4" fillId="4" borderId="4" xfId="0" applyNumberFormat="1" applyFont="1" applyFill="1" applyBorder="1"/>
    <xf numFmtId="2" fontId="4" fillId="4" borderId="6" xfId="0" applyNumberFormat="1" applyFont="1" applyFill="1" applyBorder="1"/>
    <xf numFmtId="0" fontId="111" fillId="13" borderId="3" xfId="0" applyFont="1" applyFill="1" applyBorder="1"/>
    <xf numFmtId="0" fontId="112" fillId="0" borderId="1" xfId="0" applyFont="1" applyBorder="1"/>
    <xf numFmtId="1" fontId="4" fillId="4" borderId="58" xfId="0" applyNumberFormat="1" applyFont="1" applyFill="1" applyBorder="1"/>
    <xf numFmtId="164" fontId="4" fillId="4" borderId="52" xfId="0" applyNumberFormat="1" applyFont="1" applyFill="1" applyBorder="1"/>
    <xf numFmtId="164" fontId="4" fillId="0" borderId="6" xfId="0" applyNumberFormat="1" applyFont="1" applyBorder="1"/>
    <xf numFmtId="0" fontId="113" fillId="0" borderId="0" xfId="0" applyFont="1" applyAlignment="1">
      <alignment horizontal="center" vertical="center" readingOrder="1"/>
    </xf>
    <xf numFmtId="0" fontId="111" fillId="13" borderId="7" xfId="0" applyFont="1" applyFill="1" applyBorder="1"/>
    <xf numFmtId="0" fontId="111" fillId="13" borderId="8" xfId="0" applyFont="1" applyFill="1" applyBorder="1"/>
    <xf numFmtId="1" fontId="111" fillId="0" borderId="7" xfId="0" applyNumberFormat="1" applyFont="1" applyBorder="1"/>
    <xf numFmtId="165" fontId="4" fillId="0" borderId="8" xfId="0" applyNumberFormat="1" applyFont="1" applyBorder="1"/>
    <xf numFmtId="1" fontId="4" fillId="0" borderId="7" xfId="0" applyNumberFormat="1" applyFont="1" applyBorder="1"/>
    <xf numFmtId="0" fontId="111" fillId="13" borderId="0" xfId="0" applyFont="1" applyFill="1"/>
    <xf numFmtId="2" fontId="4" fillId="0" borderId="7" xfId="0" applyNumberFormat="1" applyFont="1" applyBorder="1"/>
    <xf numFmtId="0" fontId="111" fillId="0" borderId="0" xfId="0" applyFont="1"/>
    <xf numFmtId="2" fontId="111" fillId="0" borderId="8" xfId="0" applyNumberFormat="1" applyFont="1" applyBorder="1"/>
    <xf numFmtId="0" fontId="37" fillId="22" borderId="13" xfId="0" applyFont="1" applyFill="1" applyBorder="1"/>
    <xf numFmtId="164" fontId="10" fillId="5" borderId="30" xfId="0" applyNumberFormat="1" applyFont="1" applyFill="1" applyBorder="1"/>
    <xf numFmtId="0" fontId="110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111" fillId="0" borderId="5" xfId="0" applyFont="1" applyBorder="1"/>
    <xf numFmtId="1" fontId="111" fillId="0" borderId="30" xfId="0" applyNumberFormat="1" applyFont="1" applyBorder="1"/>
    <xf numFmtId="165" fontId="4" fillId="0" borderId="6" xfId="0" applyNumberFormat="1" applyFont="1" applyBorder="1"/>
    <xf numFmtId="1" fontId="4" fillId="0" borderId="30" xfId="0" applyNumberFormat="1" applyFont="1" applyBorder="1"/>
    <xf numFmtId="0" fontId="74" fillId="13" borderId="0" xfId="0" applyFont="1" applyFill="1" applyAlignment="1">
      <alignment horizontal="center" vertical="center" wrapText="1"/>
    </xf>
    <xf numFmtId="0" fontId="9" fillId="25" borderId="19" xfId="0" applyFont="1" applyFill="1" applyBorder="1" applyAlignment="1">
      <alignment vertical="center" wrapText="1"/>
    </xf>
    <xf numFmtId="0" fontId="9" fillId="25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29" fillId="13" borderId="0" xfId="0" applyFont="1" applyFill="1"/>
    <xf numFmtId="0" fontId="111" fillId="0" borderId="0" xfId="0" applyFont="1" applyAlignment="1">
      <alignment horizontal="center" vertical="center" readingOrder="1"/>
    </xf>
    <xf numFmtId="0" fontId="114" fillId="0" borderId="0" xfId="0" applyFont="1"/>
    <xf numFmtId="0" fontId="114" fillId="13" borderId="0" xfId="0" applyFont="1" applyFill="1"/>
    <xf numFmtId="0" fontId="78" fillId="13" borderId="0" xfId="0" applyFont="1" applyFill="1" applyAlignment="1">
      <alignment horizontal="left" vertical="center" wrapText="1"/>
    </xf>
    <xf numFmtId="0" fontId="78" fillId="0" borderId="0" xfId="0" applyFont="1" applyAlignment="1">
      <alignment horizontal="right" vertical="center"/>
    </xf>
    <xf numFmtId="165" fontId="111" fillId="0" borderId="0" xfId="0" applyNumberFormat="1" applyFont="1"/>
    <xf numFmtId="0" fontId="106" fillId="0" borderId="19" xfId="0" applyFont="1" applyBorder="1"/>
    <xf numFmtId="0" fontId="106" fillId="0" borderId="18" xfId="0" applyFont="1" applyBorder="1"/>
    <xf numFmtId="0" fontId="106" fillId="0" borderId="13" xfId="0" applyFont="1" applyBorder="1"/>
    <xf numFmtId="0" fontId="4" fillId="13" borderId="16" xfId="0" applyFont="1" applyFill="1" applyBorder="1"/>
    <xf numFmtId="2" fontId="4" fillId="0" borderId="2" xfId="0" applyNumberFormat="1" applyFont="1" applyBorder="1"/>
    <xf numFmtId="1" fontId="4" fillId="0" borderId="3" xfId="0" applyNumberFormat="1" applyFont="1" applyBorder="1"/>
    <xf numFmtId="165" fontId="4" fillId="0" borderId="1" xfId="0" applyNumberFormat="1" applyFont="1" applyBorder="1"/>
    <xf numFmtId="165" fontId="4" fillId="0" borderId="2" xfId="0" applyNumberFormat="1" applyFont="1" applyBorder="1"/>
    <xf numFmtId="0" fontId="4" fillId="13" borderId="17" xfId="0" applyFont="1" applyFill="1" applyBorder="1"/>
    <xf numFmtId="1" fontId="4" fillId="0" borderId="8" xfId="0" applyNumberFormat="1" applyFont="1" applyBorder="1"/>
    <xf numFmtId="165" fontId="4" fillId="0" borderId="7" xfId="0" applyNumberFormat="1" applyFont="1" applyBorder="1"/>
    <xf numFmtId="0" fontId="112" fillId="0" borderId="0" xfId="0" applyFont="1"/>
    <xf numFmtId="0" fontId="4" fillId="13" borderId="13" xfId="0" applyFont="1" applyFill="1" applyBorder="1"/>
    <xf numFmtId="2" fontId="4" fillId="0" borderId="5" xfId="0" applyNumberFormat="1" applyFont="1" applyBorder="1"/>
    <xf numFmtId="1" fontId="4" fillId="0" borderId="6" xfId="0" applyNumberFormat="1" applyFont="1" applyBorder="1"/>
    <xf numFmtId="0" fontId="95" fillId="0" borderId="0" xfId="0" applyFont="1" applyAlignment="1">
      <alignment horizontal="left" vertical="center" wrapText="1"/>
    </xf>
    <xf numFmtId="0" fontId="95" fillId="0" borderId="0" xfId="0" applyFont="1" applyAlignment="1">
      <alignment horizontal="right"/>
    </xf>
    <xf numFmtId="0" fontId="115" fillId="13" borderId="0" xfId="0" applyFont="1" applyFill="1" applyAlignment="1">
      <alignment horizontal="left" vertical="center" wrapText="1"/>
    </xf>
    <xf numFmtId="0" fontId="115" fillId="0" borderId="0" xfId="0" applyFont="1" applyAlignment="1">
      <alignment horizontal="right"/>
    </xf>
    <xf numFmtId="165" fontId="78" fillId="0" borderId="0" xfId="0" applyNumberFormat="1" applyFont="1" applyAlignment="1">
      <alignment horizontal="right" vertical="center"/>
    </xf>
    <xf numFmtId="0" fontId="95" fillId="0" borderId="0" xfId="0" applyFont="1"/>
    <xf numFmtId="0" fontId="115" fillId="0" borderId="0" xfId="0" applyFont="1"/>
    <xf numFmtId="0" fontId="95" fillId="0" borderId="0" xfId="0" applyFont="1" applyAlignment="1">
      <alignment vertical="center" wrapText="1"/>
    </xf>
    <xf numFmtId="0" fontId="116" fillId="0" borderId="0" xfId="0" applyFont="1" applyAlignment="1">
      <alignment vertical="center" wrapText="1"/>
    </xf>
    <xf numFmtId="0" fontId="117" fillId="10" borderId="0" xfId="0" applyFont="1" applyFill="1"/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19" fillId="25" borderId="101" xfId="0" applyFont="1" applyFill="1" applyBorder="1" applyAlignment="1">
      <alignment vertical="top" wrapText="1"/>
    </xf>
    <xf numFmtId="0" fontId="120" fillId="25" borderId="101" xfId="0" applyFont="1" applyFill="1" applyBorder="1" applyAlignment="1">
      <alignment horizontal="center" vertical="top" wrapText="1"/>
    </xf>
    <xf numFmtId="0" fontId="121" fillId="25" borderId="86" xfId="0" applyFont="1" applyFill="1" applyBorder="1" applyAlignment="1">
      <alignment horizontal="center" vertical="top" wrapText="1"/>
    </xf>
    <xf numFmtId="0" fontId="121" fillId="25" borderId="111" xfId="0" applyFont="1" applyFill="1" applyBorder="1" applyAlignment="1">
      <alignment horizontal="center" vertical="top" wrapText="1"/>
    </xf>
    <xf numFmtId="0" fontId="121" fillId="25" borderId="87" xfId="0" applyFont="1" applyFill="1" applyBorder="1" applyAlignment="1">
      <alignment horizontal="center" vertical="top" wrapText="1"/>
    </xf>
    <xf numFmtId="0" fontId="121" fillId="25" borderId="80" xfId="0" applyFont="1" applyFill="1" applyBorder="1" applyAlignment="1">
      <alignment horizontal="center" vertical="top" wrapText="1"/>
    </xf>
    <xf numFmtId="0" fontId="121" fillId="25" borderId="112" xfId="0" applyFont="1" applyFill="1" applyBorder="1" applyAlignment="1">
      <alignment horizontal="center" vertical="top" wrapText="1"/>
    </xf>
    <xf numFmtId="0" fontId="121" fillId="11" borderId="103" xfId="0" applyFont="1" applyFill="1" applyBorder="1" applyAlignment="1">
      <alignment wrapText="1"/>
    </xf>
    <xf numFmtId="165" fontId="121" fillId="11" borderId="7" xfId="0" applyNumberFormat="1" applyFont="1" applyFill="1" applyBorder="1" applyAlignment="1">
      <alignment horizontal="right" wrapText="1"/>
    </xf>
    <xf numFmtId="165" fontId="120" fillId="11" borderId="16" xfId="0" applyNumberFormat="1" applyFont="1" applyFill="1" applyBorder="1"/>
    <xf numFmtId="165" fontId="120" fillId="11" borderId="3" xfId="0" applyNumberFormat="1" applyFont="1" applyFill="1" applyBorder="1"/>
    <xf numFmtId="165" fontId="120" fillId="11" borderId="2" xfId="0" applyNumberFormat="1" applyFont="1" applyFill="1" applyBorder="1"/>
    <xf numFmtId="164" fontId="120" fillId="11" borderId="16" xfId="0" applyNumberFormat="1" applyFont="1" applyFill="1" applyBorder="1"/>
    <xf numFmtId="0" fontId="122" fillId="0" borderId="7" xfId="0" applyFont="1" applyBorder="1" applyAlignment="1">
      <alignment wrapText="1"/>
    </xf>
    <xf numFmtId="165" fontId="122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 applyAlignment="1">
      <alignment wrapText="1"/>
    </xf>
    <xf numFmtId="165" fontId="119" fillId="0" borderId="8" xfId="0" applyNumberFormat="1" applyFont="1" applyBorder="1" applyAlignment="1">
      <alignment wrapText="1"/>
    </xf>
    <xf numFmtId="165" fontId="119" fillId="0" borderId="0" xfId="0" applyNumberFormat="1" applyFont="1" applyAlignment="1">
      <alignment wrapText="1"/>
    </xf>
    <xf numFmtId="0" fontId="77" fillId="11" borderId="7" xfId="0" applyFont="1" applyFill="1" applyBorder="1" applyAlignment="1">
      <alignment horizontal="left" wrapText="1" indent="1"/>
    </xf>
    <xf numFmtId="165" fontId="77" fillId="11" borderId="7" xfId="0" applyNumberFormat="1" applyFont="1" applyFill="1" applyBorder="1" applyAlignment="1">
      <alignment horizontal="right" wrapText="1"/>
    </xf>
    <xf numFmtId="165" fontId="119" fillId="11" borderId="17" xfId="0" applyNumberFormat="1" applyFont="1" applyFill="1" applyBorder="1"/>
    <xf numFmtId="165" fontId="119" fillId="11" borderId="8" xfId="0" applyNumberFormat="1" applyFont="1" applyFill="1" applyBorder="1"/>
    <xf numFmtId="165" fontId="119" fillId="11" borderId="0" xfId="0" applyNumberFormat="1" applyFont="1" applyFill="1"/>
    <xf numFmtId="164" fontId="119" fillId="11" borderId="17" xfId="0" applyNumberFormat="1" applyFont="1" applyFill="1" applyBorder="1"/>
    <xf numFmtId="0" fontId="77" fillId="0" borderId="7" xfId="0" applyFont="1" applyBorder="1" applyAlignment="1">
      <alignment horizontal="left" wrapText="1" indent="2"/>
    </xf>
    <xf numFmtId="165" fontId="77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/>
    <xf numFmtId="165" fontId="119" fillId="0" borderId="8" xfId="0" applyNumberFormat="1" applyFont="1" applyBorder="1"/>
    <xf numFmtId="165" fontId="119" fillId="0" borderId="0" xfId="0" applyNumberFormat="1" applyFont="1"/>
    <xf numFmtId="164" fontId="119" fillId="0" borderId="17" xfId="0" applyNumberFormat="1" applyFont="1" applyBorder="1"/>
    <xf numFmtId="165" fontId="119" fillId="0" borderId="17" xfId="0" applyNumberFormat="1" applyFont="1" applyBorder="1" applyAlignment="1">
      <alignment horizontal="right"/>
    </xf>
    <xf numFmtId="0" fontId="77" fillId="5" borderId="7" xfId="0" applyFont="1" applyFill="1" applyBorder="1" applyAlignment="1">
      <alignment horizontal="left" wrapText="1" indent="1"/>
    </xf>
    <xf numFmtId="165" fontId="123" fillId="0" borderId="7" xfId="0" applyNumberFormat="1" applyFont="1" applyBorder="1" applyAlignment="1">
      <alignment horizontal="right" wrapText="1"/>
    </xf>
    <xf numFmtId="0" fontId="122" fillId="11" borderId="30" xfId="0" applyFont="1" applyFill="1" applyBorder="1" applyAlignment="1">
      <alignment wrapText="1"/>
    </xf>
    <xf numFmtId="165" fontId="122" fillId="11" borderId="30" xfId="0" applyNumberFormat="1" applyFont="1" applyFill="1" applyBorder="1" applyAlignment="1">
      <alignment horizontal="right" wrapText="1"/>
    </xf>
    <xf numFmtId="165" fontId="119" fillId="11" borderId="13" xfId="0" applyNumberFormat="1" applyFont="1" applyFill="1" applyBorder="1"/>
    <xf numFmtId="165" fontId="119" fillId="11" borderId="6" xfId="0" applyNumberFormat="1" applyFont="1" applyFill="1" applyBorder="1"/>
    <xf numFmtId="165" fontId="119" fillId="11" borderId="5" xfId="0" applyNumberFormat="1" applyFont="1" applyFill="1" applyBorder="1"/>
    <xf numFmtId="0" fontId="122" fillId="0" borderId="0" xfId="0" applyFont="1" applyAlignment="1">
      <alignment wrapText="1"/>
    </xf>
    <xf numFmtId="0" fontId="124" fillId="0" borderId="0" xfId="0" applyFont="1" applyAlignment="1">
      <alignment vertical="top"/>
    </xf>
    <xf numFmtId="0" fontId="124" fillId="0" borderId="0" xfId="0" applyFont="1" applyAlignment="1">
      <alignment vertical="top" wrapText="1"/>
    </xf>
    <xf numFmtId="0" fontId="124" fillId="0" borderId="0" xfId="0" applyFont="1"/>
    <xf numFmtId="0" fontId="125" fillId="26" borderId="32" xfId="0" applyFont="1" applyFill="1" applyBorder="1"/>
    <xf numFmtId="0" fontId="126" fillId="26" borderId="34" xfId="0" applyFont="1" applyFill="1" applyBorder="1"/>
    <xf numFmtId="0" fontId="4" fillId="26" borderId="34" xfId="0" applyFont="1" applyFill="1" applyBorder="1"/>
    <xf numFmtId="0" fontId="125" fillId="26" borderId="34" xfId="0" applyFont="1" applyFill="1" applyBorder="1"/>
    <xf numFmtId="0" fontId="125" fillId="26" borderId="33" xfId="0" applyFont="1" applyFill="1" applyBorder="1"/>
    <xf numFmtId="0" fontId="4" fillId="26" borderId="32" xfId="0" applyFont="1" applyFill="1" applyBorder="1"/>
    <xf numFmtId="0" fontId="4" fillId="26" borderId="33" xfId="0" applyFont="1" applyFill="1" applyBorder="1"/>
    <xf numFmtId="0" fontId="4" fillId="26" borderId="0" xfId="0" applyFont="1" applyFill="1"/>
    <xf numFmtId="0" fontId="20" fillId="0" borderId="9" xfId="0" applyFont="1" applyBorder="1"/>
    <xf numFmtId="0" fontId="4" fillId="26" borderId="25" xfId="0" applyFont="1" applyFill="1" applyBorder="1"/>
    <xf numFmtId="0" fontId="4" fillId="26" borderId="26" xfId="0" applyFont="1" applyFill="1" applyBorder="1"/>
    <xf numFmtId="0" fontId="4" fillId="26" borderId="27" xfId="0" applyFont="1" applyFill="1" applyBorder="1"/>
    <xf numFmtId="0" fontId="4" fillId="31" borderId="10" xfId="0" applyFont="1" applyFill="1" applyBorder="1"/>
    <xf numFmtId="0" fontId="4" fillId="31" borderId="14" xfId="0" applyFont="1" applyFill="1" applyBorder="1"/>
    <xf numFmtId="0" fontId="4" fillId="31" borderId="21" xfId="0" applyFont="1" applyFill="1" applyBorder="1"/>
    <xf numFmtId="0" fontId="4" fillId="4" borderId="63" xfId="0" applyFont="1" applyFill="1" applyBorder="1"/>
    <xf numFmtId="0" fontId="4" fillId="4" borderId="113" xfId="0" applyFont="1" applyFill="1" applyBorder="1"/>
    <xf numFmtId="0" fontId="4" fillId="4" borderId="65" xfId="0" applyFont="1" applyFill="1" applyBorder="1"/>
    <xf numFmtId="14" fontId="122" fillId="5" borderId="16" xfId="0" applyNumberFormat="1" applyFont="1" applyFill="1" applyBorder="1"/>
    <xf numFmtId="14" fontId="122" fillId="5" borderId="13" xfId="0" applyNumberFormat="1" applyFont="1" applyFill="1" applyBorder="1"/>
    <xf numFmtId="0" fontId="7" fillId="11" borderId="16" xfId="0" applyFont="1" applyFill="1" applyBorder="1"/>
    <xf numFmtId="1" fontId="7" fillId="0" borderId="1" xfId="0" applyNumberFormat="1" applyFont="1" applyBorder="1"/>
    <xf numFmtId="1" fontId="7" fillId="0" borderId="2" xfId="0" applyNumberFormat="1" applyFont="1" applyBorder="1"/>
    <xf numFmtId="165" fontId="4" fillId="2" borderId="0" xfId="0" applyNumberFormat="1" applyFont="1" applyFill="1"/>
    <xf numFmtId="165" fontId="4" fillId="2" borderId="3" xfId="0" applyNumberFormat="1" applyFont="1" applyFill="1" applyBorder="1"/>
    <xf numFmtId="1" fontId="7" fillId="0" borderId="7" xfId="0" applyNumberFormat="1" applyFont="1" applyBorder="1"/>
    <xf numFmtId="165" fontId="4" fillId="2" borderId="8" xfId="0" applyNumberFormat="1" applyFont="1" applyFill="1" applyBorder="1"/>
    <xf numFmtId="0" fontId="7" fillId="11" borderId="13" xfId="0" applyFont="1" applyFill="1" applyBorder="1"/>
    <xf numFmtId="1" fontId="7" fillId="0" borderId="30" xfId="0" applyNumberFormat="1" applyFont="1" applyBorder="1"/>
    <xf numFmtId="1" fontId="7" fillId="0" borderId="5" xfId="0" applyNumberFormat="1" applyFont="1" applyBorder="1"/>
    <xf numFmtId="165" fontId="4" fillId="2" borderId="5" xfId="0" applyNumberFormat="1" applyFont="1" applyFill="1" applyBorder="1"/>
    <xf numFmtId="1" fontId="4" fillId="2" borderId="5" xfId="0" applyNumberFormat="1" applyFont="1" applyFill="1" applyBorder="1"/>
    <xf numFmtId="1" fontId="4" fillId="0" borderId="5" xfId="0" applyNumberFormat="1" applyFont="1" applyBorder="1"/>
    <xf numFmtId="165" fontId="4" fillId="2" borderId="6" xfId="0" applyNumberFormat="1" applyFont="1" applyFill="1" applyBorder="1"/>
    <xf numFmtId="164" fontId="7" fillId="0" borderId="34" xfId="0" applyNumberFormat="1" applyFont="1" applyBorder="1"/>
    <xf numFmtId="165" fontId="7" fillId="0" borderId="34" xfId="0" applyNumberFormat="1" applyFont="1" applyBorder="1"/>
    <xf numFmtId="2" fontId="29" fillId="0" borderId="0" xfId="0" applyNumberFormat="1" applyFont="1"/>
    <xf numFmtId="1" fontId="7" fillId="32" borderId="29" xfId="0" applyNumberFormat="1" applyFont="1" applyFill="1" applyBorder="1"/>
    <xf numFmtId="2" fontId="7" fillId="10" borderId="0" xfId="0" applyNumberFormat="1" applyFont="1" applyFill="1"/>
    <xf numFmtId="2" fontId="9" fillId="10" borderId="0" xfId="0" applyNumberFormat="1" applyFont="1" applyFill="1"/>
    <xf numFmtId="0" fontId="9" fillId="13" borderId="17" xfId="0" applyFont="1" applyFill="1" applyBorder="1"/>
    <xf numFmtId="14" fontId="57" fillId="0" borderId="0" xfId="0" applyNumberFormat="1" applyFont="1"/>
    <xf numFmtId="2" fontId="9" fillId="10" borderId="1" xfId="0" applyNumberFormat="1" applyFont="1" applyFill="1" applyBorder="1"/>
    <xf numFmtId="2" fontId="9" fillId="0" borderId="3" xfId="0" applyNumberFormat="1" applyFont="1" applyBorder="1"/>
    <xf numFmtId="2" fontId="9" fillId="10" borderId="7" xfId="0" applyNumberFormat="1" applyFont="1" applyFill="1" applyBorder="1"/>
    <xf numFmtId="2" fontId="9" fillId="0" borderId="8" xfId="0" applyNumberFormat="1" applyFont="1" applyBorder="1"/>
    <xf numFmtId="2" fontId="9" fillId="10" borderId="30" xfId="0" applyNumberFormat="1" applyFont="1" applyFill="1" applyBorder="1"/>
    <xf numFmtId="2" fontId="9" fillId="0" borderId="6" xfId="0" applyNumberFormat="1" applyFont="1" applyBorder="1"/>
    <xf numFmtId="0" fontId="16" fillId="18" borderId="0" xfId="0" applyFont="1" applyFill="1"/>
    <xf numFmtId="0" fontId="71" fillId="0" borderId="0" xfId="0" applyFont="1"/>
    <xf numFmtId="165" fontId="9" fillId="11" borderId="18" xfId="0" applyNumberFormat="1" applyFont="1" applyFill="1" applyBorder="1"/>
    <xf numFmtId="14" fontId="71" fillId="5" borderId="5" xfId="0" applyNumberFormat="1" applyFont="1" applyFill="1" applyBorder="1"/>
    <xf numFmtId="166" fontId="7" fillId="0" borderId="0" xfId="0" applyNumberFormat="1" applyFont="1"/>
    <xf numFmtId="166" fontId="4" fillId="2" borderId="0" xfId="0" applyNumberFormat="1" applyFont="1" applyFill="1"/>
    <xf numFmtId="0" fontId="4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372341</xdr:colOff>
      <xdr:row>28</xdr:row>
      <xdr:rowOff>129021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gks.ru/wps/wcm/connect/rosstat_main/rosstat/ru/statistics/population/level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HD934"/>
  <sheetViews>
    <sheetView workbookViewId="0" zoomScale="83" zoomScaleNormal="83"/>
  </sheetViews>
  <sheetFormatPr defaultRowHeight="15.5" outlineLevelRow="0" outlineLevelCol="0" x14ac:dyDescent="0" defaultColWidth="9.1640625" customHeight="1"/>
  <cols>
    <col min="1" max="9" width="9.1640625" style="31" customWidth="1"/>
    <col min="10" max="10" width="9.6640625" style="31" customWidth="1"/>
    <col min="11" max="14" width="9.1640625" style="31" customWidth="1"/>
    <col min="15" max="15" width="11.5" style="31" customWidth="1"/>
    <col min="16" max="16" width="9.33203125" style="31" customWidth="1"/>
    <col min="17" max="17" width="9.5" style="31" customWidth="1"/>
    <col min="18" max="18" width="12.6640625" style="31" customWidth="1"/>
    <col min="19" max="19" width="9.5" style="31" customWidth="1"/>
    <col min="20" max="20" width="10.5" style="31" customWidth="1"/>
    <col min="21" max="21" width="11" style="31" customWidth="1"/>
    <col min="22" max="22" width="10.83203125" style="31" customWidth="1"/>
    <col min="23" max="23" width="10.5" style="31" customWidth="1"/>
    <col min="24" max="24" width="10.1640625" style="31" customWidth="1"/>
    <col min="25" max="25" width="10.5" style="31" customWidth="1"/>
    <col min="26" max="26" width="11.33203125" style="31" customWidth="1"/>
    <col min="27" max="28" width="10.5" style="31" customWidth="1"/>
    <col min="29" max="29" width="11" style="31" customWidth="1"/>
    <col min="30" max="33" width="12" style="31" customWidth="1"/>
    <col min="34" max="34" width="10.5" style="31" customWidth="1"/>
    <col min="35" max="35" width="11.33203125" style="31" customWidth="1"/>
    <col min="36" max="38" width="10.5" style="31" customWidth="1"/>
    <col min="39" max="39" width="9.83203125" style="31" customWidth="1"/>
    <col min="40" max="40" width="10.5" style="31" customWidth="1"/>
    <col min="41" max="41" width="10" style="31" customWidth="1"/>
    <col min="42" max="42" width="9.83203125" style="31" customWidth="1"/>
    <col min="43" max="43" width="11" style="31" customWidth="1"/>
    <col min="44" max="44" width="9.83203125" style="31" customWidth="1"/>
    <col min="45" max="45" width="9.5" style="31" customWidth="1"/>
    <col min="46" max="46" width="10.83203125" style="31" customWidth="1"/>
    <col min="47" max="47" width="11.1640625" style="31" customWidth="1"/>
    <col min="48" max="48" width="10.83203125" style="31" customWidth="1"/>
    <col min="49" max="49" width="11" style="31" customWidth="1"/>
    <col min="50" max="50" width="10.33203125" style="31" customWidth="1"/>
    <col min="51" max="51" width="11.6640625" style="31" customWidth="1"/>
    <col min="52" max="52" width="10.83203125" style="31" customWidth="1"/>
    <col min="53" max="53" width="11.5" style="31" customWidth="1"/>
    <col min="54" max="55" width="11.6640625" style="31" customWidth="1"/>
    <col min="56" max="56" width="12" style="31" customWidth="1"/>
    <col min="57" max="57" width="10.6640625" style="31" customWidth="1"/>
    <col min="58" max="58" width="10.1640625" style="31" customWidth="1"/>
    <col min="59" max="59" width="10.5" style="31" customWidth="1"/>
    <col min="60" max="60" width="10.83203125" style="31" customWidth="1"/>
    <col min="61" max="62" width="11" style="31" customWidth="1"/>
    <col min="63" max="63" width="11.1640625" style="31" customWidth="1"/>
    <col min="64" max="64" width="10.6640625" style="31" customWidth="1"/>
    <col min="65" max="65" width="10.5" style="31" customWidth="1"/>
    <col min="66" max="66" width="10.33203125" style="31" customWidth="1"/>
    <col min="67" max="67" width="10.5" style="31" customWidth="1"/>
    <col min="68" max="68" width="10.6640625" style="31" customWidth="1"/>
    <col min="69" max="69" width="10" style="31" customWidth="1"/>
    <col min="70" max="70" width="13" style="31" customWidth="1"/>
    <col min="71" max="71" width="11" style="31" customWidth="1"/>
    <col min="72" max="72" width="9.33203125" style="31" customWidth="1"/>
    <col min="73" max="73" width="9.83203125" style="31" customWidth="1"/>
    <col min="74" max="75" width="9.33203125" style="31" customWidth="1"/>
    <col min="76" max="76" width="10.6640625" style="31" customWidth="1"/>
    <col min="77" max="78" width="9.33203125" style="31" customWidth="1"/>
    <col min="79" max="79" width="10.83203125" style="31" customWidth="1"/>
    <col min="80" max="81" width="9.33203125" style="31" customWidth="1"/>
    <col min="82" max="82" width="11" style="31" customWidth="1"/>
    <col min="83" max="83" width="11.83203125" style="31" customWidth="1"/>
    <col min="84" max="84" width="12.33203125" style="31" customWidth="1"/>
    <col min="85" max="86" width="11.33203125" style="31" customWidth="1"/>
    <col min="87" max="87" width="11" style="31" customWidth="1"/>
    <col min="88" max="88" width="12.5" style="31" customWidth="1"/>
    <col min="89" max="89" width="12.6640625" style="31" customWidth="1"/>
    <col min="90" max="91" width="13" style="31" customWidth="1"/>
    <col min="92" max="92" width="13.1640625" style="31" customWidth="1"/>
    <col min="93" max="93" width="12.33203125" style="31" customWidth="1"/>
    <col min="94" max="94" width="12.5" style="31" customWidth="1"/>
    <col min="95" max="95" width="10" style="31" customWidth="1"/>
    <col min="96" max="96" width="10.6640625" style="31" customWidth="1"/>
    <col min="97" max="97" width="9.6640625" style="31" customWidth="1"/>
    <col min="98" max="98" width="10.5" style="31" customWidth="1"/>
    <col min="99" max="99" width="10.6640625" style="31" customWidth="1"/>
    <col min="100" max="101" width="11" style="31" customWidth="1"/>
    <col min="102" max="102" width="12" style="31" customWidth="1"/>
    <col min="103" max="103" width="11.5" style="31" customWidth="1"/>
    <col min="104" max="104" width="10.33203125" style="31" customWidth="1"/>
    <col min="105" max="105" width="12.6640625" style="31" customWidth="1"/>
    <col min="106" max="106" width="11.5" style="31" customWidth="1"/>
    <col min="107" max="107" width="11.1640625" style="31" customWidth="1"/>
    <col min="108" max="108" width="12.6640625" style="31" customWidth="1"/>
    <col min="109" max="109" width="13" style="31" customWidth="1"/>
    <col min="110" max="110" width="12.33203125" style="31" customWidth="1"/>
    <col min="111" max="111" width="10.6640625" style="31" customWidth="1"/>
    <col min="112" max="112" width="11" style="31" customWidth="1"/>
    <col min="113" max="113" width="10.1640625" style="31" customWidth="1"/>
    <col min="114" max="114" width="10.33203125" style="31" customWidth="1"/>
    <col min="115" max="115" width="11.33203125" style="31" customWidth="1"/>
    <col min="116" max="116" width="10" style="31" customWidth="1"/>
    <col min="117" max="117" width="10.33203125" style="31" customWidth="1"/>
    <col min="118" max="118" width="10.5" style="31" customWidth="1"/>
    <col min="119" max="119" width="10" style="31" customWidth="1"/>
    <col min="120" max="120" width="12.5" style="31" customWidth="1"/>
    <col min="121" max="121" width="9.83203125" style="31" customWidth="1"/>
    <col min="122" max="122" width="9.1640625" style="31" customWidth="1"/>
    <col min="123" max="123" width="10.33203125" style="31" customWidth="1"/>
    <col min="124" max="124" width="10.83203125" style="31" customWidth="1"/>
    <col min="125" max="125" width="9.1640625" style="31" customWidth="1"/>
    <col min="126" max="126" width="10.33203125" style="31" customWidth="1"/>
    <col min="127" max="127" width="9.1640625" style="31" customWidth="1"/>
    <col min="128" max="129" width="10.6640625" style="31" customWidth="1"/>
    <col min="130" max="130" width="13.5" style="31" customWidth="1"/>
    <col min="131" max="131" width="11.5" style="31" customWidth="1"/>
    <col min="132" max="132" width="12" style="31" customWidth="1"/>
    <col min="133" max="133" width="9.83203125" style="31" customWidth="1"/>
    <col min="134" max="134" width="12.5" style="31" customWidth="1"/>
    <col min="135" max="135" width="10.33203125" style="31" customWidth="1"/>
    <col min="136" max="136" width="10.6640625" style="31" customWidth="1"/>
    <col min="137" max="137" width="10" style="31" customWidth="1"/>
    <col min="138" max="138" width="10.5" style="31" customWidth="1"/>
    <col min="139" max="139" width="11" style="31" customWidth="1"/>
    <col min="140" max="140" width="10.33203125" style="31" customWidth="1"/>
    <col min="141" max="141" width="10" style="31" customWidth="1"/>
    <col min="142" max="143" width="10.5" style="31" customWidth="1"/>
    <col min="144" max="144" width="9.1640625" style="31" customWidth="1"/>
    <col min="145" max="145" width="10.83203125" style="31" customWidth="1"/>
    <col min="146" max="146" width="12.5" style="31" customWidth="1"/>
    <col min="147" max="147" width="9.1640625" style="31" customWidth="1"/>
    <col min="148" max="148" width="10.5" style="31" customWidth="1"/>
    <col min="149" max="149" width="10.1640625" style="31" customWidth="1"/>
    <col min="150" max="150" width="10.83203125" style="31" customWidth="1"/>
    <col min="151" max="151" width="10.33203125" style="31" customWidth="1"/>
    <col min="152" max="152" width="10.1640625" style="31" customWidth="1"/>
    <col min="153" max="155" width="9.1640625" style="31" customWidth="1"/>
    <col min="156" max="156" width="12.5" style="31" customWidth="1"/>
    <col min="157" max="158" width="9.1640625" style="31" customWidth="1"/>
    <col min="159" max="159" width="9.5" style="31" customWidth="1"/>
    <col min="160" max="160" width="9.83203125" style="31" customWidth="1"/>
    <col min="161" max="161" width="10.33203125" style="31" customWidth="1"/>
    <col min="162" max="162" width="9.1640625" style="31" customWidth="1"/>
    <col min="163" max="163" width="9.83203125" style="31" customWidth="1"/>
    <col min="164" max="164" width="10.5" style="31" customWidth="1"/>
    <col min="165" max="180" width="9.1640625" style="31" customWidth="1"/>
    <col min="181" max="181" width="10.1640625" style="31" customWidth="1"/>
    <col min="182" max="187" width="9.1640625" style="31" customWidth="1"/>
    <col min="188" max="188" width="10.5" style="31" customWidth="1"/>
    <col min="189" max="202" width="9.1640625" style="31" customWidth="1"/>
    <col min="203" max="203" width="9.33203125" style="31" customWidth="1"/>
    <col min="204" max="204" width="9.83203125" style="31" customWidth="1"/>
    <col min="205" max="205" width="10.5" style="31" customWidth="1"/>
    <col min="206" max="207" width="9.33203125" style="31" customWidth="1"/>
    <col min="208" max="208" width="12.1640625" style="31" customWidth="1"/>
    <col min="209" max="209" width="10" style="31" customWidth="1"/>
    <col min="210" max="210" width="10.33203125" style="31" customWidth="1"/>
    <col min="211" max="211" width="10.5" style="31" customWidth="1"/>
    <col min="212" max="223" width="9.1640625" style="31" customWidth="1"/>
    <col min="224" max="224" width="11.1640625" style="31" customWidth="1"/>
    <col min="225" max="225" width="11.5" style="31" customWidth="1"/>
    <col min="226" max="226" width="10.33203125" style="31" customWidth="1"/>
    <col min="227" max="228" width="9.33203125" style="31" customWidth="1"/>
    <col min="229" max="231" width="9.1640625" style="31" customWidth="1"/>
    <col min="232" max="234" width="9.33203125" style="31" customWidth="1"/>
    <col min="235" max="243" width="9.1640625" style="31" customWidth="1"/>
    <col min="244" max="244" width="11.5" style="31" customWidth="1"/>
    <col min="245" max="247" width="9.33203125" style="31" customWidth="1"/>
    <col min="248" max="16384" width="9.1640625" style="31" customWidth="1"/>
  </cols>
  <sheetData>
    <row r="1" ht="16" customHeight="1" spans="42:50" x14ac:dyDescent="0.25">
      <c r="AP1" s="104"/>
      <c r="AQ1" s="105"/>
      <c r="AR1" s="105"/>
      <c r="AS1" s="105"/>
      <c r="AT1" s="105"/>
      <c r="AU1" s="105"/>
      <c r="AV1" s="105"/>
      <c r="AW1" s="105"/>
      <c r="AX1" s="106"/>
    </row>
    <row r="2" ht="16" customHeight="1" spans="24:50" x14ac:dyDescent="0.25">
      <c r="X2" s="107" t="s">
        <v>13</v>
      </c>
      <c r="Y2" s="108">
        <v>43707</v>
      </c>
      <c r="Z2" s="109" t="s">
        <v>98</v>
      </c>
      <c r="AA2" s="110"/>
      <c r="AB2" s="110"/>
      <c r="AC2" s="110"/>
      <c r="AD2" s="110"/>
      <c r="AE2" s="110"/>
      <c r="AF2" s="110"/>
      <c r="AG2" s="110"/>
      <c r="AH2" s="109"/>
      <c r="AI2" s="109"/>
      <c r="AJ2" s="109"/>
      <c r="AK2" s="109"/>
      <c r="AL2" s="109"/>
      <c r="AM2" s="111"/>
      <c r="AN2" s="111"/>
      <c r="AO2" s="109"/>
      <c r="AP2" s="112"/>
      <c r="AQ2" s="113" t="s">
        <v>99</v>
      </c>
      <c r="AR2" s="113"/>
      <c r="AS2" s="113"/>
      <c r="AT2" s="113"/>
      <c r="AU2" s="114"/>
      <c r="AV2" s="114"/>
      <c r="AW2" s="114"/>
      <c r="AX2" s="115"/>
    </row>
    <row r="3" ht="16" customHeight="1" spans="24:50" x14ac:dyDescent="0.25">
      <c r="X3" s="116" t="s">
        <v>100</v>
      </c>
      <c r="Y3" s="117"/>
      <c r="Z3" s="117"/>
      <c r="AA3" s="118"/>
      <c r="AB3" s="117"/>
      <c r="AC3" s="117" t="s">
        <v>101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9"/>
      <c r="AN3" s="119"/>
      <c r="AO3" s="117"/>
      <c r="AP3" s="112"/>
      <c r="AQ3" s="113" t="s">
        <v>102</v>
      </c>
      <c r="AR3" s="114"/>
      <c r="AS3" s="114"/>
      <c r="AT3" s="114"/>
      <c r="AU3" s="114"/>
      <c r="AV3" s="114"/>
      <c r="AW3" s="114"/>
      <c r="AX3" s="115"/>
    </row>
    <row r="4" ht="16" customHeight="1" spans="24:50" x14ac:dyDescent="0.25">
      <c r="X4" s="120"/>
      <c r="Y4" s="121"/>
      <c r="Z4" s="121"/>
      <c r="AA4" s="122"/>
      <c r="AB4" s="121"/>
      <c r="AC4" s="121" t="s">
        <v>103</v>
      </c>
      <c r="AD4" s="121"/>
      <c r="AE4" s="121"/>
      <c r="AF4" s="121"/>
      <c r="AG4" s="121"/>
      <c r="AH4" s="121"/>
      <c r="AI4" s="121"/>
      <c r="AJ4" s="121"/>
      <c r="AK4" s="121"/>
      <c r="AL4" s="121"/>
      <c r="AM4" s="119"/>
      <c r="AN4" s="119"/>
      <c r="AO4" s="121"/>
      <c r="AP4" s="112"/>
      <c r="AQ4" s="113" t="s">
        <v>104</v>
      </c>
      <c r="AR4" s="114"/>
      <c r="AS4" s="114"/>
      <c r="AT4" s="114"/>
      <c r="AU4" s="114"/>
      <c r="AV4" s="114"/>
      <c r="AW4" s="114"/>
      <c r="AX4" s="115"/>
    </row>
    <row r="5" ht="16" customHeight="1" spans="24:50" x14ac:dyDescent="0.25">
      <c r="X5" s="120" t="s">
        <v>105</v>
      </c>
      <c r="Y5" s="121"/>
      <c r="Z5" s="121"/>
      <c r="AA5" s="122"/>
      <c r="AB5" s="121"/>
      <c r="AC5" s="121" t="s">
        <v>106</v>
      </c>
      <c r="AD5" s="121"/>
      <c r="AE5" s="121"/>
      <c r="AF5" s="121"/>
      <c r="AG5" s="121" t="s">
        <v>107</v>
      </c>
      <c r="AH5" s="121"/>
      <c r="AI5" s="121"/>
      <c r="AJ5" s="121"/>
      <c r="AK5" s="121"/>
      <c r="AL5" s="121"/>
      <c r="AM5" s="119"/>
      <c r="AN5" s="119"/>
      <c r="AO5" s="121"/>
      <c r="AP5" s="112"/>
      <c r="AQ5" s="113" t="s">
        <v>108</v>
      </c>
      <c r="AR5" s="114"/>
      <c r="AS5" s="114"/>
      <c r="AT5" s="113" t="s">
        <v>109</v>
      </c>
      <c r="AU5" s="114"/>
      <c r="AV5" s="114"/>
      <c r="AW5" s="113" t="s">
        <v>110</v>
      </c>
      <c r="AX5" s="115"/>
    </row>
    <row r="6" ht="16.25" customHeight="1" spans="24:123" x14ac:dyDescent="0.25">
      <c r="X6" s="120"/>
      <c r="Y6" s="121"/>
      <c r="Z6" s="121"/>
      <c r="AA6" s="122"/>
      <c r="AB6" s="121"/>
      <c r="AC6" s="121" t="s">
        <v>111</v>
      </c>
      <c r="AD6" s="121"/>
      <c r="AE6" s="121"/>
      <c r="AF6" s="121"/>
      <c r="AG6" s="121"/>
      <c r="AH6" s="121"/>
      <c r="AI6" s="121"/>
      <c r="AJ6" s="121"/>
      <c r="AK6" s="121"/>
      <c r="AL6" s="121"/>
      <c r="AM6" s="119"/>
      <c r="AN6" s="119"/>
      <c r="AO6" s="121"/>
      <c r="AP6" s="112"/>
      <c r="AQ6" s="113" t="s">
        <v>112</v>
      </c>
      <c r="AR6" s="113"/>
      <c r="AS6" s="114"/>
      <c r="AT6" s="114"/>
      <c r="AU6" s="114"/>
      <c r="AV6" s="114"/>
      <c r="AW6" s="114"/>
      <c r="AX6" s="115"/>
      <c r="CS6" s="123"/>
      <c r="CT6" s="123"/>
      <c r="CU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S6" s="123"/>
    </row>
    <row r="7" ht="17.5" customHeight="1" spans="24:141" x14ac:dyDescent="0.25">
      <c r="X7" s="120"/>
      <c r="Y7" s="121"/>
      <c r="Z7" s="121"/>
      <c r="AA7" s="122"/>
      <c r="AB7" s="121"/>
      <c r="AC7" s="121" t="s">
        <v>113</v>
      </c>
      <c r="AD7" s="121"/>
      <c r="AE7" s="121"/>
      <c r="AF7" s="121"/>
      <c r="AG7" s="121"/>
      <c r="AH7" s="121"/>
      <c r="AI7" s="121"/>
      <c r="AJ7" s="121"/>
      <c r="AK7" s="121"/>
      <c r="AL7" s="121"/>
      <c r="AM7" s="119"/>
      <c r="AN7" s="119"/>
      <c r="AO7" s="121"/>
      <c r="AP7" s="112"/>
      <c r="AQ7" s="113" t="s">
        <v>114</v>
      </c>
      <c r="AR7" s="113"/>
      <c r="AS7" s="114"/>
      <c r="AT7" s="114"/>
      <c r="AU7" s="114"/>
      <c r="AV7" s="114"/>
      <c r="AW7" s="114"/>
      <c r="AX7" s="115"/>
      <c r="CT7" s="28" t="s">
        <v>13</v>
      </c>
      <c r="CU7" s="124" t="s">
        <v>115</v>
      </c>
      <c r="CV7" s="125" t="s">
        <v>116</v>
      </c>
      <c r="CW7" s="32" t="s">
        <v>117</v>
      </c>
      <c r="CX7" s="32" t="s">
        <v>118</v>
      </c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28" t="s">
        <v>13</v>
      </c>
      <c r="DM7" s="29" t="s">
        <v>119</v>
      </c>
      <c r="DN7" s="29" t="s">
        <v>50</v>
      </c>
      <c r="DO7" s="29" t="s">
        <v>120</v>
      </c>
      <c r="EE7" s="28" t="s">
        <v>13</v>
      </c>
      <c r="EF7" s="126" t="s">
        <v>35</v>
      </c>
      <c r="EG7" s="29" t="s">
        <v>120</v>
      </c>
      <c r="EH7" s="29" t="s">
        <v>41</v>
      </c>
      <c r="EI7" s="127" t="s">
        <v>121</v>
      </c>
      <c r="EJ7" s="29" t="s">
        <v>122</v>
      </c>
      <c r="EK7" s="128" t="s">
        <v>123</v>
      </c>
    </row>
    <row r="8" ht="16.25" customHeight="1" spans="24:141" x14ac:dyDescent="0.25">
      <c r="X8" s="120" t="s">
        <v>124</v>
      </c>
      <c r="Y8" s="121"/>
      <c r="Z8" s="121"/>
      <c r="AA8" s="122"/>
      <c r="AB8" s="121"/>
      <c r="AC8" s="121" t="s">
        <v>125</v>
      </c>
      <c r="AD8" s="121"/>
      <c r="AE8" s="121"/>
      <c r="AF8" s="121"/>
      <c r="AG8" s="121"/>
      <c r="AH8" s="121"/>
      <c r="AI8" s="121"/>
      <c r="AJ8" s="121"/>
      <c r="AK8" s="121"/>
      <c r="AL8" s="121"/>
      <c r="AM8" s="119"/>
      <c r="AN8" s="119"/>
      <c r="AO8" s="121"/>
      <c r="AP8" s="112"/>
      <c r="AQ8" s="113" t="s">
        <v>126</v>
      </c>
      <c r="AR8" s="113"/>
      <c r="AS8" s="113"/>
      <c r="AT8" s="113"/>
      <c r="AU8" s="114"/>
      <c r="AV8" s="114"/>
      <c r="AW8" s="114"/>
      <c r="AX8" s="115"/>
      <c r="CT8" s="129">
        <v>43770</v>
      </c>
      <c r="CU8" s="39" t="s">
        <v>56</v>
      </c>
      <c r="CV8" s="39" t="s">
        <v>56</v>
      </c>
      <c r="CW8" s="39"/>
      <c r="CX8" s="130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9">
        <v>43663</v>
      </c>
      <c r="DM8" s="131" t="s">
        <v>56</v>
      </c>
      <c r="DN8" s="131" t="s">
        <v>56</v>
      </c>
      <c r="DO8" s="131" t="s">
        <v>56</v>
      </c>
      <c r="EE8" s="38">
        <v>43924</v>
      </c>
      <c r="EF8" s="132" t="s">
        <v>127</v>
      </c>
      <c r="EG8" s="131" t="s">
        <v>56</v>
      </c>
      <c r="EH8" s="40" t="s">
        <v>127</v>
      </c>
      <c r="EI8" s="40" t="s">
        <v>127</v>
      </c>
      <c r="EJ8" s="131" t="s">
        <v>56</v>
      </c>
      <c r="EK8" s="133" t="s">
        <v>56</v>
      </c>
    </row>
    <row r="9" ht="17.5" customHeight="1" spans="23:141" x14ac:dyDescent="0.25">
      <c r="W9" s="123"/>
      <c r="X9" s="120"/>
      <c r="Y9" s="121"/>
      <c r="Z9" s="121"/>
      <c r="AA9" s="122"/>
      <c r="AB9" s="121"/>
      <c r="AC9" s="121" t="s">
        <v>128</v>
      </c>
      <c r="AD9" s="121"/>
      <c r="AE9" s="121"/>
      <c r="AF9" s="121"/>
      <c r="AG9" s="121"/>
      <c r="AH9" s="121" t="s">
        <v>129</v>
      </c>
      <c r="AI9" s="121" t="s">
        <v>130</v>
      </c>
      <c r="AJ9" s="121"/>
      <c r="AK9" s="121"/>
      <c r="AL9" s="121"/>
      <c r="AM9" s="119"/>
      <c r="AN9" s="119"/>
      <c r="AO9" s="121"/>
      <c r="AP9" s="112"/>
      <c r="AQ9" s="113" t="s">
        <v>131</v>
      </c>
      <c r="AR9" s="113"/>
      <c r="AS9" s="113"/>
      <c r="AT9" s="113"/>
      <c r="AU9" s="114"/>
      <c r="AV9" s="114"/>
      <c r="AW9" s="114"/>
      <c r="AX9" s="115"/>
      <c r="CT9" s="134">
        <v>1995</v>
      </c>
      <c r="CU9" s="135">
        <f t="array" ref="CU9:CU32">TRANSPOSE(U103:AR103)</f>
        <v>437</v>
      </c>
      <c r="CV9" s="136">
        <f t="array" ref="CV9:CV32">TRANSPOSE(U67:AR67)</f>
        <v>1428.5209</v>
      </c>
      <c r="CW9" s="136">
        <f>CU9</f>
        <v>437</v>
      </c>
      <c r="CX9" s="137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62">
        <v>1995</v>
      </c>
      <c r="DM9" s="138">
        <f t="array" ref="DM9:DM32">TRANSPOSE(U69:AR69)</f>
        <v>719.7935</v>
      </c>
      <c r="DN9" s="138"/>
      <c r="DO9" s="56">
        <f t="array" ref="DO9:DO32">TRANSPOSE(U89:AR89)</f>
        <v>910.9</v>
      </c>
      <c r="EE9" s="43">
        <v>1995</v>
      </c>
      <c r="EF9" s="139">
        <f t="array" ref="EF9:EF32">TRANSPOSE(U159:AR159)</f>
        <v>1</v>
      </c>
      <c r="EG9" s="140">
        <v>910.9</v>
      </c>
      <c r="EH9" s="139">
        <v>1</v>
      </c>
      <c r="EI9" s="139"/>
      <c r="EJ9" s="139">
        <f>EK9/1000</f>
        <v>0.9108999999999999</v>
      </c>
      <c r="EK9" s="56">
        <f>EG9</f>
        <v>910.9</v>
      </c>
    </row>
    <row r="10" ht="17.5" customHeight="1" spans="24:141" x14ac:dyDescent="0.25">
      <c r="X10" s="120"/>
      <c r="Y10" s="121"/>
      <c r="Z10" s="121"/>
      <c r="AA10" s="122"/>
      <c r="AB10" s="121"/>
      <c r="AC10" s="121" t="s">
        <v>132</v>
      </c>
      <c r="AD10" s="121"/>
      <c r="AE10" s="121"/>
      <c r="AF10" s="121"/>
      <c r="AG10" s="121"/>
      <c r="AH10" s="121"/>
      <c r="AI10" s="121"/>
      <c r="AJ10" s="121"/>
      <c r="AK10" s="121"/>
      <c r="AL10" s="121"/>
      <c r="AM10" s="119"/>
      <c r="AN10" s="119"/>
      <c r="AO10" s="121"/>
      <c r="AP10" s="112"/>
      <c r="AQ10" s="113" t="s">
        <v>133</v>
      </c>
      <c r="AR10" s="114"/>
      <c r="AS10" s="114"/>
      <c r="AT10" s="114"/>
      <c r="AU10" s="114"/>
      <c r="AV10" s="114"/>
      <c r="AW10" s="114"/>
      <c r="AX10" s="115"/>
      <c r="CT10" s="134">
        <v>1996</v>
      </c>
      <c r="CU10" s="135">
        <v>558.5</v>
      </c>
      <c r="CV10" s="135">
        <v>2007.8252000000002</v>
      </c>
      <c r="CW10" s="135">
        <f>CU10</f>
        <v>558.5</v>
      </c>
      <c r="CX10" s="141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62">
        <v>1996</v>
      </c>
      <c r="DM10" s="142">
        <v>1007.827</v>
      </c>
      <c r="DN10" s="142"/>
      <c r="DO10" s="66">
        <v>1357.1</v>
      </c>
      <c r="EE10" s="62">
        <v>1996</v>
      </c>
      <c r="EF10" s="143">
        <v>0.951</v>
      </c>
      <c r="EG10" s="55">
        <v>1357.1</v>
      </c>
      <c r="EH10" s="143">
        <f>НАСТРОЙКА!DR137</f>
        <v>1.218</v>
      </c>
      <c r="EI10" s="78">
        <f>EH10/EH9</f>
        <v>1.218</v>
      </c>
      <c r="EJ10" s="143">
        <f>EK10/1000</f>
        <v>1.1142036124794745</v>
      </c>
      <c r="EK10" s="66">
        <f t="shared" ref="EK10:EK32" si="0">EG10/EH10</f>
        <v>1114.2036124794745</v>
      </c>
    </row>
    <row r="11" ht="17.5" customHeight="1" spans="24:141" x14ac:dyDescent="0.25">
      <c r="X11" s="120"/>
      <c r="Y11" s="121"/>
      <c r="Z11" s="121"/>
      <c r="AA11" s="122"/>
      <c r="AB11" s="121"/>
      <c r="AC11" s="121" t="s">
        <v>134</v>
      </c>
      <c r="AD11" s="121"/>
      <c r="AE11" s="121"/>
      <c r="AF11" s="121"/>
      <c r="AG11" s="121"/>
      <c r="AH11" s="121"/>
      <c r="AI11" s="121"/>
      <c r="AJ11" s="121"/>
      <c r="AK11" s="121"/>
      <c r="AL11" s="121"/>
      <c r="AM11" s="119"/>
      <c r="AN11" s="119"/>
      <c r="AO11" s="121"/>
      <c r="AP11" s="112"/>
      <c r="AQ11" s="113" t="s">
        <v>135</v>
      </c>
      <c r="AR11" s="114"/>
      <c r="AS11" s="114"/>
      <c r="AT11" s="114"/>
      <c r="AU11" s="114"/>
      <c r="AV11" s="114"/>
      <c r="AW11" s="114"/>
      <c r="AX11" s="115"/>
      <c r="CT11" s="134">
        <v>1997</v>
      </c>
      <c r="CU11" s="135">
        <v>711.6</v>
      </c>
      <c r="CV11" s="135">
        <v>2342.5137</v>
      </c>
      <c r="CW11" s="135">
        <f t="shared" ref="CW11:CW29" si="1">CU11</f>
        <v>711.6</v>
      </c>
      <c r="CX11" s="141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62">
        <v>1997</v>
      </c>
      <c r="DM11" s="142">
        <v>1235.2137</v>
      </c>
      <c r="DN11" s="142"/>
      <c r="DO11" s="66">
        <v>1656.4</v>
      </c>
      <c r="EE11" s="62">
        <v>1997</v>
      </c>
      <c r="EF11" s="143">
        <v>0.99855</v>
      </c>
      <c r="EG11" s="55">
        <v>1656.4</v>
      </c>
      <c r="EH11" s="143">
        <f>НАСТРОЙКА!DR138</f>
        <v>1.3519800000000002</v>
      </c>
      <c r="EI11" s="78">
        <f t="shared" ref="EI11:EI30" si="2">EH11/EH10</f>
        <v>1.11</v>
      </c>
      <c r="EJ11" s="143">
        <f t="shared" ref="EJ11:EJ32" si="3">EK11/1000</f>
        <v>1.2251660527522594</v>
      </c>
      <c r="EK11" s="66">
        <f t="shared" si="0"/>
        <v>1225.1660527522595</v>
      </c>
    </row>
    <row r="12" ht="17.5" customHeight="1" spans="24:141" x14ac:dyDescent="0.25">
      <c r="X12" s="120"/>
      <c r="Y12" s="121"/>
      <c r="Z12" s="121"/>
      <c r="AA12" s="122"/>
      <c r="AB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19"/>
      <c r="AN12" s="119"/>
      <c r="AO12" s="121"/>
      <c r="AP12" s="112"/>
      <c r="AQ12" s="113" t="s">
        <v>136</v>
      </c>
      <c r="AR12" s="114"/>
      <c r="AS12" s="114"/>
      <c r="AT12" s="114"/>
      <c r="AU12" s="114"/>
      <c r="AV12" s="114"/>
      <c r="AW12" s="114"/>
      <c r="AX12" s="115"/>
      <c r="CT12" s="134">
        <v>1998</v>
      </c>
      <c r="CU12" s="135">
        <v>686.8</v>
      </c>
      <c r="CV12" s="135">
        <v>2629.6229</v>
      </c>
      <c r="CW12" s="135">
        <f t="shared" si="1"/>
        <v>686.8</v>
      </c>
      <c r="CX12" s="141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62">
        <v>1998</v>
      </c>
      <c r="DM12" s="142">
        <v>1462.284</v>
      </c>
      <c r="DN12" s="142"/>
      <c r="DO12" s="66">
        <v>1776</v>
      </c>
      <c r="EE12" s="62">
        <v>1998</v>
      </c>
      <c r="EF12" s="143">
        <v>0.9645993</v>
      </c>
      <c r="EG12" s="55">
        <v>1776</v>
      </c>
      <c r="EH12" s="143">
        <f>НАСТРОЙКА!DR139</f>
        <v>2.4930511200000005</v>
      </c>
      <c r="EI12" s="78">
        <f t="shared" si="2"/>
        <v>1.844</v>
      </c>
      <c r="EJ12" s="143">
        <f t="shared" si="3"/>
        <v>0.7123800975248351</v>
      </c>
      <c r="EK12" s="66">
        <f t="shared" si="0"/>
        <v>712.3800975248352</v>
      </c>
    </row>
    <row r="13" ht="17.5" customHeight="1" spans="24:141" x14ac:dyDescent="0.25">
      <c r="X13" s="120" t="s">
        <v>137</v>
      </c>
      <c r="Y13" s="121"/>
      <c r="Z13" s="121"/>
      <c r="AA13" s="122"/>
      <c r="AB13" s="121"/>
      <c r="AC13" s="121" t="s">
        <v>138</v>
      </c>
      <c r="AD13" s="121"/>
      <c r="AE13" s="121"/>
      <c r="AF13" s="121"/>
      <c r="AG13" s="121"/>
      <c r="AH13" s="121"/>
      <c r="AI13" s="121"/>
      <c r="AJ13" s="121"/>
      <c r="AK13" s="121"/>
      <c r="AL13" s="121"/>
      <c r="AM13" s="119"/>
      <c r="AN13" s="119"/>
      <c r="AP13" s="112"/>
      <c r="AQ13" s="113" t="s">
        <v>139</v>
      </c>
      <c r="AR13" s="114"/>
      <c r="AS13" s="114"/>
      <c r="AT13" s="114"/>
      <c r="AU13" s="114"/>
      <c r="AV13" s="114"/>
      <c r="AW13" s="114"/>
      <c r="AX13" s="115"/>
      <c r="CT13" s="134">
        <v>1999</v>
      </c>
      <c r="CU13" s="135">
        <v>1213.6</v>
      </c>
      <c r="CV13" s="135">
        <v>4823.2329</v>
      </c>
      <c r="CW13" s="135">
        <f t="shared" si="1"/>
        <v>1213.6</v>
      </c>
      <c r="CX13" s="141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62">
        <v>1999</v>
      </c>
      <c r="DM13" s="142">
        <v>2526.1679</v>
      </c>
      <c r="DN13" s="142"/>
      <c r="DO13" s="66">
        <v>2908.1</v>
      </c>
      <c r="EE13" s="62">
        <v>1999</v>
      </c>
      <c r="EF13" s="143">
        <v>0.9414489168</v>
      </c>
      <c r="EG13" s="55">
        <v>2908.1</v>
      </c>
      <c r="EH13" s="143">
        <f>НАСТРОЙКА!DR140</f>
        <v>3.4030147788000007</v>
      </c>
      <c r="EI13" s="78">
        <f t="shared" si="2"/>
        <v>1.365</v>
      </c>
      <c r="EJ13" s="143">
        <f t="shared" si="3"/>
        <v>0.8545657862307252</v>
      </c>
      <c r="EK13" s="66">
        <f t="shared" si="0"/>
        <v>854.5657862307252</v>
      </c>
    </row>
    <row r="14" ht="16.5" customHeight="1" spans="24:141" x14ac:dyDescent="0.25">
      <c r="X14" s="120"/>
      <c r="Y14" s="121"/>
      <c r="Z14" s="121"/>
      <c r="AA14" s="122"/>
      <c r="AB14" s="121"/>
      <c r="AC14" s="121" t="s">
        <v>140</v>
      </c>
      <c r="AD14" s="121"/>
      <c r="AE14" s="121"/>
      <c r="AF14" s="121"/>
      <c r="AG14" s="121" t="s">
        <v>141</v>
      </c>
      <c r="AH14" s="121"/>
      <c r="AI14" s="121"/>
      <c r="AJ14" s="121"/>
      <c r="AK14" s="121"/>
      <c r="AL14" s="121"/>
      <c r="AM14" s="119"/>
      <c r="AN14" s="119"/>
      <c r="AO14" s="121"/>
      <c r="AP14" s="112"/>
      <c r="AQ14" s="113" t="s">
        <v>142</v>
      </c>
      <c r="AR14" s="114"/>
      <c r="AS14" s="114"/>
      <c r="AT14" s="114"/>
      <c r="AU14" s="114"/>
      <c r="AV14" s="114"/>
      <c r="AW14" s="114"/>
      <c r="AX14" s="115"/>
      <c r="CT14" s="134">
        <v>2000</v>
      </c>
      <c r="CU14" s="135">
        <v>2097.7</v>
      </c>
      <c r="CV14" s="135">
        <v>7305.6466</v>
      </c>
      <c r="CW14" s="135">
        <f t="shared" si="1"/>
        <v>2097.7</v>
      </c>
      <c r="CX14" s="141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62">
        <v>2000</v>
      </c>
      <c r="DM14" s="142">
        <v>3295.2373</v>
      </c>
      <c r="DN14" s="142"/>
      <c r="DO14" s="66">
        <v>3983.9</v>
      </c>
      <c r="EE14" s="62">
        <v>2000</v>
      </c>
      <c r="EF14" s="143">
        <v>0.9969944028911999</v>
      </c>
      <c r="EG14" s="55">
        <v>3983.9</v>
      </c>
      <c r="EH14" s="143">
        <f>НАСТРОЙКА!DR141</f>
        <v>4.090423764117601</v>
      </c>
      <c r="EI14" s="78">
        <f t="shared" si="2"/>
        <v>1.202</v>
      </c>
      <c r="EJ14" s="143">
        <f t="shared" si="3"/>
        <v>0.9739577681285596</v>
      </c>
      <c r="EK14" s="66">
        <f t="shared" si="0"/>
        <v>973.9577681285596</v>
      </c>
    </row>
    <row r="15" ht="17.5" customHeight="1" spans="24:141" x14ac:dyDescent="0.25">
      <c r="X15" s="120"/>
      <c r="Y15" s="121"/>
      <c r="Z15" s="121"/>
      <c r="AA15" s="122"/>
      <c r="AB15" s="121"/>
      <c r="AC15" s="121"/>
      <c r="AD15" s="121"/>
      <c r="AE15" s="121"/>
      <c r="AF15" s="121"/>
      <c r="AG15" s="121" t="s">
        <v>143</v>
      </c>
      <c r="AH15" s="121"/>
      <c r="AI15" s="121"/>
      <c r="AJ15" s="121"/>
      <c r="AK15" s="121"/>
      <c r="AL15" s="121"/>
      <c r="AM15" s="119"/>
      <c r="AN15" s="119"/>
      <c r="AO15" s="121"/>
      <c r="AP15" s="112"/>
      <c r="AQ15" s="113" t="s">
        <v>144</v>
      </c>
      <c r="AR15" s="114"/>
      <c r="AS15" s="114"/>
      <c r="AT15" s="114"/>
      <c r="AU15" s="114"/>
      <c r="AV15" s="114"/>
      <c r="AW15" s="114"/>
      <c r="AX15" s="115"/>
      <c r="CT15" s="134">
        <v>2001</v>
      </c>
      <c r="CU15" s="135">
        <v>2683.7</v>
      </c>
      <c r="CV15" s="135">
        <v>8943.5826</v>
      </c>
      <c r="CW15" s="135">
        <f t="shared" si="1"/>
        <v>2683.7</v>
      </c>
      <c r="CX15" s="141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62">
        <v>2001</v>
      </c>
      <c r="DM15" s="142">
        <v>4318.1211</v>
      </c>
      <c r="DN15" s="142"/>
      <c r="DO15" s="66">
        <v>5325.8</v>
      </c>
      <c r="EE15" s="62">
        <v>2001</v>
      </c>
      <c r="EF15" s="143">
        <v>1.0787479439282783</v>
      </c>
      <c r="EG15" s="55">
        <v>5325.8</v>
      </c>
      <c r="EH15" s="143">
        <f>НАСТРОЙКА!DR142</f>
        <v>4.851242584243474</v>
      </c>
      <c r="EI15" s="78">
        <f t="shared" si="2"/>
        <v>1.186</v>
      </c>
      <c r="EJ15" s="143">
        <f t="shared" si="3"/>
        <v>1.0978218276071905</v>
      </c>
      <c r="EK15" s="66">
        <f t="shared" si="0"/>
        <v>1097.8218276071905</v>
      </c>
    </row>
    <row r="16" ht="17.5" customHeight="1" spans="24:141" x14ac:dyDescent="0.25">
      <c r="X16" s="120"/>
      <c r="Y16" s="121"/>
      <c r="Z16" s="121"/>
      <c r="AA16" s="122"/>
      <c r="AB16" s="121"/>
      <c r="AC16" s="121"/>
      <c r="AD16" s="121"/>
      <c r="AE16" s="121"/>
      <c r="AF16" s="121"/>
      <c r="AG16" s="121" t="s">
        <v>145</v>
      </c>
      <c r="AH16" s="121"/>
      <c r="AI16" s="121"/>
      <c r="AJ16" s="121"/>
      <c r="AK16" s="121"/>
      <c r="AL16" s="121"/>
      <c r="AM16" s="119"/>
      <c r="AN16" s="119"/>
      <c r="AO16" s="119"/>
      <c r="AP16" s="112"/>
      <c r="AQ16" s="113" t="s">
        <v>146</v>
      </c>
      <c r="AR16" s="114"/>
      <c r="AS16" s="114"/>
      <c r="AT16" s="114"/>
      <c r="AU16" s="114"/>
      <c r="AV16" s="114"/>
      <c r="AW16" s="114"/>
      <c r="AX16" s="115"/>
      <c r="CT16" s="134">
        <v>2002</v>
      </c>
      <c r="CU16" s="135">
        <v>3519.2</v>
      </c>
      <c r="CV16" s="135">
        <v>10819.270899999998</v>
      </c>
      <c r="CW16" s="135">
        <f t="shared" si="1"/>
        <v>3519.2</v>
      </c>
      <c r="CX16" s="141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62">
        <v>2002</v>
      </c>
      <c r="DM16" s="142">
        <v>5409.1577</v>
      </c>
      <c r="DN16" s="142"/>
      <c r="DO16" s="66">
        <v>6831</v>
      </c>
      <c r="EE16" s="62">
        <v>2002</v>
      </c>
      <c r="EF16" s="143">
        <v>1.1618115356107557</v>
      </c>
      <c r="EG16" s="55">
        <v>6831</v>
      </c>
      <c r="EH16" s="143">
        <f>НАСТРОЙКА!DR143</f>
        <v>5.583780214464239</v>
      </c>
      <c r="EI16" s="78">
        <f t="shared" si="2"/>
        <v>1.151</v>
      </c>
      <c r="EJ16" s="143">
        <f t="shared" si="3"/>
        <v>1.2233647703942498</v>
      </c>
      <c r="EK16" s="66">
        <f t="shared" si="0"/>
        <v>1223.36477039425</v>
      </c>
    </row>
    <row r="17" ht="17.5" customHeight="1" spans="24:141" x14ac:dyDescent="0.25">
      <c r="X17" s="120" t="s">
        <v>147</v>
      </c>
      <c r="Y17" s="121"/>
      <c r="Z17" s="144"/>
      <c r="AA17" s="122"/>
      <c r="AB17" s="121" t="s">
        <v>148</v>
      </c>
      <c r="AD17" s="121"/>
      <c r="AE17" s="121"/>
      <c r="AF17" s="121"/>
      <c r="AG17" s="121" t="s">
        <v>149</v>
      </c>
      <c r="AH17" s="119"/>
      <c r="AI17" s="119"/>
      <c r="AJ17" s="119"/>
      <c r="AK17" s="121"/>
      <c r="AN17" s="119"/>
      <c r="AO17" s="119"/>
      <c r="AP17" s="112"/>
      <c r="AQ17" s="113" t="s">
        <v>150</v>
      </c>
      <c r="AR17" s="114"/>
      <c r="AS17" s="114"/>
      <c r="AT17" s="114"/>
      <c r="AU17" s="114"/>
      <c r="AV17" s="114"/>
      <c r="AW17" s="114"/>
      <c r="AX17" s="115"/>
      <c r="CT17" s="134">
        <v>2003</v>
      </c>
      <c r="CU17" s="135">
        <v>4138.7</v>
      </c>
      <c r="CV17" s="135">
        <v>13208.250299999998</v>
      </c>
      <c r="CW17" s="135">
        <f t="shared" si="1"/>
        <v>4138.7</v>
      </c>
      <c r="CX17" s="141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62">
        <v>2003</v>
      </c>
      <c r="DM17" s="142">
        <v>6537.4015</v>
      </c>
      <c r="DN17" s="142"/>
      <c r="DO17" s="66">
        <v>8900.5</v>
      </c>
      <c r="EE17" s="62">
        <v>2003</v>
      </c>
      <c r="EF17" s="143">
        <v>1.2512710238527838</v>
      </c>
      <c r="EG17" s="55">
        <v>8900.5</v>
      </c>
      <c r="EH17" s="143">
        <f>НАСТРОЙКА!DR144</f>
        <v>6.253833840199949</v>
      </c>
      <c r="EI17" s="78">
        <f t="shared" si="2"/>
        <v>1.12</v>
      </c>
      <c r="EJ17" s="143">
        <f t="shared" si="3"/>
        <v>1.4232069842961212</v>
      </c>
      <c r="EK17" s="66">
        <f t="shared" si="0"/>
        <v>1423.2069842961212</v>
      </c>
    </row>
    <row r="18" ht="17.5" customHeight="1" spans="23:141" x14ac:dyDescent="0.25">
      <c r="W18" s="145"/>
      <c r="X18" s="120"/>
      <c r="Y18" s="121"/>
      <c r="Z18" s="121"/>
      <c r="AA18" s="122"/>
      <c r="AB18" s="121" t="s">
        <v>151</v>
      </c>
      <c r="AC18" s="121"/>
      <c r="AD18" s="121"/>
      <c r="AE18" s="121"/>
      <c r="AF18" s="121"/>
      <c r="AG18" s="121" t="s">
        <v>152</v>
      </c>
      <c r="AH18" s="121"/>
      <c r="AI18" s="121"/>
      <c r="AJ18" s="121"/>
      <c r="AK18" s="121"/>
      <c r="AL18" s="121"/>
      <c r="AM18" s="119"/>
      <c r="AO18" s="121"/>
      <c r="AP18" s="112"/>
      <c r="AQ18" s="114"/>
      <c r="AR18" s="114"/>
      <c r="AS18" s="114"/>
      <c r="AT18" s="114"/>
      <c r="AU18" s="114"/>
      <c r="AV18" s="114"/>
      <c r="AW18" s="114"/>
      <c r="AX18" s="115"/>
      <c r="CT18" s="134">
        <v>2004</v>
      </c>
      <c r="CU18" s="135">
        <v>5429.9</v>
      </c>
      <c r="CV18" s="135">
        <v>17027.166999999998</v>
      </c>
      <c r="CW18" s="135">
        <f t="shared" si="1"/>
        <v>5429.9</v>
      </c>
      <c r="CX18" s="141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62">
        <v>2004</v>
      </c>
      <c r="DM18" s="142">
        <v>8438.4841</v>
      </c>
      <c r="DN18" s="142"/>
      <c r="DO18" s="66">
        <v>10976.3</v>
      </c>
      <c r="EE18" s="62">
        <v>2004</v>
      </c>
      <c r="EF18" s="143">
        <v>1.4076799018343817</v>
      </c>
      <c r="EG18" s="55">
        <v>10976.3</v>
      </c>
      <c r="EH18" s="143">
        <f>НАСТРОЙКА!DR145</f>
        <v>6.9855323995033425</v>
      </c>
      <c r="EI18" s="78">
        <f t="shared" si="2"/>
        <v>1.117</v>
      </c>
      <c r="EJ18" s="143">
        <f t="shared" si="3"/>
        <v>1.571290400253586</v>
      </c>
      <c r="EK18" s="66">
        <f t="shared" si="0"/>
        <v>1571.2904002535859</v>
      </c>
    </row>
    <row r="19" ht="18" customHeight="1" spans="24:141" x14ac:dyDescent="0.25">
      <c r="X19" s="146"/>
      <c r="Y19" s="119"/>
      <c r="Z19" s="119"/>
      <c r="AA19" s="122"/>
      <c r="AB19" s="121" t="s">
        <v>153</v>
      </c>
      <c r="AC19" s="121"/>
      <c r="AD19" s="121"/>
      <c r="AE19" s="121"/>
      <c r="AF19" s="121"/>
      <c r="AG19" s="121" t="s">
        <v>154</v>
      </c>
      <c r="AH19" s="121"/>
      <c r="AI19" s="121"/>
      <c r="AJ19" s="121"/>
      <c r="AK19" s="121"/>
      <c r="AL19" s="121"/>
      <c r="AM19" s="119"/>
      <c r="AN19" s="119"/>
      <c r="AO19" s="119"/>
      <c r="AP19" s="112"/>
      <c r="AQ19" s="113" t="s">
        <v>104</v>
      </c>
      <c r="AR19" s="114"/>
      <c r="AS19" s="114"/>
      <c r="AT19" s="114"/>
      <c r="AU19" s="114"/>
      <c r="AV19" s="114"/>
      <c r="AW19" s="114"/>
      <c r="AX19" s="115"/>
      <c r="CT19" s="134">
        <v>2005</v>
      </c>
      <c r="CU19" s="135">
        <v>8579.6</v>
      </c>
      <c r="CV19" s="135">
        <v>21609.765799999997</v>
      </c>
      <c r="CW19" s="135">
        <f t="shared" si="1"/>
        <v>8579.6</v>
      </c>
      <c r="CX19" s="141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62">
        <v>2005</v>
      </c>
      <c r="DM19" s="142">
        <v>10652.8578</v>
      </c>
      <c r="DN19" s="142"/>
      <c r="DO19" s="66">
        <v>13819</v>
      </c>
      <c r="EE19" s="62">
        <v>2005</v>
      </c>
      <c r="EF19" s="143">
        <v>1.5794168498581764</v>
      </c>
      <c r="EG19" s="55">
        <v>13819</v>
      </c>
      <c r="EH19" s="143">
        <f>НАСТРОЙКА!DR146</f>
        <v>7.746955431049207</v>
      </c>
      <c r="EI19" s="78">
        <f t="shared" si="2"/>
        <v>1.109</v>
      </c>
      <c r="EJ19" s="143">
        <f t="shared" si="3"/>
        <v>1.7837975347856658</v>
      </c>
      <c r="EK19" s="66">
        <f t="shared" si="0"/>
        <v>1783.797534785666</v>
      </c>
    </row>
    <row r="20" ht="17.5" customHeight="1" spans="9:141" x14ac:dyDescent="0.25">
      <c r="I20" s="147" t="s">
        <v>155</v>
      </c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9"/>
      <c r="X20" s="120" t="s">
        <v>156</v>
      </c>
      <c r="Y20" s="121"/>
      <c r="Z20" s="121"/>
      <c r="AA20" s="122"/>
      <c r="AB20" s="121" t="s">
        <v>157</v>
      </c>
      <c r="AC20" s="119"/>
      <c r="AD20" s="121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2"/>
      <c r="AQ20" s="113" t="s">
        <v>148</v>
      </c>
      <c r="AR20" s="114"/>
      <c r="AS20" s="113"/>
      <c r="AT20" s="114"/>
      <c r="AU20" s="114"/>
      <c r="AV20" s="114"/>
      <c r="AW20" s="114"/>
      <c r="AX20" s="115"/>
      <c r="CT20" s="134">
        <v>2006</v>
      </c>
      <c r="CU20" s="135">
        <v>10625.8</v>
      </c>
      <c r="CV20" s="135">
        <v>26917.2037</v>
      </c>
      <c r="CW20" s="135">
        <f t="shared" si="1"/>
        <v>10625.8</v>
      </c>
      <c r="CX20" s="141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62">
        <v>2006</v>
      </c>
      <c r="DM20" s="142">
        <v>12974.7434</v>
      </c>
      <c r="DN20" s="142"/>
      <c r="DO20" s="66">
        <v>17290.1</v>
      </c>
      <c r="EE20" s="62">
        <v>2006</v>
      </c>
      <c r="EF20" s="143">
        <v>1.7721057055408742</v>
      </c>
      <c r="EG20" s="55">
        <v>17290.1</v>
      </c>
      <c r="EH20" s="143">
        <f>НАСТРОЙКА!DR147</f>
        <v>8.444181419843636</v>
      </c>
      <c r="EI20" s="78">
        <f t="shared" si="2"/>
        <v>1.09</v>
      </c>
      <c r="EJ20" s="143">
        <f t="shared" si="3"/>
        <v>2.0475756192741965</v>
      </c>
      <c r="EK20" s="66">
        <f t="shared" si="0"/>
        <v>2047.5756192741967</v>
      </c>
    </row>
    <row r="21" ht="17.5" customHeight="1" spans="9:141" x14ac:dyDescent="0.25">
      <c r="I21" s="150" t="s">
        <v>158</v>
      </c>
      <c r="J21" s="151"/>
      <c r="K21" s="152"/>
      <c r="L21" s="152"/>
      <c r="M21" s="152"/>
      <c r="N21" s="152"/>
      <c r="O21" s="152"/>
      <c r="P21" s="152"/>
      <c r="Q21" s="153" t="s">
        <v>159</v>
      </c>
      <c r="R21" s="154">
        <v>43899</v>
      </c>
      <c r="S21" s="155" t="s">
        <v>160</v>
      </c>
      <c r="T21" s="155"/>
      <c r="U21" s="155"/>
      <c r="V21" s="156"/>
      <c r="X21" s="120" t="s">
        <v>161</v>
      </c>
      <c r="Y21" s="121"/>
      <c r="Z21" s="121"/>
      <c r="AA21" s="122"/>
      <c r="AB21" s="121" t="s">
        <v>108</v>
      </c>
      <c r="AC21" s="121"/>
      <c r="AD21" s="121"/>
      <c r="AE21" s="121"/>
      <c r="AF21" s="121"/>
      <c r="AG21" s="121" t="s">
        <v>162</v>
      </c>
      <c r="AH21" s="121"/>
      <c r="AI21" s="121"/>
      <c r="AJ21" s="121"/>
      <c r="AK21" s="121"/>
      <c r="AL21" s="119"/>
      <c r="AM21" s="119"/>
      <c r="AN21" s="119"/>
      <c r="AO21" s="121"/>
      <c r="AP21" s="112"/>
      <c r="AQ21" s="113" t="s">
        <v>114</v>
      </c>
      <c r="AR21" s="113"/>
      <c r="AS21" s="114"/>
      <c r="AT21" s="114"/>
      <c r="AU21" s="114"/>
      <c r="AV21" s="114"/>
      <c r="AW21" s="114"/>
      <c r="AX21" s="115"/>
      <c r="CT21" s="134">
        <v>2007</v>
      </c>
      <c r="CU21" s="135">
        <v>13368.262</v>
      </c>
      <c r="CV21" s="135">
        <v>33247.5132</v>
      </c>
      <c r="CW21" s="135">
        <f t="shared" si="1"/>
        <v>13368.262</v>
      </c>
      <c r="CX21" s="141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62">
        <v>2007</v>
      </c>
      <c r="DM21" s="142">
        <v>16031.7398</v>
      </c>
      <c r="DN21" s="142">
        <f t="shared" ref="DN21:DN32" si="4">DM21</f>
        <v>16031.7398</v>
      </c>
      <c r="DO21" s="66">
        <v>21311.5</v>
      </c>
      <c r="EE21" s="62">
        <v>2007</v>
      </c>
      <c r="EF21" s="143">
        <v>2.0255168214332193</v>
      </c>
      <c r="EG21" s="55">
        <v>21311.5</v>
      </c>
      <c r="EH21" s="143">
        <f>НАСТРОЙКА!DR148</f>
        <v>9.446505754379075</v>
      </c>
      <c r="EI21" s="78">
        <f t="shared" si="2"/>
        <v>1.1187</v>
      </c>
      <c r="EJ21" s="143">
        <f t="shared" si="3"/>
        <v>2.2560193741607284</v>
      </c>
      <c r="EK21" s="66">
        <f t="shared" si="0"/>
        <v>2256.0193741607286</v>
      </c>
    </row>
    <row r="22" ht="17.5" customHeight="1" spans="9:141" x14ac:dyDescent="0.25">
      <c r="I22" s="157" t="s">
        <v>163</v>
      </c>
      <c r="J22" s="121" t="s">
        <v>164</v>
      </c>
      <c r="K22" s="121"/>
      <c r="L22" s="121"/>
      <c r="M22" s="121"/>
      <c r="N22" s="121"/>
      <c r="O22" s="121"/>
      <c r="P22" s="121"/>
      <c r="Q22" s="121"/>
      <c r="R22" s="121"/>
      <c r="S22" s="117"/>
      <c r="T22" s="117"/>
      <c r="U22" s="117"/>
      <c r="V22" s="158"/>
      <c r="X22" s="120" t="s">
        <v>165</v>
      </c>
      <c r="Y22" s="121"/>
      <c r="Z22" s="121"/>
      <c r="AA22" s="122"/>
      <c r="AB22" s="159" t="s">
        <v>166</v>
      </c>
      <c r="AC22" s="160"/>
      <c r="AD22" s="160"/>
      <c r="AE22" s="160"/>
      <c r="AF22" s="160"/>
      <c r="AG22" s="160" t="s">
        <v>167</v>
      </c>
      <c r="AH22" s="160"/>
      <c r="AI22" s="160"/>
      <c r="AJ22" s="160"/>
      <c r="AK22" s="160"/>
      <c r="AL22" s="161" t="s">
        <v>168</v>
      </c>
      <c r="AM22" s="162"/>
      <c r="AN22" s="119"/>
      <c r="AO22" s="121"/>
      <c r="AP22" s="112"/>
      <c r="AQ22" s="113" t="s">
        <v>169</v>
      </c>
      <c r="AR22" s="113"/>
      <c r="AS22" s="114"/>
      <c r="AT22" s="114"/>
      <c r="AU22" s="114"/>
      <c r="AV22" s="114"/>
      <c r="AW22" s="114"/>
      <c r="AX22" s="115"/>
      <c r="CT22" s="134">
        <v>2008</v>
      </c>
      <c r="CU22" s="135">
        <v>16003.86</v>
      </c>
      <c r="CV22" s="135">
        <v>41276.8492</v>
      </c>
      <c r="CW22" s="135">
        <f t="shared" si="1"/>
        <v>16003.86</v>
      </c>
      <c r="CX22" s="141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62">
        <v>2008</v>
      </c>
      <c r="DM22" s="142">
        <v>19966.9547</v>
      </c>
      <c r="DN22" s="142">
        <f t="shared" si="4"/>
        <v>19966.9547</v>
      </c>
      <c r="DO22" s="66">
        <v>25244</v>
      </c>
      <c r="EE22" s="62">
        <v>2008</v>
      </c>
      <c r="EF22" s="143">
        <v>2.2402216045051406</v>
      </c>
      <c r="EG22" s="55">
        <v>25244</v>
      </c>
      <c r="EH22" s="143">
        <f>НАСТРОЙКА!DR149</f>
        <v>10.701001718560617</v>
      </c>
      <c r="EI22" s="78">
        <f t="shared" si="2"/>
        <v>1.1328</v>
      </c>
      <c r="EJ22" s="143">
        <f t="shared" si="3"/>
        <v>2.359031487324679</v>
      </c>
      <c r="EK22" s="66">
        <f t="shared" si="0"/>
        <v>2359.0314873246793</v>
      </c>
    </row>
    <row r="23" ht="17.5" customHeight="1" spans="9:141" x14ac:dyDescent="0.25">
      <c r="I23" s="157" t="s">
        <v>170</v>
      </c>
      <c r="J23" s="121" t="s">
        <v>171</v>
      </c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44"/>
      <c r="AA23" s="145"/>
      <c r="AB23" s="119"/>
      <c r="AC23" s="119"/>
      <c r="AD23" s="119"/>
      <c r="AE23" s="119"/>
      <c r="AF23" s="119"/>
      <c r="AG23" s="121" t="s">
        <v>172</v>
      </c>
      <c r="AH23" s="163" t="s">
        <v>173</v>
      </c>
      <c r="AI23" s="163"/>
      <c r="AJ23" s="163"/>
      <c r="AK23" s="163"/>
      <c r="AL23" s="121"/>
      <c r="AM23" s="119"/>
      <c r="AN23" s="119"/>
      <c r="AO23" s="121"/>
      <c r="AP23" s="112"/>
      <c r="AQ23" s="164" t="s">
        <v>174</v>
      </c>
      <c r="AR23" s="164"/>
      <c r="AS23" s="114"/>
      <c r="AT23" s="114"/>
      <c r="AU23" s="114"/>
      <c r="AV23" s="114"/>
      <c r="AW23" s="114"/>
      <c r="AX23" s="115"/>
      <c r="CT23" s="134">
        <v>2009</v>
      </c>
      <c r="CU23" s="135">
        <v>13599.7</v>
      </c>
      <c r="CV23" s="135">
        <v>38807.270899999996</v>
      </c>
      <c r="CW23" s="135">
        <f t="shared" si="1"/>
        <v>13599.7</v>
      </c>
      <c r="CX23" s="141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62">
        <v>2009</v>
      </c>
      <c r="DM23" s="142">
        <v>20986.036</v>
      </c>
      <c r="DN23" s="142">
        <f t="shared" si="4"/>
        <v>20986.036</v>
      </c>
      <c r="DO23" s="66">
        <v>28697.5</v>
      </c>
      <c r="EE23" s="62">
        <v>2009</v>
      </c>
      <c r="EF23" s="143">
        <v>2.1259703026753782</v>
      </c>
      <c r="EG23" s="55">
        <v>28697.5</v>
      </c>
      <c r="EH23" s="143">
        <f>НАСТРОЙКА!DR150</f>
        <v>11.642689869793951</v>
      </c>
      <c r="EI23" s="78">
        <f t="shared" si="2"/>
        <v>1.088</v>
      </c>
      <c r="EJ23" s="143">
        <f t="shared" si="3"/>
        <v>2.464851363468284</v>
      </c>
      <c r="EK23" s="66">
        <f t="shared" si="0"/>
        <v>2464.851363468284</v>
      </c>
    </row>
    <row r="24" ht="17.5" customHeight="1" spans="9:141" x14ac:dyDescent="0.25">
      <c r="I24" s="157" t="s">
        <v>175</v>
      </c>
      <c r="J24" s="121" t="s">
        <v>176</v>
      </c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44"/>
      <c r="X24" s="120" t="s">
        <v>177</v>
      </c>
      <c r="Y24" s="121"/>
      <c r="Z24" s="121"/>
      <c r="AA24" s="122"/>
      <c r="AB24" s="121" t="s">
        <v>178</v>
      </c>
      <c r="AC24" s="121"/>
      <c r="AD24" s="121"/>
      <c r="AE24" s="119"/>
      <c r="AF24" s="119"/>
      <c r="AG24" s="121" t="s">
        <v>179</v>
      </c>
      <c r="AH24" s="119"/>
      <c r="AI24" s="119"/>
      <c r="AJ24" s="119"/>
      <c r="AK24" s="119"/>
      <c r="AL24" s="119"/>
      <c r="AM24" s="119"/>
      <c r="AN24" s="119"/>
      <c r="AO24" s="119"/>
      <c r="AP24" s="112"/>
      <c r="AQ24" s="114"/>
      <c r="AR24" s="114"/>
      <c r="AS24" s="114"/>
      <c r="AT24" s="114"/>
      <c r="AU24" s="114"/>
      <c r="AV24" s="114"/>
      <c r="AW24" s="114"/>
      <c r="AX24" s="115"/>
      <c r="CT24" s="134">
        <v>2010</v>
      </c>
      <c r="CU24" s="135">
        <v>16031.9</v>
      </c>
      <c r="CV24" s="135">
        <v>46308.53100000001</v>
      </c>
      <c r="CW24" s="135">
        <f t="shared" si="1"/>
        <v>16031.9</v>
      </c>
      <c r="CX24" s="141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62">
        <v>2010</v>
      </c>
      <c r="DM24" s="142">
        <v>23617.623</v>
      </c>
      <c r="DN24" s="142">
        <f t="shared" si="4"/>
        <v>23617.623</v>
      </c>
      <c r="DO24" s="66">
        <v>32498.3</v>
      </c>
      <c r="EE24" s="62">
        <v>2010</v>
      </c>
      <c r="EF24" s="143">
        <v>2.242898669322524</v>
      </c>
      <c r="EG24" s="55">
        <v>32498.3</v>
      </c>
      <c r="EH24" s="143">
        <f>НАСТРОЙКА!DR151</f>
        <v>12.664918040361862</v>
      </c>
      <c r="EI24" s="78">
        <f t="shared" si="2"/>
        <v>1.0878</v>
      </c>
      <c r="EJ24" s="143">
        <f t="shared" si="3"/>
        <v>2.566009499345442</v>
      </c>
      <c r="EK24" s="66">
        <f t="shared" si="0"/>
        <v>2566.0094993454422</v>
      </c>
    </row>
    <row r="25" ht="17.5" customHeight="1" spans="9:141" x14ac:dyDescent="0.25">
      <c r="I25" s="157" t="s">
        <v>180</v>
      </c>
      <c r="J25" s="121" t="s">
        <v>181</v>
      </c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44"/>
      <c r="X25" s="120" t="s">
        <v>182</v>
      </c>
      <c r="Y25" s="119"/>
      <c r="Z25" s="119"/>
      <c r="AA25" s="122"/>
      <c r="AB25" s="121" t="s">
        <v>183</v>
      </c>
      <c r="AC25" s="121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2"/>
      <c r="AQ25" s="114"/>
      <c r="AR25" s="114"/>
      <c r="AS25" s="114"/>
      <c r="AT25" s="114"/>
      <c r="AU25" s="114"/>
      <c r="AV25" s="114"/>
      <c r="AW25" s="114"/>
      <c r="AX25" s="115"/>
      <c r="CT25" s="134">
        <v>2011</v>
      </c>
      <c r="CU25" s="135">
        <v>20855</v>
      </c>
      <c r="CV25" s="135">
        <v>60282.540400000005</v>
      </c>
      <c r="CW25" s="135">
        <f t="shared" si="1"/>
        <v>20855</v>
      </c>
      <c r="CX25" s="141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62">
        <v>2011</v>
      </c>
      <c r="DM25" s="142">
        <v>29939.4635</v>
      </c>
      <c r="DN25" s="142">
        <f t="shared" si="4"/>
        <v>29939.4635</v>
      </c>
      <c r="DO25" s="66">
        <v>35648.7</v>
      </c>
      <c r="EE25" s="62">
        <v>2011</v>
      </c>
      <c r="EF25" s="143">
        <v>2.3954157788364556</v>
      </c>
      <c r="EG25" s="55">
        <v>35648.7</v>
      </c>
      <c r="EH25" s="143">
        <f>НАСТРОЙКА!DR152</f>
        <v>13.437478040823935</v>
      </c>
      <c r="EI25" s="78">
        <f t="shared" si="2"/>
        <v>1.061</v>
      </c>
      <c r="EJ25" s="143">
        <f t="shared" si="3"/>
        <v>2.6529308469712043</v>
      </c>
      <c r="EK25" s="66">
        <f t="shared" si="0"/>
        <v>2652.930846971204</v>
      </c>
    </row>
    <row r="26" ht="17.5" customHeight="1" spans="9:141" x14ac:dyDescent="0.25">
      <c r="I26" s="157" t="s">
        <v>184</v>
      </c>
      <c r="J26" s="121" t="s">
        <v>185</v>
      </c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44"/>
      <c r="X26" s="120" t="s">
        <v>186</v>
      </c>
      <c r="Y26" s="121"/>
      <c r="Z26" s="121"/>
      <c r="AA26" s="122"/>
      <c r="AB26" s="121" t="s">
        <v>187</v>
      </c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19"/>
      <c r="AN26" s="119"/>
      <c r="AO26" s="119"/>
      <c r="AP26" s="112"/>
      <c r="AQ26" s="113" t="s">
        <v>188</v>
      </c>
      <c r="AR26" s="114"/>
      <c r="AS26" s="114"/>
      <c r="AT26" s="114"/>
      <c r="AU26" s="114"/>
      <c r="AV26" s="114"/>
      <c r="AW26" s="114"/>
      <c r="AX26" s="115"/>
      <c r="CT26" s="134">
        <v>2012</v>
      </c>
      <c r="CU26" s="135">
        <v>23435</v>
      </c>
      <c r="CV26" s="135">
        <v>68163.8831</v>
      </c>
      <c r="CW26" s="135">
        <f t="shared" si="1"/>
        <v>23435</v>
      </c>
      <c r="CX26" s="141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62">
        <v>2012</v>
      </c>
      <c r="DM26" s="142">
        <v>34492.3617</v>
      </c>
      <c r="DN26" s="142">
        <f t="shared" si="4"/>
        <v>34492.3617</v>
      </c>
      <c r="DO26" s="66">
        <v>39904</v>
      </c>
      <c r="EE26" s="62">
        <v>2012</v>
      </c>
      <c r="EF26" s="143">
        <v>2.5846536253645356</v>
      </c>
      <c r="EG26" s="55">
        <v>39904</v>
      </c>
      <c r="EH26" s="143">
        <f>НАСТРОЙКА!DR153</f>
        <v>14.321664095910151</v>
      </c>
      <c r="EI26" s="78">
        <f t="shared" si="2"/>
        <v>1.0658</v>
      </c>
      <c r="EJ26" s="143">
        <f t="shared" si="3"/>
        <v>2.786268392609167</v>
      </c>
      <c r="EK26" s="66">
        <f t="shared" si="0"/>
        <v>2786.268392609167</v>
      </c>
    </row>
    <row r="27" ht="16.5" customHeight="1" spans="9:141" x14ac:dyDescent="0.25">
      <c r="I27" s="157" t="s">
        <v>189</v>
      </c>
      <c r="J27" s="121" t="s">
        <v>190</v>
      </c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44"/>
      <c r="X27" s="120" t="s">
        <v>191</v>
      </c>
      <c r="Y27" s="121"/>
      <c r="Z27" s="121"/>
      <c r="AA27" s="122"/>
      <c r="AB27" s="121" t="s">
        <v>192</v>
      </c>
      <c r="AC27" s="121"/>
      <c r="AD27" s="121"/>
      <c r="AE27" s="121"/>
      <c r="AF27" s="121"/>
      <c r="AG27" s="121" t="s">
        <v>193</v>
      </c>
      <c r="AH27" s="121"/>
      <c r="AI27" s="121"/>
      <c r="AJ27" s="121"/>
      <c r="AK27" s="121"/>
      <c r="AL27" s="121"/>
      <c r="AM27" s="121"/>
      <c r="AN27" s="121"/>
      <c r="AO27" s="121"/>
      <c r="AP27" s="112"/>
      <c r="AQ27" s="113" t="s">
        <v>194</v>
      </c>
      <c r="AR27" s="113"/>
      <c r="AS27" s="113"/>
      <c r="AT27" s="114"/>
      <c r="AU27" s="114"/>
      <c r="AV27" s="114"/>
      <c r="AW27" s="114"/>
      <c r="AX27" s="115"/>
      <c r="CT27" s="134">
        <v>2013</v>
      </c>
      <c r="CU27" s="135">
        <v>24442</v>
      </c>
      <c r="CV27" s="135">
        <v>73133.89509999998</v>
      </c>
      <c r="CW27" s="135">
        <f t="shared" si="1"/>
        <v>24442</v>
      </c>
      <c r="CX27" s="141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62">
        <v>2013</v>
      </c>
      <c r="DM27" s="142">
        <v>38465.140799999994</v>
      </c>
      <c r="DN27" s="142">
        <f t="shared" si="4"/>
        <v>38465.140799999994</v>
      </c>
      <c r="DO27" s="66">
        <v>44650</v>
      </c>
      <c r="EE27" s="62">
        <v>2013</v>
      </c>
      <c r="EF27" s="143">
        <v>2.7190556138834916</v>
      </c>
      <c r="EG27" s="55">
        <v>44650</v>
      </c>
      <c r="EH27" s="143">
        <f>НАСТРОЙКА!DR154</f>
        <v>15.245411430096356</v>
      </c>
      <c r="EI27" s="78">
        <f t="shared" si="2"/>
        <v>1.0645</v>
      </c>
      <c r="EJ27" s="143">
        <f t="shared" si="3"/>
        <v>2.9287500835730347</v>
      </c>
      <c r="EK27" s="66">
        <f t="shared" si="0"/>
        <v>2928.7500835730348</v>
      </c>
    </row>
    <row r="28" ht="17.5" customHeight="1" spans="9:141" x14ac:dyDescent="0.25">
      <c r="I28" s="157" t="s">
        <v>195</v>
      </c>
      <c r="J28" s="121" t="s">
        <v>196</v>
      </c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44"/>
      <c r="X28" s="120" t="s">
        <v>197</v>
      </c>
      <c r="Y28" s="121"/>
      <c r="Z28" s="121"/>
      <c r="AA28" s="122"/>
      <c r="AB28" s="121" t="s">
        <v>198</v>
      </c>
      <c r="AC28" s="121"/>
      <c r="AD28" s="121"/>
      <c r="AE28" s="119"/>
      <c r="AF28" s="119"/>
      <c r="AG28" s="119"/>
      <c r="AH28" s="119"/>
      <c r="AI28" s="119"/>
      <c r="AJ28" s="119"/>
      <c r="AK28" s="119"/>
      <c r="AL28" s="119"/>
      <c r="AM28" s="119"/>
      <c r="AN28" s="121"/>
      <c r="AO28" s="119"/>
      <c r="AP28" s="112"/>
      <c r="AQ28" s="113" t="s">
        <v>199</v>
      </c>
      <c r="AR28" s="113"/>
      <c r="AS28" s="113"/>
      <c r="AT28" s="113"/>
      <c r="AU28" s="113"/>
      <c r="AV28" s="113"/>
      <c r="AW28" s="114"/>
      <c r="AX28" s="115"/>
      <c r="CT28" s="134">
        <v>2014</v>
      </c>
      <c r="CU28" s="135">
        <v>26766</v>
      </c>
      <c r="CV28" s="135">
        <v>79058</v>
      </c>
      <c r="CW28" s="135">
        <f t="shared" si="1"/>
        <v>26766</v>
      </c>
      <c r="CX28" s="141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62">
        <v>2014</v>
      </c>
      <c r="DM28" s="142">
        <v>41954.83</v>
      </c>
      <c r="DN28" s="142">
        <f t="shared" si="4"/>
        <v>41954.83</v>
      </c>
      <c r="DO28" s="66">
        <v>47921</v>
      </c>
      <c r="EE28" s="62">
        <v>2014</v>
      </c>
      <c r="EF28" s="143">
        <v>2.7734367261611617</v>
      </c>
      <c r="EG28" s="55">
        <v>47921</v>
      </c>
      <c r="EH28" s="143">
        <f>НАСТРОЙКА!DR155</f>
        <v>17.31878738458946</v>
      </c>
      <c r="EI28" s="78">
        <f t="shared" si="2"/>
        <v>1.136</v>
      </c>
      <c r="EJ28" s="143">
        <f t="shared" si="3"/>
        <v>2.766995109752366</v>
      </c>
      <c r="EK28" s="66">
        <f t="shared" si="0"/>
        <v>2766.995109752366</v>
      </c>
    </row>
    <row r="29" ht="17.5" customHeight="1" spans="9:141" x14ac:dyDescent="0.25">
      <c r="I29" s="157" t="s">
        <v>200</v>
      </c>
      <c r="J29" s="121" t="s">
        <v>201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44"/>
      <c r="X29" s="120" t="s">
        <v>202</v>
      </c>
      <c r="Y29" s="121"/>
      <c r="Z29" s="121"/>
      <c r="AA29" s="122"/>
      <c r="AB29" s="121" t="s">
        <v>203</v>
      </c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21"/>
      <c r="AP29" s="112"/>
      <c r="AQ29" s="113" t="s">
        <v>204</v>
      </c>
      <c r="AR29" s="114"/>
      <c r="AS29" s="114"/>
      <c r="AT29" s="114"/>
      <c r="AU29" s="114"/>
      <c r="AV29" s="114"/>
      <c r="AW29" s="114"/>
      <c r="AX29" s="115"/>
      <c r="CT29" s="134">
        <v>2015</v>
      </c>
      <c r="CU29" s="135">
        <v>26922</v>
      </c>
      <c r="CV29" s="135">
        <v>83094</v>
      </c>
      <c r="CW29" s="135">
        <f t="shared" si="1"/>
        <v>26922</v>
      </c>
      <c r="CX29" s="141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62">
        <v>2015</v>
      </c>
      <c r="DM29" s="142">
        <v>43242.32</v>
      </c>
      <c r="DN29" s="142">
        <f t="shared" si="4"/>
        <v>43242.32</v>
      </c>
      <c r="DO29" s="66">
        <v>53526</v>
      </c>
      <c r="EE29" s="62">
        <v>2015</v>
      </c>
      <c r="EF29" s="143">
        <v>2.5127336739020127</v>
      </c>
      <c r="EG29" s="55">
        <v>53526</v>
      </c>
      <c r="EH29" s="143">
        <f>НАСТРОЙКА!DR156</f>
        <v>19.5529109572015</v>
      </c>
      <c r="EI29" s="78">
        <f t="shared" si="2"/>
        <v>1.129</v>
      </c>
      <c r="EJ29" s="143">
        <f t="shared" si="3"/>
        <v>2.737495205555873</v>
      </c>
      <c r="EK29" s="66">
        <f t="shared" si="0"/>
        <v>2737.495205555873</v>
      </c>
    </row>
    <row r="30" ht="17.5" customHeight="1" spans="9:141" x14ac:dyDescent="0.25">
      <c r="I30" s="157" t="s">
        <v>205</v>
      </c>
      <c r="J30" s="121" t="s">
        <v>206</v>
      </c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44"/>
      <c r="X30" s="120" t="s">
        <v>207</v>
      </c>
      <c r="Y30" s="121"/>
      <c r="Z30" s="121"/>
      <c r="AA30" s="122"/>
      <c r="AB30" s="121" t="s">
        <v>208</v>
      </c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19"/>
      <c r="AO30" s="121"/>
      <c r="AP30" s="112"/>
      <c r="AQ30" s="113" t="s">
        <v>209</v>
      </c>
      <c r="AR30" s="114"/>
      <c r="AS30" s="114"/>
      <c r="AT30" s="114"/>
      <c r="AU30" s="114"/>
      <c r="AV30" s="114"/>
      <c r="AW30" s="114"/>
      <c r="AX30" s="115"/>
      <c r="CT30" s="134">
        <v>2016</v>
      </c>
      <c r="CU30" s="135">
        <v>28182</v>
      </c>
      <c r="CV30" s="135">
        <v>86014</v>
      </c>
      <c r="CW30" s="141"/>
      <c r="CX30" s="135">
        <f>CU30</f>
        <v>28182</v>
      </c>
      <c r="CY30" s="123"/>
      <c r="CZ30" s="123"/>
      <c r="DA30" s="123"/>
      <c r="DB30" s="123"/>
      <c r="DC30" s="123"/>
      <c r="DD30" s="123"/>
      <c r="DE30" s="123"/>
      <c r="DF30" s="123"/>
      <c r="DG30" s="123"/>
      <c r="DH30" s="123"/>
      <c r="DI30" s="123"/>
      <c r="DJ30" s="123"/>
      <c r="DK30" s="123"/>
      <c r="DL30" s="62">
        <v>2016</v>
      </c>
      <c r="DM30" s="142">
        <v>45317.05</v>
      </c>
      <c r="DN30" s="142">
        <f t="shared" si="4"/>
        <v>45317.05</v>
      </c>
      <c r="DO30" s="66">
        <v>54117</v>
      </c>
      <c r="EE30" s="62">
        <v>2016</v>
      </c>
      <c r="EF30" s="143">
        <v>2.4649917340978744</v>
      </c>
      <c r="EG30" s="55">
        <v>54102</v>
      </c>
      <c r="EH30" s="143">
        <f>НАСТРОЙКА!DR157</f>
        <v>20.60681285779466</v>
      </c>
      <c r="EI30" s="78">
        <f t="shared" si="2"/>
        <v>1.0539</v>
      </c>
      <c r="EJ30" s="143">
        <f t="shared" si="3"/>
        <v>2.625442390016929</v>
      </c>
      <c r="EK30" s="66">
        <f t="shared" si="0"/>
        <v>2625.442390016929</v>
      </c>
    </row>
    <row r="31" ht="18" customHeight="1" spans="9:141" x14ac:dyDescent="0.25">
      <c r="I31" s="157" t="s">
        <v>210</v>
      </c>
      <c r="J31" s="121" t="s">
        <v>211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44"/>
      <c r="X31" s="120" t="s">
        <v>212</v>
      </c>
      <c r="Y31" s="121"/>
      <c r="Z31" s="121"/>
      <c r="AA31" s="122"/>
      <c r="AB31" s="121" t="s">
        <v>213</v>
      </c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21"/>
      <c r="AP31" s="112"/>
      <c r="AQ31" s="113" t="s">
        <v>214</v>
      </c>
      <c r="AR31" s="114"/>
      <c r="AS31" s="114"/>
      <c r="AT31" s="114"/>
      <c r="AU31" s="114"/>
      <c r="AV31" s="114"/>
      <c r="AW31" s="114"/>
      <c r="AX31" s="115"/>
      <c r="CT31" s="134">
        <v>2017</v>
      </c>
      <c r="CU31" s="135">
        <v>31047</v>
      </c>
      <c r="CV31" s="135">
        <v>92101</v>
      </c>
      <c r="CW31" s="141"/>
      <c r="CX31" s="135">
        <f>CU31</f>
        <v>31047</v>
      </c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62">
        <v>2017</v>
      </c>
      <c r="DM31" s="165">
        <v>48135.66</v>
      </c>
      <c r="DN31" s="142">
        <f t="shared" si="4"/>
        <v>48135.66</v>
      </c>
      <c r="DO31" s="72">
        <v>55368</v>
      </c>
      <c r="EE31" s="62">
        <v>2017</v>
      </c>
      <c r="EF31" s="143">
        <v>2.546336461323104</v>
      </c>
      <c r="EG31" s="166">
        <f>НАСТРОЙКА!DT117</f>
        <v>55368</v>
      </c>
      <c r="EH31" s="143">
        <f>НАСТРОЙКА!DR158</f>
        <v>21.124043860525305</v>
      </c>
      <c r="EI31" s="167"/>
      <c r="EJ31" s="143">
        <f t="shared" si="3"/>
        <v>2.6210890474179847</v>
      </c>
      <c r="EK31" s="66">
        <f t="shared" si="0"/>
        <v>2621.0890474179846</v>
      </c>
    </row>
    <row r="32" ht="18" customHeight="1" spans="9:141" x14ac:dyDescent="0.25">
      <c r="I32" s="168" t="s">
        <v>215</v>
      </c>
      <c r="J32" s="121" t="s">
        <v>216</v>
      </c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44"/>
      <c r="X32" s="120" t="s">
        <v>217</v>
      </c>
      <c r="Y32" s="121"/>
      <c r="Z32" s="121"/>
      <c r="AA32" s="122"/>
      <c r="AB32" s="121" t="s">
        <v>218</v>
      </c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2"/>
      <c r="AQ32" s="113" t="s">
        <v>219</v>
      </c>
      <c r="AR32" s="114"/>
      <c r="AS32" s="114"/>
      <c r="AT32" s="114"/>
      <c r="AU32" s="114"/>
      <c r="AV32" s="114"/>
      <c r="AW32" s="114"/>
      <c r="AX32" s="115"/>
      <c r="CT32" s="134">
        <v>2018</v>
      </c>
      <c r="CU32" s="135">
        <v>37320</v>
      </c>
      <c r="CV32" s="135">
        <v>103876</v>
      </c>
      <c r="CW32" s="141"/>
      <c r="CX32" s="135">
        <f>CU32</f>
        <v>37320</v>
      </c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62">
        <v>2018</v>
      </c>
      <c r="DM32" s="165">
        <v>50851.05</v>
      </c>
      <c r="DN32" s="142">
        <f t="shared" si="4"/>
        <v>50851.05</v>
      </c>
      <c r="DO32" s="72">
        <v>57500</v>
      </c>
      <c r="EE32" s="62">
        <v>2018</v>
      </c>
      <c r="EF32" s="143">
        <v>2.604902199933535</v>
      </c>
      <c r="EG32" s="166">
        <f>НАСТРОЙКА!DT118</f>
        <v>57500</v>
      </c>
      <c r="EH32" s="143">
        <f>НАСТРОЙКА!DR159</f>
        <v>22.02392812898368</v>
      </c>
      <c r="EI32" s="167"/>
      <c r="EJ32" s="143">
        <f t="shared" si="3"/>
        <v>2.610796750845255</v>
      </c>
      <c r="EK32" s="66">
        <f t="shared" si="0"/>
        <v>2610.796750845255</v>
      </c>
    </row>
    <row r="33" ht="18" customHeight="1" spans="9:141" x14ac:dyDescent="0.25">
      <c r="I33" s="157" t="s">
        <v>220</v>
      </c>
      <c r="J33" s="121" t="s">
        <v>221</v>
      </c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44"/>
      <c r="X33" s="120" t="s">
        <v>222</v>
      </c>
      <c r="AA33" s="122"/>
      <c r="AB33" s="121" t="s">
        <v>223</v>
      </c>
      <c r="AC33" s="121"/>
      <c r="AD33" s="121"/>
      <c r="AE33" s="121"/>
      <c r="AF33" s="121"/>
      <c r="AG33" s="119"/>
      <c r="AH33" s="119"/>
      <c r="AI33" s="119"/>
      <c r="AJ33" s="119"/>
      <c r="AK33" s="119"/>
      <c r="AL33" s="119"/>
      <c r="AM33" s="119"/>
      <c r="AN33" s="119"/>
      <c r="AO33" s="121"/>
      <c r="AP33" s="112"/>
      <c r="AQ33" s="113" t="s">
        <v>224</v>
      </c>
      <c r="AR33" s="114"/>
      <c r="AS33" s="114"/>
      <c r="AT33" s="114"/>
      <c r="AU33" s="114"/>
      <c r="AV33" s="114"/>
      <c r="AW33" s="114"/>
      <c r="AX33" s="115"/>
      <c r="CT33" s="134">
        <v>2019</v>
      </c>
      <c r="CU33" s="169"/>
      <c r="CV33" s="164"/>
      <c r="CW33" s="164"/>
      <c r="CX33" s="164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62">
        <v>2019</v>
      </c>
      <c r="DM33" s="77"/>
      <c r="DN33" s="77"/>
      <c r="DO33" s="72"/>
      <c r="EE33" s="62">
        <v>2019</v>
      </c>
      <c r="EF33" s="77"/>
      <c r="EG33" s="167"/>
      <c r="EH33" s="143">
        <f>НАСТРОЙКА!DR160</f>
        <v>22.693455544104783</v>
      </c>
      <c r="EI33" s="167"/>
      <c r="EJ33" s="167"/>
      <c r="EK33" s="72"/>
    </row>
    <row r="34" ht="18" customHeight="1" spans="9:141" x14ac:dyDescent="0.25">
      <c r="I34" s="157" t="s">
        <v>225</v>
      </c>
      <c r="J34" s="121" t="s">
        <v>226</v>
      </c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44"/>
      <c r="X34" s="120" t="s">
        <v>227</v>
      </c>
      <c r="Y34" s="121"/>
      <c r="Z34" s="121"/>
      <c r="AA34" s="122"/>
      <c r="AB34" s="121" t="s">
        <v>228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2"/>
      <c r="AQ34" s="114"/>
      <c r="AR34" s="114"/>
      <c r="AS34" s="114"/>
      <c r="AT34" s="114"/>
      <c r="AU34" s="114"/>
      <c r="AV34" s="114"/>
      <c r="AW34" s="114"/>
      <c r="AX34" s="115"/>
      <c r="CT34" s="134">
        <v>2020</v>
      </c>
      <c r="CU34" s="169"/>
      <c r="CV34" s="164"/>
      <c r="CW34" s="164"/>
      <c r="CX34" s="164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62">
        <v>2020</v>
      </c>
      <c r="DM34" s="77"/>
      <c r="DN34" s="77"/>
      <c r="DO34" s="72"/>
      <c r="EE34" s="62">
        <v>2020</v>
      </c>
      <c r="EF34" s="170"/>
      <c r="EG34" s="167"/>
      <c r="EH34" s="143">
        <f>НАСТРОЙКА!DR161</f>
        <v>23.807704211320324</v>
      </c>
      <c r="EI34" s="167"/>
      <c r="EJ34" s="167"/>
      <c r="EK34" s="72"/>
    </row>
    <row r="35" ht="18" customHeight="1" spans="9:141" x14ac:dyDescent="0.25">
      <c r="I35" s="157" t="s">
        <v>229</v>
      </c>
      <c r="J35" s="121" t="s">
        <v>230</v>
      </c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44"/>
      <c r="X35" s="120" t="s">
        <v>231</v>
      </c>
      <c r="Y35" s="121"/>
      <c r="Z35" s="121"/>
      <c r="AA35" s="145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2"/>
      <c r="AQ35" s="113" t="s">
        <v>232</v>
      </c>
      <c r="AR35" s="114"/>
      <c r="AS35" s="114"/>
      <c r="AT35" s="114"/>
      <c r="AU35" s="114"/>
      <c r="AV35" s="114"/>
      <c r="AW35" s="114"/>
      <c r="AX35" s="115"/>
      <c r="CT35" s="134">
        <v>2021</v>
      </c>
      <c r="CU35" s="169"/>
      <c r="CV35" s="164"/>
      <c r="CW35" s="164"/>
      <c r="CX35" s="164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62">
        <v>2021</v>
      </c>
      <c r="DM35" s="77"/>
      <c r="DN35" s="77"/>
      <c r="DO35" s="72"/>
      <c r="EE35" s="62">
        <v>2021</v>
      </c>
      <c r="EF35" s="170"/>
      <c r="EG35" s="167"/>
      <c r="EH35" s="143">
        <f>НАСТРОЙКА!DR162</f>
        <v>24.99808942188634</v>
      </c>
      <c r="EI35" s="167"/>
      <c r="EJ35" s="167"/>
      <c r="EK35" s="72"/>
    </row>
    <row r="36" ht="18" customHeight="1" spans="7:141" x14ac:dyDescent="0.25">
      <c r="G36" s="164"/>
      <c r="H36" s="164"/>
      <c r="I36" s="157" t="s">
        <v>233</v>
      </c>
      <c r="J36" s="164" t="s">
        <v>234</v>
      </c>
      <c r="K36" s="164"/>
      <c r="L36" s="164"/>
      <c r="M36" s="164"/>
      <c r="N36" s="164"/>
      <c r="O36" s="164"/>
      <c r="P36" s="164"/>
      <c r="Q36" s="164"/>
      <c r="R36" s="164"/>
      <c r="S36" s="113"/>
      <c r="T36" s="113"/>
      <c r="U36" s="114"/>
      <c r="V36" s="115"/>
      <c r="X36" s="120" t="s">
        <v>235</v>
      </c>
      <c r="Y36" s="121"/>
      <c r="Z36" s="121"/>
      <c r="AA36" s="122"/>
      <c r="AB36" s="121" t="s">
        <v>236</v>
      </c>
      <c r="AC36" s="121"/>
      <c r="AD36" s="119"/>
      <c r="AE36" s="121"/>
      <c r="AF36" s="121"/>
      <c r="AG36" s="121" t="s">
        <v>237</v>
      </c>
      <c r="AH36" s="121"/>
      <c r="AI36" s="121" t="s">
        <v>238</v>
      </c>
      <c r="AJ36" s="121"/>
      <c r="AK36" s="121"/>
      <c r="AL36" s="121"/>
      <c r="AM36" s="121"/>
      <c r="AN36" s="121"/>
      <c r="AO36" s="121"/>
      <c r="AP36" s="112"/>
      <c r="AQ36" s="113" t="s">
        <v>239</v>
      </c>
      <c r="AR36" s="114"/>
      <c r="AS36" s="114"/>
      <c r="AT36" s="114"/>
      <c r="AU36" s="114"/>
      <c r="AV36" s="114"/>
      <c r="AW36" s="114"/>
      <c r="AX36" s="115"/>
      <c r="CT36" s="134">
        <v>2022</v>
      </c>
      <c r="CU36" s="169"/>
      <c r="CV36" s="164"/>
      <c r="CW36" s="164"/>
      <c r="CX36" s="164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62">
        <v>2022</v>
      </c>
      <c r="DM36" s="77"/>
      <c r="DN36" s="77"/>
      <c r="DO36" s="72"/>
      <c r="EE36" s="62">
        <v>2022</v>
      </c>
      <c r="EF36" s="170"/>
      <c r="EG36" s="167"/>
      <c r="EH36" s="143">
        <f>НАСТРОЙКА!DR163</f>
        <v>26.24799389298066</v>
      </c>
      <c r="EI36" s="167"/>
      <c r="EJ36" s="167"/>
      <c r="EK36" s="72"/>
    </row>
    <row r="37" ht="18" customHeight="1" spans="9:141" x14ac:dyDescent="0.25">
      <c r="I37" s="157" t="s">
        <v>240</v>
      </c>
      <c r="J37" s="121" t="s">
        <v>241</v>
      </c>
      <c r="K37" s="121"/>
      <c r="L37" s="121"/>
      <c r="M37" s="121"/>
      <c r="N37" s="121"/>
      <c r="O37" s="121"/>
      <c r="P37" s="121"/>
      <c r="Q37" s="121"/>
      <c r="R37" s="121"/>
      <c r="S37" s="164"/>
      <c r="T37" s="164"/>
      <c r="U37" s="113"/>
      <c r="V37" s="115"/>
      <c r="X37" s="120" t="s">
        <v>242</v>
      </c>
      <c r="Y37" s="121"/>
      <c r="Z37" s="121"/>
      <c r="AA37" s="122"/>
      <c r="AB37" s="121" t="s">
        <v>243</v>
      </c>
      <c r="AC37" s="119"/>
      <c r="AD37" s="119"/>
      <c r="AE37" s="121"/>
      <c r="AF37" s="121"/>
      <c r="AG37" s="121" t="s">
        <v>244</v>
      </c>
      <c r="AH37" s="121"/>
      <c r="AI37" s="121" t="s">
        <v>245</v>
      </c>
      <c r="AJ37" s="121"/>
      <c r="AK37" s="121"/>
      <c r="AL37" s="121"/>
      <c r="AM37" s="121"/>
      <c r="AN37" s="121"/>
      <c r="AO37" s="121"/>
      <c r="AP37" s="112"/>
      <c r="AQ37" s="113" t="s">
        <v>246</v>
      </c>
      <c r="AR37" s="114"/>
      <c r="AS37" s="114"/>
      <c r="AT37" s="113"/>
      <c r="AU37" s="114"/>
      <c r="AV37" s="114"/>
      <c r="AW37" s="114"/>
      <c r="AX37" s="115"/>
      <c r="CT37" s="134">
        <v>2023</v>
      </c>
      <c r="CU37" s="169"/>
      <c r="CV37" s="164"/>
      <c r="CW37" s="164"/>
      <c r="CX37" s="164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62">
        <v>2023</v>
      </c>
      <c r="DM37" s="77"/>
      <c r="DN37" s="77"/>
      <c r="DO37" s="72"/>
      <c r="EE37" s="62">
        <v>2023</v>
      </c>
      <c r="EF37" s="170"/>
      <c r="EG37" s="167"/>
      <c r="EH37" s="143">
        <f>НАСТРОЙКА!DR164</f>
        <v>27.560393587629694</v>
      </c>
      <c r="EI37" s="167"/>
      <c r="EJ37" s="167"/>
      <c r="EK37" s="72"/>
    </row>
    <row r="38" ht="18" customHeight="1" spans="9:141" x14ac:dyDescent="0.25">
      <c r="I38" s="157" t="s">
        <v>247</v>
      </c>
      <c r="J38" s="121" t="s">
        <v>248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44"/>
      <c r="X38" s="120" t="s">
        <v>249</v>
      </c>
      <c r="Y38" s="121"/>
      <c r="Z38" s="121"/>
      <c r="AA38" s="122"/>
      <c r="AB38" s="121" t="s">
        <v>250</v>
      </c>
      <c r="AC38" s="121"/>
      <c r="AD38" s="119"/>
      <c r="AE38" s="119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2"/>
      <c r="AQ38" s="113" t="s">
        <v>251</v>
      </c>
      <c r="AR38" s="114"/>
      <c r="AS38" s="114"/>
      <c r="AT38" s="114"/>
      <c r="AU38" s="114"/>
      <c r="AV38" s="114"/>
      <c r="AW38" s="114"/>
      <c r="AX38" s="115"/>
      <c r="CT38" s="134">
        <v>2024</v>
      </c>
      <c r="CU38" s="169"/>
      <c r="CV38" s="164"/>
      <c r="CW38" s="164"/>
      <c r="CX38" s="164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62">
        <v>2024</v>
      </c>
      <c r="DM38" s="77"/>
      <c r="DN38" s="77"/>
      <c r="DO38" s="72"/>
      <c r="EE38" s="62">
        <v>2024</v>
      </c>
      <c r="EF38" s="170"/>
      <c r="EG38" s="167"/>
      <c r="EH38" s="143">
        <f>НАСТРОЙКА!DR165</f>
        <v>28.938413267011178</v>
      </c>
      <c r="EI38" s="167"/>
      <c r="EJ38" s="167"/>
      <c r="EK38" s="72"/>
    </row>
    <row r="39" ht="18" customHeight="1" spans="9:141" x14ac:dyDescent="0.25">
      <c r="I39" s="157" t="s">
        <v>252</v>
      </c>
      <c r="J39" s="121" t="s">
        <v>253</v>
      </c>
      <c r="K39" s="121"/>
      <c r="L39" s="121"/>
      <c r="M39" s="121"/>
      <c r="N39" s="121"/>
      <c r="O39" s="121"/>
      <c r="P39" s="121"/>
      <c r="Q39" s="121"/>
      <c r="R39" s="121"/>
      <c r="S39" s="114"/>
      <c r="T39" s="114"/>
      <c r="U39" s="114"/>
      <c r="V39" s="115"/>
      <c r="X39" s="120" t="s">
        <v>254</v>
      </c>
      <c r="Y39" s="121"/>
      <c r="Z39" s="121"/>
      <c r="AA39" s="122"/>
      <c r="AB39" s="121" t="s">
        <v>255</v>
      </c>
      <c r="AC39" s="121"/>
      <c r="AD39" s="171"/>
      <c r="AE39" s="171"/>
      <c r="AF39" s="121"/>
      <c r="AG39" s="119"/>
      <c r="AH39" s="119"/>
      <c r="AI39" s="119"/>
      <c r="AJ39" s="119"/>
      <c r="AK39" s="119"/>
      <c r="AL39" s="119"/>
      <c r="AM39" s="121"/>
      <c r="AN39" s="121"/>
      <c r="AO39" s="121"/>
      <c r="AP39" s="112"/>
      <c r="AQ39" s="113" t="s">
        <v>256</v>
      </c>
      <c r="AR39" s="114"/>
      <c r="AS39" s="114"/>
      <c r="AT39" s="114"/>
      <c r="AU39" s="114"/>
      <c r="AV39" s="114"/>
      <c r="AW39" s="114"/>
      <c r="AX39" s="115"/>
      <c r="CT39" s="134">
        <v>2025</v>
      </c>
      <c r="CU39" s="169"/>
      <c r="CV39" s="164"/>
      <c r="CW39" s="164"/>
      <c r="CX39" s="164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62">
        <v>2025</v>
      </c>
      <c r="DM39" s="77"/>
      <c r="DN39" s="77"/>
      <c r="DO39" s="72"/>
      <c r="EE39" s="62">
        <v>2025</v>
      </c>
      <c r="EF39" s="170"/>
      <c r="EG39" s="167"/>
      <c r="EH39" s="143">
        <f>НАСТРОЙКА!DR166</f>
        <v>30.38533393036174</v>
      </c>
      <c r="EI39" s="167"/>
      <c r="EJ39" s="167"/>
      <c r="EK39" s="72"/>
    </row>
    <row r="40" ht="18" customHeight="1" spans="9:141" x14ac:dyDescent="0.25">
      <c r="I40" s="157" t="s">
        <v>257</v>
      </c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X40" s="120" t="s">
        <v>258</v>
      </c>
      <c r="Y40" s="121"/>
      <c r="Z40" s="121"/>
      <c r="AA40" s="122"/>
      <c r="AB40" s="121" t="s">
        <v>259</v>
      </c>
      <c r="AC40" s="121"/>
      <c r="AD40" s="171"/>
      <c r="AE40" s="171"/>
      <c r="AF40" s="121"/>
      <c r="AG40" s="119"/>
      <c r="AH40" s="119"/>
      <c r="AI40" s="119"/>
      <c r="AJ40" s="119"/>
      <c r="AK40" s="119"/>
      <c r="AL40" s="119"/>
      <c r="AM40" s="121"/>
      <c r="AN40" s="121"/>
      <c r="AO40" s="121"/>
      <c r="AP40" s="112"/>
      <c r="AQ40" s="113" t="s">
        <v>260</v>
      </c>
      <c r="AR40" s="114"/>
      <c r="AS40" s="114"/>
      <c r="AT40" s="114"/>
      <c r="AU40" s="114"/>
      <c r="AV40" s="114"/>
      <c r="AW40" s="114"/>
      <c r="AX40" s="115"/>
      <c r="CT40" s="134">
        <v>2026</v>
      </c>
      <c r="CU40" s="169"/>
      <c r="CV40" s="164"/>
      <c r="CW40" s="164"/>
      <c r="CX40" s="164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62">
        <v>2026</v>
      </c>
      <c r="DM40" s="77"/>
      <c r="DN40" s="77"/>
      <c r="DO40" s="72"/>
      <c r="EE40" s="62">
        <v>2026</v>
      </c>
      <c r="EF40" s="170"/>
      <c r="EG40" s="167"/>
      <c r="EH40" s="143">
        <f>НАСТРОЙКА!DR167</f>
        <v>31.904600626879827</v>
      </c>
      <c r="EI40" s="167"/>
      <c r="EJ40" s="167"/>
      <c r="EK40" s="72"/>
    </row>
    <row r="41" ht="18" customHeight="1" spans="9:141" x14ac:dyDescent="0.25">
      <c r="I41" s="157" t="s">
        <v>261</v>
      </c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X41" s="120" t="s">
        <v>262</v>
      </c>
      <c r="Y41" s="121"/>
      <c r="Z41" s="121"/>
      <c r="AA41" s="122"/>
      <c r="AB41" s="121" t="s">
        <v>263</v>
      </c>
      <c r="AC41" s="121"/>
      <c r="AD41" s="121"/>
      <c r="AE41" s="17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2"/>
      <c r="AQ41" s="114"/>
      <c r="AR41" s="114"/>
      <c r="AS41" s="114"/>
      <c r="AT41" s="114"/>
      <c r="AU41" s="114"/>
      <c r="AV41" s="114"/>
      <c r="AW41" s="114"/>
      <c r="AX41" s="115"/>
      <c r="CT41" s="134">
        <v>2027</v>
      </c>
      <c r="CU41" s="169"/>
      <c r="CV41" s="164"/>
      <c r="CW41" s="164"/>
      <c r="CX41" s="164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62">
        <v>2027</v>
      </c>
      <c r="DM41" s="77"/>
      <c r="DN41" s="77"/>
      <c r="DO41" s="72"/>
      <c r="EE41" s="62">
        <v>2027</v>
      </c>
      <c r="EF41" s="170"/>
      <c r="EG41" s="167"/>
      <c r="EH41" s="143">
        <f>НАСТРОЙКА!DR168</f>
        <v>33.49983065822382</v>
      </c>
      <c r="EI41" s="167"/>
      <c r="EJ41" s="167"/>
      <c r="EK41" s="72"/>
    </row>
    <row r="42" ht="18" customHeight="1" spans="9:141" x14ac:dyDescent="0.25">
      <c r="I42" s="157" t="s">
        <v>264</v>
      </c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X42" s="120" t="s">
        <v>265</v>
      </c>
      <c r="Y42" s="121"/>
      <c r="Z42" s="121"/>
      <c r="AA42" s="122"/>
      <c r="AB42" s="121" t="s">
        <v>266</v>
      </c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2"/>
      <c r="AQ42" s="113"/>
      <c r="AR42" s="113"/>
      <c r="AS42" s="114"/>
      <c r="AT42" s="114"/>
      <c r="AU42" s="114"/>
      <c r="AV42" s="114"/>
      <c r="AW42" s="114"/>
      <c r="AX42" s="115"/>
      <c r="CT42" s="134">
        <v>2028</v>
      </c>
      <c r="CU42" s="169"/>
      <c r="CV42" s="164"/>
      <c r="CW42" s="164"/>
      <c r="CX42" s="164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62">
        <v>2028</v>
      </c>
      <c r="DM42" s="77"/>
      <c r="DN42" s="77"/>
      <c r="DO42" s="72"/>
      <c r="EE42" s="62">
        <v>2028</v>
      </c>
      <c r="EF42" s="170"/>
      <c r="EG42" s="167"/>
      <c r="EH42" s="143">
        <f>НАСТРОЙКА!DR169</f>
        <v>35.174822191135014</v>
      </c>
      <c r="EI42" s="167"/>
      <c r="EJ42" s="167"/>
      <c r="EK42" s="72"/>
    </row>
    <row r="43" ht="18" customHeight="1" spans="9:141" x14ac:dyDescent="0.25">
      <c r="I43" s="157" t="s">
        <v>267</v>
      </c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X43" s="120"/>
      <c r="Y43" s="121"/>
      <c r="Z43" s="121"/>
      <c r="AA43" s="122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2"/>
      <c r="AQ43" s="113"/>
      <c r="AR43" s="113"/>
      <c r="AS43" s="114"/>
      <c r="AT43" s="114"/>
      <c r="AU43" s="114"/>
      <c r="AV43" s="114"/>
      <c r="AW43" s="114"/>
      <c r="AX43" s="115"/>
      <c r="CT43" s="134">
        <v>2029</v>
      </c>
      <c r="CU43" s="169"/>
      <c r="CV43" s="164"/>
      <c r="CW43" s="164"/>
      <c r="CX43" s="164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62">
        <v>2029</v>
      </c>
      <c r="DM43" s="77"/>
      <c r="DN43" s="77"/>
      <c r="DO43" s="72"/>
      <c r="EE43" s="62">
        <v>2029</v>
      </c>
      <c r="EF43" s="170"/>
      <c r="EG43" s="167"/>
      <c r="EH43" s="143">
        <f>НАСТРОЙКА!DR170</f>
        <v>36.933563300691766</v>
      </c>
      <c r="EI43" s="167"/>
      <c r="EJ43" s="167"/>
      <c r="EK43" s="72"/>
    </row>
    <row r="44" ht="18" customHeight="1" spans="9:141" x14ac:dyDescent="0.25">
      <c r="I44" s="172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4"/>
      <c r="V44" s="175"/>
      <c r="X44" s="120"/>
      <c r="Y44" s="121"/>
      <c r="Z44" s="121"/>
      <c r="AA44" s="122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2"/>
      <c r="AQ44" s="113" t="s">
        <v>268</v>
      </c>
      <c r="AR44" s="113"/>
      <c r="AS44" s="113"/>
      <c r="AT44" s="114"/>
      <c r="AU44" s="114"/>
      <c r="AV44" s="114"/>
      <c r="AW44" s="114"/>
      <c r="AX44" s="115"/>
      <c r="CT44" s="176">
        <v>2030</v>
      </c>
      <c r="CU44" s="177"/>
      <c r="CV44" s="178"/>
      <c r="CW44" s="178"/>
      <c r="CX44" s="178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34">
        <v>2030</v>
      </c>
      <c r="DM44" s="86"/>
      <c r="DN44" s="86"/>
      <c r="DO44" s="90"/>
      <c r="EE44" s="34">
        <v>2030</v>
      </c>
      <c r="EF44" s="35"/>
      <c r="EG44" s="179"/>
      <c r="EH44" s="180">
        <f>НАСТРОЙКА!DR171</f>
        <v>38.780241465726355</v>
      </c>
      <c r="EI44" s="179"/>
      <c r="EJ44" s="179"/>
      <c r="EK44" s="90"/>
    </row>
    <row r="45" ht="16" customHeight="1" spans="24:50" x14ac:dyDescent="0.25">
      <c r="X45" s="181" t="s">
        <v>269</v>
      </c>
      <c r="Y45" s="182"/>
      <c r="Z45" s="182"/>
      <c r="AA45" s="182"/>
      <c r="AB45" s="182"/>
      <c r="AC45" s="182"/>
      <c r="AD45" s="182"/>
      <c r="AE45" s="182"/>
      <c r="AF45" s="182"/>
      <c r="AG45" s="182"/>
      <c r="AH45" s="183"/>
      <c r="AI45" s="183"/>
      <c r="AJ45" s="183"/>
      <c r="AK45" s="183"/>
      <c r="AL45" s="183"/>
      <c r="AM45" s="183"/>
      <c r="AN45" s="183"/>
      <c r="AO45" s="183"/>
      <c r="AP45" s="112"/>
      <c r="AQ45" s="113" t="s">
        <v>270</v>
      </c>
      <c r="AR45" s="114"/>
      <c r="AS45" s="114"/>
      <c r="AT45" s="114"/>
      <c r="AU45" s="114"/>
      <c r="AV45" s="114"/>
      <c r="AW45" s="114"/>
      <c r="AX45" s="115"/>
    </row>
    <row r="46" ht="16.25" customHeight="1" spans="24:50" x14ac:dyDescent="0.25">
      <c r="X46" s="153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5"/>
      <c r="AQ46" s="173"/>
      <c r="AR46" s="173"/>
      <c r="AS46" s="173"/>
      <c r="AT46" s="173"/>
      <c r="AU46" s="173"/>
      <c r="AV46" s="173"/>
      <c r="AW46" s="173"/>
      <c r="AX46" s="186"/>
    </row>
    <row r="47" ht="18" customHeight="1" spans="15:132" x14ac:dyDescent="0.25">
      <c r="O47" s="187"/>
      <c r="DZ47" s="28" t="s">
        <v>13</v>
      </c>
      <c r="EA47" s="188" t="s">
        <v>35</v>
      </c>
      <c r="EB47" s="188" t="s">
        <v>35</v>
      </c>
    </row>
    <row r="48" ht="18" customHeight="1" spans="15:132" x14ac:dyDescent="0.25">
      <c r="O48" s="187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DZ48" s="38">
        <v>43925</v>
      </c>
      <c r="EA48" s="190" t="s">
        <v>127</v>
      </c>
      <c r="EB48" s="191" t="s">
        <v>15</v>
      </c>
    </row>
    <row r="49" ht="18" customHeight="1" spans="9:132" x14ac:dyDescent="0.25">
      <c r="I49" s="192" t="s">
        <v>159</v>
      </c>
      <c r="J49" s="193">
        <v>43898</v>
      </c>
      <c r="K49" s="194" t="s">
        <v>271</v>
      </c>
      <c r="L49" s="194"/>
      <c r="M49" s="194"/>
      <c r="N49" s="195"/>
      <c r="O49" s="119"/>
      <c r="P49" s="196" t="s">
        <v>272</v>
      </c>
      <c r="Q49" s="197"/>
      <c r="R49" s="197"/>
      <c r="S49" s="197"/>
      <c r="T49" s="198"/>
      <c r="U49" s="199"/>
      <c r="V49" s="199"/>
      <c r="W49" s="199"/>
      <c r="AM49" s="189"/>
      <c r="BN49" s="159" t="s">
        <v>159</v>
      </c>
      <c r="BO49" s="200">
        <v>43119</v>
      </c>
      <c r="DZ49" s="43">
        <v>1995</v>
      </c>
      <c r="EA49" s="139">
        <v>1</v>
      </c>
      <c r="EB49" s="201"/>
    </row>
    <row r="50" ht="18" customHeight="1" spans="9:132" x14ac:dyDescent="0.25">
      <c r="I50" s="202" t="s">
        <v>273</v>
      </c>
      <c r="J50" s="203" t="s">
        <v>274</v>
      </c>
      <c r="K50" s="204" t="s">
        <v>275</v>
      </c>
      <c r="L50" s="184"/>
      <c r="M50" s="184"/>
      <c r="N50" s="205"/>
      <c r="O50" s="206" t="s">
        <v>276</v>
      </c>
      <c r="P50" s="207">
        <v>1990</v>
      </c>
      <c r="Q50" s="208">
        <v>1991</v>
      </c>
      <c r="R50" s="208">
        <v>1992</v>
      </c>
      <c r="S50" s="208">
        <v>1993</v>
      </c>
      <c r="T50" s="209">
        <v>1994</v>
      </c>
      <c r="U50" s="207">
        <v>1995</v>
      </c>
      <c r="V50" s="208">
        <v>1996</v>
      </c>
      <c r="W50" s="208">
        <v>1997</v>
      </c>
      <c r="X50" s="208">
        <v>1998</v>
      </c>
      <c r="Y50" s="208">
        <v>1999</v>
      </c>
      <c r="Z50" s="207">
        <v>2000</v>
      </c>
      <c r="AA50" s="208">
        <v>2001</v>
      </c>
      <c r="AB50" s="208">
        <v>2002</v>
      </c>
      <c r="AC50" s="208">
        <v>2003</v>
      </c>
      <c r="AD50" s="208">
        <v>2004</v>
      </c>
      <c r="AE50" s="207">
        <v>2005</v>
      </c>
      <c r="AF50" s="208">
        <v>2006</v>
      </c>
      <c r="AG50" s="208">
        <v>2007</v>
      </c>
      <c r="AH50" s="208">
        <v>2008</v>
      </c>
      <c r="AI50" s="208">
        <v>2009</v>
      </c>
      <c r="AJ50" s="207">
        <v>2010</v>
      </c>
      <c r="AK50" s="208">
        <v>2011</v>
      </c>
      <c r="AL50" s="210">
        <v>2012</v>
      </c>
      <c r="AM50" s="210">
        <v>2013</v>
      </c>
      <c r="AN50" s="210">
        <v>2014</v>
      </c>
      <c r="AO50" s="210">
        <v>2015</v>
      </c>
      <c r="AP50" s="210">
        <v>2016</v>
      </c>
      <c r="AQ50" s="210">
        <v>2017</v>
      </c>
      <c r="AR50" s="210">
        <v>2018</v>
      </c>
      <c r="AS50" s="210">
        <v>2019</v>
      </c>
      <c r="AT50" s="210">
        <v>2020</v>
      </c>
      <c r="AU50" s="210">
        <v>2021</v>
      </c>
      <c r="AV50" s="210">
        <v>2022</v>
      </c>
      <c r="AW50" s="210">
        <v>2023</v>
      </c>
      <c r="AX50" s="210">
        <v>2024</v>
      </c>
      <c r="AY50" s="210">
        <v>2025</v>
      </c>
      <c r="AZ50" s="210">
        <v>2026</v>
      </c>
      <c r="BA50" s="210">
        <v>2027</v>
      </c>
      <c r="BB50" s="210">
        <v>2028</v>
      </c>
      <c r="BC50" s="210">
        <v>2029</v>
      </c>
      <c r="BD50" s="210">
        <v>2030</v>
      </c>
      <c r="BE50" s="210">
        <v>2031</v>
      </c>
      <c r="BF50" s="210">
        <v>2032</v>
      </c>
      <c r="BG50" s="210">
        <v>2033</v>
      </c>
      <c r="BH50" s="210">
        <v>2034</v>
      </c>
      <c r="BI50" s="210">
        <v>2035</v>
      </c>
      <c r="BJ50" s="210">
        <v>2036</v>
      </c>
      <c r="BK50" s="210">
        <v>2037</v>
      </c>
      <c r="BL50" s="210">
        <v>2038</v>
      </c>
      <c r="BM50" s="210">
        <v>2039</v>
      </c>
      <c r="BN50" s="210">
        <v>2040</v>
      </c>
      <c r="BO50" s="211" t="s">
        <v>277</v>
      </c>
      <c r="CT50" s="212" t="s">
        <v>13</v>
      </c>
      <c r="CU50" s="213" t="s">
        <v>278</v>
      </c>
      <c r="CV50" s="214" t="s">
        <v>41</v>
      </c>
      <c r="DI50" s="28" t="s">
        <v>13</v>
      </c>
      <c r="DJ50" s="29" t="s">
        <v>119</v>
      </c>
      <c r="DK50" s="29" t="s">
        <v>279</v>
      </c>
      <c r="DZ50" s="215">
        <v>1996</v>
      </c>
      <c r="EA50" s="216">
        <f t="shared" ref="EA50:EA72" si="5">EF10</f>
        <v>0.951</v>
      </c>
      <c r="EB50" s="75"/>
    </row>
    <row r="51" ht="18" customHeight="1" spans="9:132" x14ac:dyDescent="0.25">
      <c r="I51" s="31" t="s">
        <v>280</v>
      </c>
      <c r="J51" s="217" t="s">
        <v>281</v>
      </c>
      <c r="K51" s="119" t="s">
        <v>282</v>
      </c>
      <c r="L51" s="119"/>
      <c r="M51" s="119"/>
      <c r="N51" s="119"/>
      <c r="O51" s="218" t="s">
        <v>283</v>
      </c>
      <c r="P51" s="219">
        <v>1.204</v>
      </c>
      <c r="Q51" s="220">
        <v>2.612</v>
      </c>
      <c r="R51" s="220">
        <v>39.084</v>
      </c>
      <c r="S51" s="220">
        <v>305.481</v>
      </c>
      <c r="T51" s="220">
        <v>1044.43</v>
      </c>
      <c r="U51" s="221">
        <v>2767.6205</v>
      </c>
      <c r="V51" s="222">
        <v>3799.126</v>
      </c>
      <c r="W51" s="220">
        <v>4327.531</v>
      </c>
      <c r="X51" s="220">
        <v>4573.977</v>
      </c>
      <c r="Y51" s="220">
        <v>8303.202</v>
      </c>
      <c r="Z51" s="221">
        <v>12552.212</v>
      </c>
      <c r="AA51" s="220">
        <v>15922.788</v>
      </c>
      <c r="AB51" s="220">
        <v>18973.6736</v>
      </c>
      <c r="AC51" s="220">
        <v>23273.0895</v>
      </c>
      <c r="AD51" s="220">
        <v>29490.6226</v>
      </c>
      <c r="AE51" s="221">
        <v>37020.602</v>
      </c>
      <c r="AF51" s="220">
        <v>46223.8665</v>
      </c>
      <c r="AG51" s="220">
        <v>57752.1325</v>
      </c>
      <c r="AH51" s="220">
        <v>71601.658</v>
      </c>
      <c r="AI51" s="220">
        <v>68116.5</v>
      </c>
      <c r="AJ51" s="223">
        <v>82054.6</v>
      </c>
      <c r="AK51" s="224">
        <v>100960.3907</v>
      </c>
      <c r="AL51" s="224">
        <v>113092.1725</v>
      </c>
      <c r="AM51" s="224">
        <v>123165.48509999999</v>
      </c>
      <c r="AN51" s="224">
        <v>132844.9</v>
      </c>
      <c r="AO51" s="225">
        <v>145956.1</v>
      </c>
      <c r="AP51" s="224">
        <v>153856.5</v>
      </c>
      <c r="AQ51" s="224">
        <v>166329.3</v>
      </c>
      <c r="AR51" s="224">
        <v>185534.2</v>
      </c>
      <c r="AS51" s="224"/>
      <c r="AT51" s="226"/>
      <c r="BO51" s="227" t="s">
        <v>281</v>
      </c>
      <c r="BP51" s="123" t="s">
        <v>284</v>
      </c>
      <c r="CT51" s="228">
        <v>43925</v>
      </c>
      <c r="CU51" s="229" t="s">
        <v>55</v>
      </c>
      <c r="CV51" s="40" t="s">
        <v>55</v>
      </c>
      <c r="DI51" s="41">
        <v>43925</v>
      </c>
      <c r="DJ51" s="131" t="s">
        <v>56</v>
      </c>
      <c r="DK51" s="131" t="s">
        <v>56</v>
      </c>
      <c r="DZ51" s="215">
        <v>1997</v>
      </c>
      <c r="EA51" s="216">
        <f t="shared" si="5"/>
        <v>0.99855</v>
      </c>
      <c r="EB51" s="75"/>
    </row>
    <row r="52" ht="17.5" customHeight="1" spans="9:132" x14ac:dyDescent="0.25">
      <c r="I52" s="31" t="s">
        <v>280</v>
      </c>
      <c r="J52" s="217" t="s">
        <v>285</v>
      </c>
      <c r="K52" s="119" t="s">
        <v>286</v>
      </c>
      <c r="L52" s="119"/>
      <c r="M52" s="119"/>
      <c r="N52" s="119"/>
      <c r="O52" s="218" t="s">
        <v>283</v>
      </c>
      <c r="P52" s="219">
        <v>0.1156</v>
      </c>
      <c r="Q52" s="219">
        <v>0.1816</v>
      </c>
      <c r="R52" s="219">
        <v>9.173</v>
      </c>
      <c r="S52" s="219">
        <v>52.3</v>
      </c>
      <c r="T52" s="219">
        <v>141.665</v>
      </c>
      <c r="U52" s="221">
        <v>369.9027</v>
      </c>
      <c r="V52" s="220">
        <v>438.694</v>
      </c>
      <c r="W52" s="220">
        <v>527.711</v>
      </c>
      <c r="X52" s="220">
        <v>645.634</v>
      </c>
      <c r="Y52" s="220">
        <v>1262.349</v>
      </c>
      <c r="Z52" s="221">
        <v>1755.804</v>
      </c>
      <c r="AA52" s="220">
        <v>2165.928</v>
      </c>
      <c r="AB52" s="220">
        <v>2646.204</v>
      </c>
      <c r="AC52" s="220">
        <v>3153.9</v>
      </c>
      <c r="AD52" s="220">
        <v>3773.9</v>
      </c>
      <c r="AE52" s="221">
        <v>4648.3</v>
      </c>
      <c r="AF52" s="220">
        <v>5653.4199</v>
      </c>
      <c r="AG52" s="220">
        <v>7162.2108</v>
      </c>
      <c r="AH52" s="220">
        <v>9110.9865</v>
      </c>
      <c r="AI52" s="220">
        <v>7954.3271</v>
      </c>
      <c r="AJ52" s="221">
        <v>9789.614</v>
      </c>
      <c r="AK52" s="224">
        <v>12010.7569</v>
      </c>
      <c r="AL52" s="224">
        <v>13786.8717</v>
      </c>
      <c r="AM52" s="224">
        <v>14919.6208</v>
      </c>
      <c r="AN52" s="224">
        <v>16351.5355</v>
      </c>
      <c r="AO52" s="225">
        <v>17153.42</v>
      </c>
      <c r="AP52" s="224">
        <v>17689.044</v>
      </c>
      <c r="AQ52" s="224">
        <v>19072.95</v>
      </c>
      <c r="AR52" s="224">
        <v>21574.3</v>
      </c>
      <c r="AS52" s="224" t="s">
        <v>287</v>
      </c>
      <c r="AT52" s="226"/>
      <c r="BO52" s="227" t="str">
        <f t="shared" ref="BO52:BO70" si="6">J52</f>
        <v>IM</v>
      </c>
      <c r="BP52" s="123" t="s">
        <v>284</v>
      </c>
      <c r="CT52" s="62">
        <v>1995</v>
      </c>
      <c r="CU52" s="230">
        <f t="array" ref="CU52:CU75">TRANSPOSE(U184:AR184)</f>
        <v>1</v>
      </c>
      <c r="CV52" s="201">
        <v>1</v>
      </c>
      <c r="DI52" s="43">
        <v>1995</v>
      </c>
      <c r="DJ52" s="138">
        <f t="array" ref="DJ52:DJ75">TRANSPOSE(U69:AR69)</f>
        <v>719.7935</v>
      </c>
      <c r="DK52" s="56">
        <f t="array" ref="DK52:DK75">TRANSPOSE(U67:AR67)</f>
        <v>1428.5209</v>
      </c>
      <c r="DZ52" s="215">
        <v>1998</v>
      </c>
      <c r="EA52" s="216">
        <f t="shared" si="5"/>
        <v>0.9645993</v>
      </c>
      <c r="EB52" s="75"/>
    </row>
    <row r="53" ht="17.5" customHeight="1" spans="9:132" x14ac:dyDescent="0.25">
      <c r="I53" s="31" t="s">
        <v>280</v>
      </c>
      <c r="J53" s="217" t="s">
        <v>288</v>
      </c>
      <c r="K53" s="119" t="s">
        <v>289</v>
      </c>
      <c r="L53" s="119"/>
      <c r="M53" s="119"/>
      <c r="N53" s="119"/>
      <c r="O53" s="218" t="s">
        <v>283</v>
      </c>
      <c r="P53" s="219">
        <v>0.1155</v>
      </c>
      <c r="Q53" s="219">
        <v>0.1411</v>
      </c>
      <c r="R53" s="219">
        <v>3.592</v>
      </c>
      <c r="S53" s="219">
        <v>26.028</v>
      </c>
      <c r="T53" s="219">
        <v>71.923</v>
      </c>
      <c r="U53" s="221">
        <v>184.07</v>
      </c>
      <c r="V53" s="220">
        <v>269.095</v>
      </c>
      <c r="W53" s="220">
        <v>320.2558</v>
      </c>
      <c r="X53" s="220">
        <v>338.8245</v>
      </c>
      <c r="Y53" s="220">
        <v>613.8546</v>
      </c>
      <c r="Z53" s="221">
        <v>980.8804</v>
      </c>
      <c r="AA53" s="220">
        <v>1268.9114</v>
      </c>
      <c r="AB53" s="220">
        <v>1415.2</v>
      </c>
      <c r="AC53" s="220">
        <v>1775.1</v>
      </c>
      <c r="AD53" s="231">
        <v>2352.1</v>
      </c>
      <c r="AE53" s="223">
        <v>3248.2</v>
      </c>
      <c r="AF53" s="220">
        <v>4090.1</v>
      </c>
      <c r="AG53" s="220">
        <v>4977.5587</v>
      </c>
      <c r="AH53" s="220">
        <v>6323.8484</v>
      </c>
      <c r="AI53" s="220">
        <v>5202.1329</v>
      </c>
      <c r="AJ53" s="221">
        <v>6462.568</v>
      </c>
      <c r="AK53" s="232">
        <v>8413.3219</v>
      </c>
      <c r="AL53" s="232">
        <v>9411.7982</v>
      </c>
      <c r="AM53" s="232">
        <v>9510.857899999999</v>
      </c>
      <c r="AN53" s="232">
        <v>10550.8478</v>
      </c>
      <c r="AO53" s="233">
        <v>8738.4996</v>
      </c>
      <c r="AP53" s="232">
        <v>8817.2</v>
      </c>
      <c r="AQ53" s="232">
        <v>9264.51</v>
      </c>
      <c r="AR53" s="232">
        <v>11404.17</v>
      </c>
      <c r="AS53" s="232"/>
      <c r="AT53" s="226"/>
      <c r="BO53" s="227" t="str">
        <f t="shared" si="6"/>
        <v>NL</v>
      </c>
      <c r="BP53" s="123" t="s">
        <v>284</v>
      </c>
      <c r="CT53" s="62">
        <v>1996</v>
      </c>
      <c r="CU53" s="234">
        <v>1.4723042021668387</v>
      </c>
      <c r="CV53" s="75">
        <f>НАСТРОЙКА!DR137</f>
        <v>1.218</v>
      </c>
      <c r="DI53" s="62">
        <v>1996</v>
      </c>
      <c r="DJ53" s="142">
        <v>1007.827</v>
      </c>
      <c r="DK53" s="66">
        <v>2007.8252000000002</v>
      </c>
      <c r="DZ53" s="215">
        <v>1999</v>
      </c>
      <c r="EA53" s="216">
        <f t="shared" si="5"/>
        <v>0.9414489168</v>
      </c>
      <c r="EB53" s="75"/>
    </row>
    <row r="54" ht="21.75" customHeight="1" spans="9:132" x14ac:dyDescent="0.25">
      <c r="I54" s="31" t="s">
        <v>280</v>
      </c>
      <c r="J54" s="217" t="s">
        <v>290</v>
      </c>
      <c r="K54" s="119" t="s">
        <v>291</v>
      </c>
      <c r="L54" s="119"/>
      <c r="M54" s="119"/>
      <c r="N54" s="119"/>
      <c r="O54" s="218" t="s">
        <v>283</v>
      </c>
      <c r="P54" s="219">
        <v>-0.0709</v>
      </c>
      <c r="Q54" s="219">
        <v>-0.09</v>
      </c>
      <c r="R54" s="219">
        <v>-3.257</v>
      </c>
      <c r="S54" s="219">
        <v>-10.471</v>
      </c>
      <c r="T54" s="219">
        <v>-24.025</v>
      </c>
      <c r="U54" s="221">
        <v>-75.1744</v>
      </c>
      <c r="V54" s="220">
        <v>-89.479</v>
      </c>
      <c r="W54" s="220">
        <v>-105.6611</v>
      </c>
      <c r="X54" s="220">
        <v>-92.4612</v>
      </c>
      <c r="Y54" s="220">
        <v>-118.4944</v>
      </c>
      <c r="Z54" s="221">
        <v>-147.4329</v>
      </c>
      <c r="AA54" s="220">
        <v>-171.4221</v>
      </c>
      <c r="AB54" s="220">
        <v>-165.9</v>
      </c>
      <c r="AC54" s="220">
        <v>-186.6</v>
      </c>
      <c r="AD54" s="220">
        <v>-183.7</v>
      </c>
      <c r="AE54" s="223">
        <v>-156.1</v>
      </c>
      <c r="AF54" s="220">
        <v>-150.24</v>
      </c>
      <c r="AG54" s="220">
        <v>-214.5167</v>
      </c>
      <c r="AH54" s="220">
        <v>-229.6976</v>
      </c>
      <c r="AI54" s="220">
        <v>-226.238</v>
      </c>
      <c r="AJ54" s="221">
        <v>-194.1</v>
      </c>
      <c r="AK54" s="232">
        <v>-214.9123</v>
      </c>
      <c r="AL54" s="220">
        <v>-244.1483</v>
      </c>
      <c r="AM54" s="220">
        <v>-246.4127</v>
      </c>
      <c r="AN54" s="220">
        <v>-258.7018</v>
      </c>
      <c r="AO54" s="233">
        <v>-271.64</v>
      </c>
      <c r="AP54" s="220">
        <v>-278.28</v>
      </c>
      <c r="AQ54" s="220">
        <v>-318.75</v>
      </c>
      <c r="AR54" s="220">
        <v>-327.9</v>
      </c>
      <c r="AT54" s="226"/>
      <c r="BO54" s="227" t="str">
        <f t="shared" si="6"/>
        <v>SB</v>
      </c>
      <c r="BP54" s="123" t="s">
        <v>284</v>
      </c>
      <c r="CT54" s="62">
        <v>1997</v>
      </c>
      <c r="CU54" s="235">
        <v>1.718558670886825</v>
      </c>
      <c r="CV54" s="75">
        <f>НАСТРОЙКА!DR138</f>
        <v>1.3519800000000002</v>
      </c>
      <c r="DI54" s="62">
        <v>1997</v>
      </c>
      <c r="DJ54" s="142">
        <v>1235.2137</v>
      </c>
      <c r="DK54" s="66">
        <v>2342.5137</v>
      </c>
      <c r="DZ54" s="215">
        <v>2000</v>
      </c>
      <c r="EA54" s="216">
        <f t="shared" si="5"/>
        <v>0.9969944028911999</v>
      </c>
      <c r="EB54" s="75"/>
    </row>
    <row r="55" ht="17.5" customHeight="1" spans="9:132" x14ac:dyDescent="0.25">
      <c r="I55" s="195" t="s">
        <v>292</v>
      </c>
      <c r="J55" s="217" t="s">
        <v>293</v>
      </c>
      <c r="K55" s="119" t="s">
        <v>294</v>
      </c>
      <c r="L55" s="119"/>
      <c r="M55" s="119"/>
      <c r="N55" s="119"/>
      <c r="O55" s="218" t="s">
        <v>283</v>
      </c>
      <c r="P55" s="219">
        <v>1.3641999999999999</v>
      </c>
      <c r="Q55" s="220">
        <f t="shared" ref="Q55:AR55" si="7">Q51+Q53+Q54</f>
        <v>2.6631</v>
      </c>
      <c r="R55" s="220">
        <f t="shared" si="7"/>
        <v>39.419000000000004</v>
      </c>
      <c r="S55" s="220">
        <f t="shared" si="7"/>
        <v>321.038</v>
      </c>
      <c r="T55" s="220">
        <f t="shared" si="7"/>
        <v>1092.328</v>
      </c>
      <c r="U55" s="221">
        <f t="shared" si="7"/>
        <v>2876.5161000000003</v>
      </c>
      <c r="V55" s="220">
        <f t="shared" si="7"/>
        <v>3978.7420000000006</v>
      </c>
      <c r="W55" s="220">
        <f t="shared" si="7"/>
        <v>4542.1257</v>
      </c>
      <c r="X55" s="220">
        <f t="shared" si="7"/>
        <v>4820.3403</v>
      </c>
      <c r="Y55" s="220">
        <f t="shared" si="7"/>
        <v>8798.5622</v>
      </c>
      <c r="Z55" s="221">
        <f t="shared" si="7"/>
        <v>13385.6595</v>
      </c>
      <c r="AA55" s="220">
        <f t="shared" si="7"/>
        <v>17020.2773</v>
      </c>
      <c r="AB55" s="220">
        <f t="shared" si="7"/>
        <v>20222.973599999998</v>
      </c>
      <c r="AC55" s="220">
        <f t="shared" si="7"/>
        <v>24861.5895</v>
      </c>
      <c r="AD55" s="220">
        <f t="shared" si="7"/>
        <v>31659.022599999997</v>
      </c>
      <c r="AE55" s="221">
        <f t="shared" si="7"/>
        <v>40112.702</v>
      </c>
      <c r="AF55" s="220">
        <f t="shared" si="7"/>
        <v>50163.7265</v>
      </c>
      <c r="AG55" s="220">
        <f t="shared" si="7"/>
        <v>62515.1745</v>
      </c>
      <c r="AH55" s="220">
        <f t="shared" si="7"/>
        <v>77695.8088</v>
      </c>
      <c r="AI55" s="220">
        <f t="shared" si="7"/>
        <v>73092.3949</v>
      </c>
      <c r="AJ55" s="221">
        <f t="shared" si="7"/>
        <v>88323.068</v>
      </c>
      <c r="AK55" s="236">
        <f t="shared" si="7"/>
        <v>109158.8003</v>
      </c>
      <c r="AL55" s="236">
        <f t="shared" si="7"/>
        <v>122259.8224</v>
      </c>
      <c r="AM55" s="236">
        <f t="shared" si="7"/>
        <v>132429.9303</v>
      </c>
      <c r="AN55" s="236">
        <f t="shared" si="7"/>
        <v>143137.04599999997</v>
      </c>
      <c r="AO55" s="233">
        <f t="shared" si="7"/>
        <v>154422.9596</v>
      </c>
      <c r="AP55" s="236">
        <f t="shared" si="7"/>
        <v>162395.42</v>
      </c>
      <c r="AQ55" s="236">
        <f t="shared" si="7"/>
        <v>175275.06</v>
      </c>
      <c r="AR55" s="236">
        <f t="shared" si="7"/>
        <v>196610.47000000003</v>
      </c>
      <c r="AT55" s="226"/>
      <c r="BO55" s="227" t="str">
        <f t="shared" si="6"/>
        <v>X</v>
      </c>
      <c r="BP55" s="123" t="s">
        <v>292</v>
      </c>
      <c r="CT55" s="62">
        <v>1998</v>
      </c>
      <c r="CU55" s="235">
        <v>2.1060897046594413</v>
      </c>
      <c r="CV55" s="75">
        <f>НАСТРОЙКА!DR139</f>
        <v>2.4930511200000005</v>
      </c>
      <c r="DI55" s="62">
        <v>1998</v>
      </c>
      <c r="DJ55" s="142">
        <v>1462.284</v>
      </c>
      <c r="DK55" s="66">
        <v>2629.6229</v>
      </c>
      <c r="DZ55" s="215">
        <v>2001</v>
      </c>
      <c r="EA55" s="216">
        <f t="shared" si="5"/>
        <v>1.0787479439282783</v>
      </c>
      <c r="EB55" s="75"/>
    </row>
    <row r="56" ht="17.5" customHeight="1" spans="9:132" x14ac:dyDescent="0.25">
      <c r="I56" s="31" t="s">
        <v>280</v>
      </c>
      <c r="J56" s="217" t="s">
        <v>295</v>
      </c>
      <c r="K56" s="119" t="s">
        <v>296</v>
      </c>
      <c r="L56" s="119"/>
      <c r="M56" s="119"/>
      <c r="N56" s="119"/>
      <c r="O56" s="218" t="s">
        <v>283</v>
      </c>
      <c r="P56" s="219">
        <v>0.6048</v>
      </c>
      <c r="Q56" s="220">
        <v>1.265</v>
      </c>
      <c r="R56" s="220">
        <v>20.413</v>
      </c>
      <c r="S56" s="220">
        <v>149.529</v>
      </c>
      <c r="T56" s="220">
        <v>481.49</v>
      </c>
      <c r="U56" s="221">
        <v>1447.9952</v>
      </c>
      <c r="V56" s="220">
        <v>1970.9168</v>
      </c>
      <c r="W56" s="220">
        <v>2199.612</v>
      </c>
      <c r="X56" s="220">
        <v>2190.7174</v>
      </c>
      <c r="Y56" s="220">
        <v>3975.3293</v>
      </c>
      <c r="Z56" s="221">
        <v>6080.0129</v>
      </c>
      <c r="AA56" s="220">
        <v>8076.6947</v>
      </c>
      <c r="AB56" s="220">
        <v>9403.7027</v>
      </c>
      <c r="AC56" s="220">
        <v>11653.3392</v>
      </c>
      <c r="AD56" s="220">
        <v>14631.8556</v>
      </c>
      <c r="AE56" s="221">
        <v>18502.9362</v>
      </c>
      <c r="AF56" s="220">
        <v>23246.5228</v>
      </c>
      <c r="AG56" s="220">
        <v>29267.6613</v>
      </c>
      <c r="AH56" s="220">
        <v>36418.9596</v>
      </c>
      <c r="AI56" s="220">
        <v>34285.124</v>
      </c>
      <c r="AJ56" s="221">
        <v>42014.537</v>
      </c>
      <c r="AK56" s="224">
        <v>48876.2599</v>
      </c>
      <c r="AL56" s="224">
        <v>54095.9393</v>
      </c>
      <c r="AM56" s="224">
        <v>59296.035200000006</v>
      </c>
      <c r="AN56" s="224">
        <v>64078.5</v>
      </c>
      <c r="AO56" s="225">
        <v>71328.7</v>
      </c>
      <c r="AP56" s="224">
        <v>76381.24</v>
      </c>
      <c r="AQ56" s="224">
        <v>83173.7</v>
      </c>
      <c r="AR56" s="224">
        <v>92734.7</v>
      </c>
      <c r="AT56" s="226"/>
      <c r="BO56" s="227" t="str">
        <f t="shared" si="6"/>
        <v>Zt </v>
      </c>
      <c r="BP56" s="123" t="s">
        <v>284</v>
      </c>
      <c r="CT56" s="62">
        <v>1999</v>
      </c>
      <c r="CU56" s="235">
        <v>3.727842297346868</v>
      </c>
      <c r="CV56" s="75">
        <f>НАСТРОЙКА!DR140</f>
        <v>3.4030147788000007</v>
      </c>
      <c r="DI56" s="62">
        <v>1999</v>
      </c>
      <c r="DJ56" s="142">
        <v>2526.1679</v>
      </c>
      <c r="DK56" s="66">
        <v>4823.2329</v>
      </c>
      <c r="DZ56" s="215">
        <v>2002</v>
      </c>
      <c r="EA56" s="216">
        <f t="shared" si="5"/>
        <v>1.1618115356107557</v>
      </c>
      <c r="EB56" s="75"/>
    </row>
    <row r="57" ht="17.5" customHeight="1" spans="9:132" x14ac:dyDescent="0.25">
      <c r="I57" s="195" t="s">
        <v>292</v>
      </c>
      <c r="J57" s="217" t="s">
        <v>297</v>
      </c>
      <c r="K57" s="119" t="s">
        <v>298</v>
      </c>
      <c r="L57" s="119"/>
      <c r="M57" s="119"/>
      <c r="N57" s="119"/>
      <c r="O57" s="218" t="s">
        <v>299</v>
      </c>
      <c r="P57" s="219">
        <f>P56/P55</f>
        <v>0.4433367541416215</v>
      </c>
      <c r="Q57" s="219">
        <f>Q56/Q55</f>
        <v>0.4750103263114415</v>
      </c>
      <c r="R57" s="219">
        <f t="shared" ref="R57:AJ57" si="8">R56/R55</f>
        <v>0.5178467236611786</v>
      </c>
      <c r="S57" s="219">
        <f t="shared" si="8"/>
        <v>0.4657672923454544</v>
      </c>
      <c r="T57" s="219">
        <f t="shared" si="8"/>
        <v>0.44079250920968793</v>
      </c>
      <c r="U57" s="237">
        <f t="shared" si="8"/>
        <v>0.5033850497134363</v>
      </c>
      <c r="V57" s="219">
        <f t="shared" si="8"/>
        <v>0.4953618002876285</v>
      </c>
      <c r="W57" s="219">
        <f t="shared" si="8"/>
        <v>0.48426929267941665</v>
      </c>
      <c r="X57" s="219">
        <f t="shared" si="8"/>
        <v>0.4544735980569671</v>
      </c>
      <c r="Y57" s="219">
        <f t="shared" si="8"/>
        <v>0.45181578644747206</v>
      </c>
      <c r="Z57" s="237">
        <f t="shared" si="8"/>
        <v>0.4542184044051023</v>
      </c>
      <c r="AA57" s="219">
        <f t="shared" si="8"/>
        <v>0.47453367284444886</v>
      </c>
      <c r="AB57" s="219">
        <f t="shared" si="8"/>
        <v>0.4650009877874736</v>
      </c>
      <c r="AC57" s="219">
        <f t="shared" si="8"/>
        <v>0.4687286466539077</v>
      </c>
      <c r="AD57" s="219">
        <f t="shared" si="8"/>
        <v>0.46217016187985543</v>
      </c>
      <c r="AE57" s="221">
        <f t="shared" si="8"/>
        <v>0.4612737431649456</v>
      </c>
      <c r="AF57" s="219">
        <f t="shared" si="8"/>
        <v>0.4634129962414176</v>
      </c>
      <c r="AG57" s="219">
        <f t="shared" si="8"/>
        <v>0.46816891313324255</v>
      </c>
      <c r="AH57" s="219">
        <f t="shared" si="8"/>
        <v>0.4687377628534321</v>
      </c>
      <c r="AI57" s="219">
        <f t="shared" si="8"/>
        <v>0.469065544327923</v>
      </c>
      <c r="AJ57" s="237">
        <f t="shared" si="8"/>
        <v>0.47569154866767077</v>
      </c>
      <c r="AK57" s="219">
        <f t="shared" ref="AK57:AR57" si="9">AK56/AK55</f>
        <v>0.44775372911459155</v>
      </c>
      <c r="AL57" s="219">
        <f t="shared" si="9"/>
        <v>0.44246702013857986</v>
      </c>
      <c r="AM57" s="219">
        <f t="shared" si="9"/>
        <v>0.4477540316276977</v>
      </c>
      <c r="AN57" s="219">
        <f t="shared" si="9"/>
        <v>0.4476723656851212</v>
      </c>
      <c r="AO57" s="238">
        <f t="shared" si="9"/>
        <v>0.46190475940081643</v>
      </c>
      <c r="AP57" s="219">
        <f t="shared" si="9"/>
        <v>0.4703410970580328</v>
      </c>
      <c r="AQ57" s="219">
        <f t="shared" si="9"/>
        <v>0.47453242920013833</v>
      </c>
      <c r="AR57" s="219">
        <f t="shared" si="9"/>
        <v>0.47166714977081325</v>
      </c>
      <c r="AT57" s="226"/>
      <c r="BO57" s="227" t="str">
        <f t="shared" si="6"/>
        <v>a=Z/Х</v>
      </c>
      <c r="BP57" s="123" t="s">
        <v>292</v>
      </c>
      <c r="CT57" s="62">
        <v>2000</v>
      </c>
      <c r="CU57" s="235">
        <v>4.5918326760987345</v>
      </c>
      <c r="CV57" s="75">
        <f>НАСТРОЙКА!DR141</f>
        <v>4.090423764117601</v>
      </c>
      <c r="DI57" s="62">
        <v>2000</v>
      </c>
      <c r="DJ57" s="142">
        <v>3295.2373</v>
      </c>
      <c r="DK57" s="66">
        <v>7305.6466</v>
      </c>
      <c r="DZ57" s="215">
        <v>2003</v>
      </c>
      <c r="EA57" s="216">
        <f t="shared" si="5"/>
        <v>1.2512710238527838</v>
      </c>
      <c r="EB57" s="75"/>
    </row>
    <row r="58" ht="17.5" customHeight="1" spans="10:132" x14ac:dyDescent="0.25">
      <c r="J58" s="217" t="s">
        <v>300</v>
      </c>
      <c r="K58" s="119" t="s">
        <v>301</v>
      </c>
      <c r="O58" s="239" t="s">
        <v>283</v>
      </c>
      <c r="P58" s="219"/>
      <c r="Q58" s="219"/>
      <c r="R58" s="219"/>
      <c r="S58" s="219"/>
      <c r="T58" s="219"/>
      <c r="U58" s="240">
        <f>U51-U56</f>
        <v>1319.6253</v>
      </c>
      <c r="V58" s="240">
        <f t="shared" ref="V58:AR58" si="10">V51-V56</f>
        <v>1828.2092000000002</v>
      </c>
      <c r="W58" s="240">
        <f t="shared" si="10"/>
        <v>2127.919</v>
      </c>
      <c r="X58" s="240">
        <f t="shared" si="10"/>
        <v>2383.2596</v>
      </c>
      <c r="Y58" s="240">
        <f t="shared" si="10"/>
        <v>4327.8727</v>
      </c>
      <c r="Z58" s="240">
        <f t="shared" si="10"/>
        <v>6472.1991</v>
      </c>
      <c r="AA58" s="240">
        <f t="shared" si="10"/>
        <v>7846.0933</v>
      </c>
      <c r="AB58" s="240">
        <f t="shared" si="10"/>
        <v>9569.970899999998</v>
      </c>
      <c r="AC58" s="240">
        <f t="shared" si="10"/>
        <v>11619.750299999998</v>
      </c>
      <c r="AD58" s="240">
        <f t="shared" si="10"/>
        <v>14858.766999999998</v>
      </c>
      <c r="AE58" s="240">
        <f t="shared" si="10"/>
        <v>18517.6658</v>
      </c>
      <c r="AF58" s="240">
        <f t="shared" si="10"/>
        <v>22977.343699999998</v>
      </c>
      <c r="AG58" s="240">
        <f t="shared" si="10"/>
        <v>28484.4712</v>
      </c>
      <c r="AH58" s="240">
        <f t="shared" si="10"/>
        <v>35182.698399999994</v>
      </c>
      <c r="AI58" s="240">
        <f t="shared" si="10"/>
        <v>33831.376</v>
      </c>
      <c r="AJ58" s="240">
        <f t="shared" si="10"/>
        <v>40040.06300000001</v>
      </c>
      <c r="AK58" s="240">
        <f t="shared" si="10"/>
        <v>52084.130800000006</v>
      </c>
      <c r="AL58" s="240">
        <f t="shared" si="10"/>
        <v>58996.2332</v>
      </c>
      <c r="AM58" s="240">
        <f t="shared" si="10"/>
        <v>63869.449899999985</v>
      </c>
      <c r="AN58" s="240">
        <f t="shared" si="10"/>
        <v>68766.4</v>
      </c>
      <c r="AO58" s="240">
        <f t="shared" si="10"/>
        <v>74627.40000000001</v>
      </c>
      <c r="AP58" s="240">
        <f t="shared" si="10"/>
        <v>77475.26</v>
      </c>
      <c r="AQ58" s="240">
        <f t="shared" si="10"/>
        <v>83155.59999999999</v>
      </c>
      <c r="AR58" s="240">
        <f t="shared" si="10"/>
        <v>92799.50000000001</v>
      </c>
      <c r="AT58" s="226"/>
      <c r="BO58" s="227" t="str">
        <f t="shared" si="6"/>
        <v>WDC</v>
      </c>
      <c r="BP58" s="123"/>
      <c r="CT58" s="62">
        <v>2001</v>
      </c>
      <c r="CU58" s="235">
        <v>5.561179540405496</v>
      </c>
      <c r="CV58" s="75">
        <f>НАСТРОЙКА!DR142</f>
        <v>4.851242584243474</v>
      </c>
      <c r="DI58" s="62">
        <v>2001</v>
      </c>
      <c r="DJ58" s="142">
        <v>4318.1211</v>
      </c>
      <c r="DK58" s="66">
        <v>8943.5826</v>
      </c>
      <c r="DZ58" s="215">
        <v>2004</v>
      </c>
      <c r="EA58" s="216">
        <f t="shared" si="5"/>
        <v>1.4076799018343817</v>
      </c>
      <c r="EB58" s="75"/>
    </row>
    <row r="59" ht="17.5" customHeight="1" spans="9:132" x14ac:dyDescent="0.25">
      <c r="I59" s="195" t="s">
        <v>292</v>
      </c>
      <c r="J59" s="217" t="s">
        <v>302</v>
      </c>
      <c r="K59" s="114" t="s">
        <v>303</v>
      </c>
      <c r="L59" s="114"/>
      <c r="M59" s="114"/>
      <c r="N59" s="114"/>
      <c r="O59" s="239" t="s">
        <v>283</v>
      </c>
      <c r="P59" s="219"/>
      <c r="Q59" s="219"/>
      <c r="R59" s="219"/>
      <c r="S59" s="219"/>
      <c r="T59" s="219"/>
      <c r="U59" s="221">
        <f>U51-U56</f>
        <v>1319.6253</v>
      </c>
      <c r="V59" s="220">
        <f>V51-V56</f>
        <v>1828.2092000000002</v>
      </c>
      <c r="W59" s="220">
        <f t="shared" ref="W59:AB59" si="11">W51-W56</f>
        <v>2127.919</v>
      </c>
      <c r="X59" s="220">
        <f t="shared" si="11"/>
        <v>2383.2596</v>
      </c>
      <c r="Y59" s="220">
        <f t="shared" si="11"/>
        <v>4327.8727</v>
      </c>
      <c r="Z59" s="220">
        <f t="shared" si="11"/>
        <v>6472.1991</v>
      </c>
      <c r="AA59" s="220">
        <f t="shared" si="11"/>
        <v>7846.0933</v>
      </c>
      <c r="AB59" s="220">
        <f t="shared" si="11"/>
        <v>9569.970899999998</v>
      </c>
      <c r="AC59" s="220">
        <f t="shared" ref="AC59:AR59" si="12">AC51-AC56</f>
        <v>11619.750299999998</v>
      </c>
      <c r="AD59" s="220">
        <f t="shared" si="12"/>
        <v>14858.766999999998</v>
      </c>
      <c r="AE59" s="220">
        <f t="shared" si="12"/>
        <v>18517.6658</v>
      </c>
      <c r="AF59" s="220">
        <f t="shared" si="12"/>
        <v>22977.343699999998</v>
      </c>
      <c r="AG59" s="220">
        <f t="shared" si="12"/>
        <v>28484.4712</v>
      </c>
      <c r="AH59" s="220">
        <f t="shared" si="12"/>
        <v>35182.698399999994</v>
      </c>
      <c r="AI59" s="220">
        <f t="shared" si="12"/>
        <v>33831.376</v>
      </c>
      <c r="AJ59" s="221">
        <f t="shared" si="12"/>
        <v>40040.06300000001</v>
      </c>
      <c r="AK59" s="236">
        <f t="shared" si="12"/>
        <v>52084.130800000006</v>
      </c>
      <c r="AL59" s="236">
        <f t="shared" si="12"/>
        <v>58996.2332</v>
      </c>
      <c r="AM59" s="236">
        <f t="shared" si="12"/>
        <v>63869.449899999985</v>
      </c>
      <c r="AN59" s="236">
        <f t="shared" si="12"/>
        <v>68766.4</v>
      </c>
      <c r="AO59" s="225">
        <f t="shared" si="12"/>
        <v>74627.40000000001</v>
      </c>
      <c r="AP59" s="236">
        <f t="shared" si="12"/>
        <v>77475.26</v>
      </c>
      <c r="AQ59" s="236">
        <f t="shared" si="12"/>
        <v>83155.59999999999</v>
      </c>
      <c r="AR59" s="236">
        <f t="shared" si="12"/>
        <v>92799.50000000001</v>
      </c>
      <c r="AT59" s="226"/>
      <c r="BO59" s="227" t="str">
        <f t="shared" si="6"/>
        <v>XO - Z</v>
      </c>
      <c r="BP59" s="123"/>
      <c r="CT59" s="62">
        <v>2002</v>
      </c>
      <c r="CU59" s="235">
        <v>6.468238698917706</v>
      </c>
      <c r="CV59" s="75">
        <f>НАСТРОЙКА!DR143</f>
        <v>5.583780214464239</v>
      </c>
      <c r="DI59" s="62">
        <v>2002</v>
      </c>
      <c r="DJ59" s="142">
        <v>5409.1577</v>
      </c>
      <c r="DK59" s="66">
        <v>10819.270899999998</v>
      </c>
      <c r="DZ59" s="215">
        <v>2005</v>
      </c>
      <c r="EA59" s="216">
        <f t="shared" si="5"/>
        <v>1.5794168498581764</v>
      </c>
      <c r="EB59" s="75"/>
    </row>
    <row r="60" ht="17.5" customHeight="1" spans="9:132" x14ac:dyDescent="0.25">
      <c r="I60" s="31" t="s">
        <v>280</v>
      </c>
      <c r="J60" s="217" t="s">
        <v>304</v>
      </c>
      <c r="K60" s="119" t="s">
        <v>305</v>
      </c>
      <c r="L60" s="119"/>
      <c r="M60" s="119"/>
      <c r="N60" s="119"/>
      <c r="O60" s="218" t="s">
        <v>283</v>
      </c>
      <c r="P60" s="219">
        <f t="shared" ref="P60:AA60" si="13">P69+P70+P71</f>
        <v>0.444</v>
      </c>
      <c r="Q60" s="219">
        <f t="shared" si="13"/>
        <v>0.855</v>
      </c>
      <c r="R60" s="220">
        <f t="shared" si="13"/>
        <v>9.184000000000001</v>
      </c>
      <c r="S60" s="220">
        <f t="shared" si="13"/>
        <v>106.754</v>
      </c>
      <c r="T60" s="220">
        <f t="shared" si="13"/>
        <v>422.051</v>
      </c>
      <c r="U60" s="241">
        <f t="shared" si="13"/>
        <v>1016.5943000000001</v>
      </c>
      <c r="V60" s="242">
        <f t="shared" si="13"/>
        <v>1435.8698</v>
      </c>
      <c r="W60" s="242">
        <f t="shared" si="13"/>
        <v>1776.1376</v>
      </c>
      <c r="X60" s="242">
        <f t="shared" si="13"/>
        <v>2003.7901000000002</v>
      </c>
      <c r="Y60" s="242">
        <f t="shared" si="13"/>
        <v>3285.6781</v>
      </c>
      <c r="Z60" s="241">
        <f t="shared" si="13"/>
        <v>4476.8508999999995</v>
      </c>
      <c r="AA60" s="242">
        <f t="shared" si="13"/>
        <v>5886.8606</v>
      </c>
      <c r="AB60" s="242">
        <v>7484.1155</v>
      </c>
      <c r="AC60" s="242">
        <v>9058.6876</v>
      </c>
      <c r="AD60" s="242">
        <v>11477.8496</v>
      </c>
      <c r="AE60" s="241">
        <v>14438.1492</v>
      </c>
      <c r="AF60" s="242">
        <v>17809.7407</v>
      </c>
      <c r="AG60" s="242">
        <v>21968.5795</v>
      </c>
      <c r="AH60" s="242">
        <v>27543.5114</v>
      </c>
      <c r="AI60" s="220">
        <v>29269.625</v>
      </c>
      <c r="AJ60" s="221">
        <v>32514.673</v>
      </c>
      <c r="AK60" s="224">
        <v>40692.2177</v>
      </c>
      <c r="AL60" s="224">
        <v>46895.7801</v>
      </c>
      <c r="AM60" s="224">
        <v>52274.2836</v>
      </c>
      <c r="AN60" s="224">
        <v>56418.22</v>
      </c>
      <c r="AO60" s="225">
        <v>58240.53</v>
      </c>
      <c r="AP60" s="224">
        <v>61389.77</v>
      </c>
      <c r="AQ60" s="224">
        <v>65165.44</v>
      </c>
      <c r="AR60" s="224">
        <v>69332.98</v>
      </c>
      <c r="AS60" s="224" t="s">
        <v>287</v>
      </c>
      <c r="AT60" s="226"/>
      <c r="BO60" s="227" t="str">
        <f t="shared" si="6"/>
        <v>Y</v>
      </c>
      <c r="BP60" s="123" t="s">
        <v>284</v>
      </c>
      <c r="CT60" s="62">
        <v>2003</v>
      </c>
      <c r="CU60" s="235">
        <v>7.258482770625474</v>
      </c>
      <c r="CV60" s="75">
        <f>НАСТРОЙКА!DR144</f>
        <v>6.253833840199949</v>
      </c>
      <c r="DI60" s="62">
        <v>2003</v>
      </c>
      <c r="DJ60" s="142">
        <v>6537.4015</v>
      </c>
      <c r="DK60" s="66">
        <v>13208.250299999998</v>
      </c>
      <c r="DZ60" s="215">
        <v>2006</v>
      </c>
      <c r="EA60" s="216">
        <f t="shared" si="5"/>
        <v>1.7721057055408742</v>
      </c>
      <c r="EB60" s="75"/>
    </row>
    <row r="61" ht="17.5" customHeight="1" spans="9:132" x14ac:dyDescent="0.25">
      <c r="I61" s="31" t="s">
        <v>280</v>
      </c>
      <c r="J61" s="217" t="s">
        <v>306</v>
      </c>
      <c r="K61" s="119" t="s">
        <v>307</v>
      </c>
      <c r="L61" s="119"/>
      <c r="M61" s="119"/>
      <c r="N61" s="119"/>
      <c r="O61" s="218" t="s">
        <v>283</v>
      </c>
      <c r="P61" s="219">
        <v>0.194</v>
      </c>
      <c r="Q61" s="219">
        <v>0.507</v>
      </c>
      <c r="R61" s="220">
        <v>6.582</v>
      </c>
      <c r="S61" s="220">
        <v>46.317</v>
      </c>
      <c r="T61" s="220">
        <v>155.971</v>
      </c>
      <c r="U61" s="221">
        <v>363.362</v>
      </c>
      <c r="V61" s="220">
        <v>475.2564</v>
      </c>
      <c r="W61" s="220">
        <v>514.8013</v>
      </c>
      <c r="X61" s="220">
        <v>393.4822</v>
      </c>
      <c r="Y61" s="220">
        <v>715.3195</v>
      </c>
      <c r="Z61" s="221">
        <v>1365.7338</v>
      </c>
      <c r="AA61" s="220">
        <v>1963.1104</v>
      </c>
      <c r="AB61" s="220">
        <v>2169.3</v>
      </c>
      <c r="AC61" s="220">
        <v>2755</v>
      </c>
      <c r="AD61" s="220">
        <v>3558.9514</v>
      </c>
      <c r="AE61" s="221">
        <v>4338.7305</v>
      </c>
      <c r="AF61" s="220">
        <v>5698.7273</v>
      </c>
      <c r="AG61" s="220">
        <v>8034.0982</v>
      </c>
      <c r="AH61" s="220">
        <v>10526.1161</v>
      </c>
      <c r="AI61" s="220">
        <v>7344.756</v>
      </c>
      <c r="AJ61" s="221">
        <v>10472.63</v>
      </c>
      <c r="AK61" s="224">
        <v>14735.8874</v>
      </c>
      <c r="AL61" s="224">
        <v>16730.202400000002</v>
      </c>
      <c r="AM61" s="224">
        <v>16915.862100000002</v>
      </c>
      <c r="AN61" s="224">
        <v>17883.66</v>
      </c>
      <c r="AO61" s="225">
        <v>18603.39</v>
      </c>
      <c r="AP61" s="224">
        <v>20242.85</v>
      </c>
      <c r="AQ61" s="224">
        <v>22189.209</v>
      </c>
      <c r="AR61" s="224">
        <v>23611.22</v>
      </c>
      <c r="AS61" s="224" t="s">
        <v>287</v>
      </c>
      <c r="AT61" s="226"/>
      <c r="BO61" s="227" t="str">
        <f t="shared" si="6"/>
        <v>WN</v>
      </c>
      <c r="BP61" s="123" t="s">
        <v>284</v>
      </c>
      <c r="CT61" s="62">
        <v>2004</v>
      </c>
      <c r="CU61" s="235">
        <v>8.328227993617887</v>
      </c>
      <c r="CV61" s="75">
        <f>НАСТРОЙКА!DR145</f>
        <v>6.9855323995033425</v>
      </c>
      <c r="DI61" s="62">
        <v>2004</v>
      </c>
      <c r="DJ61" s="142">
        <v>8438.4841</v>
      </c>
      <c r="DK61" s="66">
        <v>17027.166999999998</v>
      </c>
      <c r="DZ61" s="215">
        <v>2007</v>
      </c>
      <c r="EA61" s="216">
        <f t="shared" si="5"/>
        <v>2.0255168214332193</v>
      </c>
      <c r="EB61" s="75"/>
    </row>
    <row r="62" ht="17.5" customHeight="1" spans="9:132" x14ac:dyDescent="0.25">
      <c r="I62" s="31" t="s">
        <v>280</v>
      </c>
      <c r="J62" s="217" t="s">
        <v>308</v>
      </c>
      <c r="K62" s="119" t="s">
        <v>309</v>
      </c>
      <c r="L62" s="119"/>
      <c r="M62" s="119"/>
      <c r="N62" s="119"/>
      <c r="O62" s="218" t="s">
        <v>283</v>
      </c>
      <c r="P62" s="219">
        <v>0.117</v>
      </c>
      <c r="Q62" s="219">
        <v>0.1856</v>
      </c>
      <c r="R62" s="220">
        <v>11.847</v>
      </c>
      <c r="S62" s="220">
        <v>65.525</v>
      </c>
      <c r="T62" s="220">
        <v>169.534</v>
      </c>
      <c r="U62" s="221">
        <v>418.4685</v>
      </c>
      <c r="V62" s="220">
        <v>523.4631</v>
      </c>
      <c r="W62" s="220">
        <v>579.2865</v>
      </c>
      <c r="X62" s="220">
        <v>821.0434</v>
      </c>
      <c r="Y62" s="220">
        <v>2084.5851</v>
      </c>
      <c r="Z62" s="221">
        <v>3218.8663</v>
      </c>
      <c r="AA62" s="220">
        <v>3299.5617</v>
      </c>
      <c r="AB62" s="220">
        <v>3813.7</v>
      </c>
      <c r="AC62" s="220">
        <v>4655.8803</v>
      </c>
      <c r="AD62" s="220">
        <v>5860.3969</v>
      </c>
      <c r="AE62" s="221">
        <v>7607.2565</v>
      </c>
      <c r="AF62" s="220">
        <v>9079.3</v>
      </c>
      <c r="AG62" s="220">
        <v>10028.7621</v>
      </c>
      <c r="AH62" s="220">
        <v>12923.5537</v>
      </c>
      <c r="AI62" s="220">
        <v>10842.0262</v>
      </c>
      <c r="AJ62" s="221">
        <v>13529.311</v>
      </c>
      <c r="AK62" s="224">
        <v>16865.192199999998</v>
      </c>
      <c r="AL62" s="224">
        <v>18324.7723</v>
      </c>
      <c r="AM62" s="224">
        <v>18863.370199999998</v>
      </c>
      <c r="AN62" s="224">
        <v>21425.9346</v>
      </c>
      <c r="AO62" s="225">
        <v>23854.05</v>
      </c>
      <c r="AP62" s="224">
        <v>22137.648</v>
      </c>
      <c r="AQ62" s="224">
        <v>23994.3</v>
      </c>
      <c r="AR62" s="224">
        <v>31932.55</v>
      </c>
      <c r="AS62" s="224"/>
      <c r="AT62" s="226"/>
      <c r="BO62" s="227" t="str">
        <f t="shared" si="6"/>
        <v>EX</v>
      </c>
      <c r="BP62" s="123"/>
      <c r="CT62" s="62">
        <v>2005</v>
      </c>
      <c r="CU62" s="235">
        <v>9.370471463956683</v>
      </c>
      <c r="CV62" s="75">
        <f>НАСТРОЙКА!DR146</f>
        <v>7.746955431049207</v>
      </c>
      <c r="DI62" s="62">
        <v>2005</v>
      </c>
      <c r="DJ62" s="142">
        <v>10652.8578</v>
      </c>
      <c r="DK62" s="66">
        <v>21609.765799999997</v>
      </c>
      <c r="DZ62" s="215">
        <v>2008</v>
      </c>
      <c r="EA62" s="216">
        <f t="shared" si="5"/>
        <v>2.2402216045051406</v>
      </c>
      <c r="EB62" s="75"/>
    </row>
    <row r="63" ht="17.5" customHeight="1" spans="9:132" x14ac:dyDescent="0.25">
      <c r="I63" s="195" t="s">
        <v>292</v>
      </c>
      <c r="J63" s="217" t="s">
        <v>310</v>
      </c>
      <c r="K63" s="119" t="s">
        <v>311</v>
      </c>
      <c r="L63" s="119"/>
      <c r="M63" s="119"/>
      <c r="N63" s="119"/>
      <c r="O63" s="218" t="s">
        <v>283</v>
      </c>
      <c r="P63" s="219">
        <v>0.0014000000000000123</v>
      </c>
      <c r="Q63" s="219">
        <f t="shared" ref="Q63:AR63" si="14">Q62-Q52</f>
        <v>0.003999999999999976</v>
      </c>
      <c r="R63" s="220">
        <f t="shared" si="14"/>
        <v>2.6739999999999995</v>
      </c>
      <c r="S63" s="220">
        <f t="shared" si="14"/>
        <v>13.225000000000009</v>
      </c>
      <c r="T63" s="220">
        <f t="shared" si="14"/>
        <v>27.869</v>
      </c>
      <c r="U63" s="221">
        <f t="shared" si="14"/>
        <v>48.565800000000024</v>
      </c>
      <c r="V63" s="220">
        <f t="shared" si="14"/>
        <v>84.76910000000004</v>
      </c>
      <c r="W63" s="220">
        <f t="shared" si="14"/>
        <v>51.575500000000034</v>
      </c>
      <c r="X63" s="220">
        <f t="shared" si="14"/>
        <v>175.4094</v>
      </c>
      <c r="Y63" s="220">
        <f t="shared" si="14"/>
        <v>822.2360999999999</v>
      </c>
      <c r="Z63" s="221">
        <f t="shared" si="14"/>
        <v>1463.0623</v>
      </c>
      <c r="AA63" s="220">
        <f t="shared" si="14"/>
        <v>1133.6337000000003</v>
      </c>
      <c r="AB63" s="220">
        <f t="shared" si="14"/>
        <v>1167.4959999999996</v>
      </c>
      <c r="AC63" s="220">
        <f t="shared" si="14"/>
        <v>1501.9802999999997</v>
      </c>
      <c r="AD63" s="220">
        <f t="shared" si="14"/>
        <v>2086.4968999999996</v>
      </c>
      <c r="AE63" s="221">
        <f t="shared" si="14"/>
        <v>2958.9565000000002</v>
      </c>
      <c r="AF63" s="220">
        <f t="shared" si="14"/>
        <v>3425.8800999999994</v>
      </c>
      <c r="AG63" s="220">
        <f t="shared" si="14"/>
        <v>2866.5513</v>
      </c>
      <c r="AH63" s="220">
        <f t="shared" si="14"/>
        <v>3812.5671999999995</v>
      </c>
      <c r="AI63" s="220">
        <f t="shared" si="14"/>
        <v>2887.6991</v>
      </c>
      <c r="AJ63" s="221">
        <f t="shared" si="14"/>
        <v>3739.697</v>
      </c>
      <c r="AK63" s="236">
        <f t="shared" si="14"/>
        <v>4854.435299999997</v>
      </c>
      <c r="AL63" s="236">
        <f t="shared" si="14"/>
        <v>4537.900600000001</v>
      </c>
      <c r="AM63" s="236">
        <f t="shared" si="14"/>
        <v>3943.749399999997</v>
      </c>
      <c r="AN63" s="236">
        <f t="shared" si="14"/>
        <v>5074.3991000000005</v>
      </c>
      <c r="AO63" s="225">
        <f t="shared" si="14"/>
        <v>6700.630000000001</v>
      </c>
      <c r="AP63" s="236">
        <f t="shared" si="14"/>
        <v>4448.603999999999</v>
      </c>
      <c r="AQ63" s="236">
        <f t="shared" si="14"/>
        <v>4921.3499999999985</v>
      </c>
      <c r="AR63" s="236">
        <f t="shared" si="14"/>
        <v>10358.25</v>
      </c>
      <c r="AS63" s="236" t="s">
        <v>287</v>
      </c>
      <c r="AT63" s="226"/>
      <c r="BO63" s="227" t="str">
        <f t="shared" si="6"/>
        <v>EX - IM</v>
      </c>
      <c r="BP63" s="123"/>
      <c r="CT63" s="62">
        <v>2006</v>
      </c>
      <c r="CU63" s="235">
        <v>10.171880121895711</v>
      </c>
      <c r="CV63" s="75">
        <f>НАСТРОЙКА!DR147</f>
        <v>8.444181419843636</v>
      </c>
      <c r="DI63" s="62">
        <v>2006</v>
      </c>
      <c r="DJ63" s="142">
        <v>12974.7434</v>
      </c>
      <c r="DK63" s="66">
        <v>26917.2037</v>
      </c>
      <c r="DZ63" s="215">
        <v>2009</v>
      </c>
      <c r="EA63" s="216">
        <f t="shared" si="5"/>
        <v>2.1259703026753782</v>
      </c>
      <c r="EB63" s="75"/>
    </row>
    <row r="64" ht="17.5" customHeight="1" spans="9:132" x14ac:dyDescent="0.25">
      <c r="I64" s="31" t="s">
        <v>280</v>
      </c>
      <c r="J64" s="217" t="s">
        <v>312</v>
      </c>
      <c r="K64" s="119" t="s">
        <v>313</v>
      </c>
      <c r="L64" s="119"/>
      <c r="M64" s="119"/>
      <c r="N64" s="119"/>
      <c r="O64" s="218" t="s">
        <v>283</v>
      </c>
      <c r="P64" s="219">
        <v>0.0043</v>
      </c>
      <c r="Q64" s="219">
        <v>0.0319</v>
      </c>
      <c r="R64" s="220">
        <v>0.5655</v>
      </c>
      <c r="S64" s="220">
        <v>5.2125</v>
      </c>
      <c r="T64" s="220">
        <v>4.852</v>
      </c>
      <c r="U64" s="221">
        <v>0</v>
      </c>
      <c r="V64" s="220">
        <v>11.9298</v>
      </c>
      <c r="W64" s="220">
        <v>0</v>
      </c>
      <c r="X64" s="220">
        <v>56.9411</v>
      </c>
      <c r="Y64" s="220">
        <v>0</v>
      </c>
      <c r="Z64" s="221">
        <v>0</v>
      </c>
      <c r="AA64" s="220">
        <v>-40.0226</v>
      </c>
      <c r="AB64" s="220">
        <v>-1.707</v>
      </c>
      <c r="AC64" s="220">
        <v>-107.4624</v>
      </c>
      <c r="AD64" s="220">
        <v>-96.1435</v>
      </c>
      <c r="AE64" s="221">
        <v>-126.0953</v>
      </c>
      <c r="AF64" s="220">
        <v>-17.1794</v>
      </c>
      <c r="AG64" s="220">
        <v>378.2842</v>
      </c>
      <c r="AH64" s="220">
        <v>-605.3455</v>
      </c>
      <c r="AI64" s="220">
        <v>-694.862</v>
      </c>
      <c r="AJ64" s="221">
        <v>-418.459</v>
      </c>
      <c r="AK64" s="224">
        <v>0</v>
      </c>
      <c r="AL64" s="224">
        <v>0</v>
      </c>
      <c r="AM64" s="224">
        <v>0</v>
      </c>
      <c r="AN64" s="224">
        <v>-317.8</v>
      </c>
      <c r="AO64" s="225">
        <v>-450.2</v>
      </c>
      <c r="AP64" s="224">
        <v>-67.02</v>
      </c>
      <c r="AQ64" s="224">
        <v>-174.6</v>
      </c>
      <c r="AR64" s="224">
        <v>573.33</v>
      </c>
      <c r="AS64" s="224"/>
      <c r="AT64" s="226"/>
      <c r="BO64" s="227" t="str">
        <f t="shared" si="6"/>
        <v>STR</v>
      </c>
      <c r="BP64" s="123"/>
      <c r="CT64" s="62">
        <v>2007</v>
      </c>
      <c r="CU64" s="235">
        <v>10.996054426330467</v>
      </c>
      <c r="CV64" s="75">
        <f>НАСТРОЙКА!DR148</f>
        <v>9.446505754379075</v>
      </c>
      <c r="DI64" s="62">
        <v>2007</v>
      </c>
      <c r="DJ64" s="142">
        <v>16031.7398</v>
      </c>
      <c r="DK64" s="66">
        <v>33247.5132</v>
      </c>
      <c r="DZ64" s="215">
        <v>2010</v>
      </c>
      <c r="EA64" s="216">
        <f t="shared" si="5"/>
        <v>2.242898669322524</v>
      </c>
      <c r="EB64" s="75"/>
    </row>
    <row r="65" ht="17.5" customHeight="1" spans="9:132" x14ac:dyDescent="0.25">
      <c r="I65" s="31" t="s">
        <v>280</v>
      </c>
      <c r="J65" s="217" t="s">
        <v>314</v>
      </c>
      <c r="K65" s="119" t="s">
        <v>315</v>
      </c>
      <c r="L65" s="119"/>
      <c r="M65" s="119"/>
      <c r="N65" s="119"/>
      <c r="O65" s="218" t="s">
        <v>283</v>
      </c>
      <c r="P65" s="219">
        <v>0.6437999999999999</v>
      </c>
      <c r="Q65" s="219">
        <v>1.3981000000000001</v>
      </c>
      <c r="R65" s="220">
        <v>19.006000000000004</v>
      </c>
      <c r="S65" s="220">
        <v>171.50900000000001</v>
      </c>
      <c r="T65" s="220">
        <v>610.838</v>
      </c>
      <c r="U65" s="241">
        <v>1428.5209000000002</v>
      </c>
      <c r="V65" s="242">
        <v>2007.8252000000007</v>
      </c>
      <c r="W65" s="242">
        <v>2342.5136999999995</v>
      </c>
      <c r="X65" s="242">
        <v>2629.6229</v>
      </c>
      <c r="Y65" s="242">
        <v>4823.232900000001</v>
      </c>
      <c r="Z65" s="241">
        <v>7305.6466</v>
      </c>
      <c r="AA65" s="242">
        <v>8943.582600000002</v>
      </c>
      <c r="AB65" s="242">
        <v>10819.2123</v>
      </c>
      <c r="AC65" s="242">
        <v>13208.2338</v>
      </c>
      <c r="AD65" s="242">
        <v>17027.1909</v>
      </c>
      <c r="AE65" s="241">
        <v>21609.7655</v>
      </c>
      <c r="AF65" s="242">
        <v>26917.2014</v>
      </c>
      <c r="AG65" s="242">
        <v>33247.5132</v>
      </c>
      <c r="AH65" s="242">
        <v>41276.8492</v>
      </c>
      <c r="AI65" s="220">
        <v>38807.219</v>
      </c>
      <c r="AJ65" s="221">
        <v>46308.541</v>
      </c>
      <c r="AK65" s="224">
        <v>60282.5404</v>
      </c>
      <c r="AL65" s="224">
        <v>68163.88309999999</v>
      </c>
      <c r="AM65" s="224">
        <v>73133.8951</v>
      </c>
      <c r="AN65" s="224">
        <v>79058.48</v>
      </c>
      <c r="AO65" s="225">
        <v>83094.3</v>
      </c>
      <c r="AP65" s="224">
        <v>86014.2</v>
      </c>
      <c r="AQ65" s="224">
        <v>92101.34</v>
      </c>
      <c r="AR65" s="224">
        <v>103875.8</v>
      </c>
      <c r="AS65" s="224" t="s">
        <v>287</v>
      </c>
      <c r="AT65" s="226"/>
      <c r="BO65" s="227" t="str">
        <f t="shared" si="6"/>
        <v>^WWP</v>
      </c>
      <c r="BP65" s="123"/>
      <c r="CT65" s="62">
        <v>2008</v>
      </c>
      <c r="CU65" s="235">
        <v>12.382630991276981</v>
      </c>
      <c r="CV65" s="75">
        <f>НАСТРОЙКА!DR149</f>
        <v>10.701001718560617</v>
      </c>
      <c r="DI65" s="62">
        <v>2008</v>
      </c>
      <c r="DJ65" s="142">
        <v>19966.9547</v>
      </c>
      <c r="DK65" s="66">
        <v>41276.8492</v>
      </c>
      <c r="DZ65" s="215">
        <v>2011</v>
      </c>
      <c r="EA65" s="216">
        <f t="shared" si="5"/>
        <v>2.3954157788364556</v>
      </c>
      <c r="EB65" s="75"/>
    </row>
    <row r="66" ht="17.5" customHeight="1" spans="9:132" x14ac:dyDescent="0.25">
      <c r="I66" s="195" t="s">
        <v>292</v>
      </c>
      <c r="J66" s="217" t="s">
        <v>316</v>
      </c>
      <c r="K66" s="119" t="s">
        <v>317</v>
      </c>
      <c r="L66" s="119"/>
      <c r="M66" s="119"/>
      <c r="N66" s="119"/>
      <c r="O66" s="218" t="s">
        <v>283</v>
      </c>
      <c r="P66" s="219">
        <f t="shared" ref="P66:AR66" si="15">P53+P54</f>
        <v>0.0446</v>
      </c>
      <c r="Q66" s="219">
        <f t="shared" si="15"/>
        <v>0.051100000000000007</v>
      </c>
      <c r="R66" s="220">
        <f t="shared" si="15"/>
        <v>0.33499999999999996</v>
      </c>
      <c r="S66" s="220">
        <f t="shared" si="15"/>
        <v>15.556999999999999</v>
      </c>
      <c r="T66" s="220">
        <f t="shared" si="15"/>
        <v>47.898</v>
      </c>
      <c r="U66" s="241">
        <f t="shared" si="15"/>
        <v>108.89559999999999</v>
      </c>
      <c r="V66" s="242">
        <f t="shared" si="15"/>
        <v>179.61600000000004</v>
      </c>
      <c r="W66" s="242">
        <f t="shared" si="15"/>
        <v>214.59470000000002</v>
      </c>
      <c r="X66" s="242">
        <f t="shared" si="15"/>
        <v>246.36329999999998</v>
      </c>
      <c r="Y66" s="242">
        <f t="shared" si="15"/>
        <v>495.3602</v>
      </c>
      <c r="Z66" s="241">
        <f t="shared" si="15"/>
        <v>833.4475</v>
      </c>
      <c r="AA66" s="242">
        <f t="shared" si="15"/>
        <v>1097.4893</v>
      </c>
      <c r="AB66" s="242">
        <f t="shared" si="15"/>
        <v>1249.3</v>
      </c>
      <c r="AC66" s="242">
        <f t="shared" si="15"/>
        <v>1588.5</v>
      </c>
      <c r="AD66" s="242">
        <f t="shared" si="15"/>
        <v>2168.4</v>
      </c>
      <c r="AE66" s="241">
        <f t="shared" si="15"/>
        <v>3092.1</v>
      </c>
      <c r="AF66" s="242">
        <f t="shared" si="15"/>
        <v>3939.8599999999997</v>
      </c>
      <c r="AG66" s="242">
        <f t="shared" si="15"/>
        <v>4763.0419999999995</v>
      </c>
      <c r="AH66" s="242">
        <f t="shared" si="15"/>
        <v>6094.150799999999</v>
      </c>
      <c r="AI66" s="220">
        <f t="shared" si="15"/>
        <v>4975.894899999999</v>
      </c>
      <c r="AJ66" s="221">
        <f t="shared" si="15"/>
        <v>6268.468</v>
      </c>
      <c r="AK66" s="236">
        <f t="shared" si="15"/>
        <v>8198.4096</v>
      </c>
      <c r="AL66" s="236">
        <f t="shared" si="15"/>
        <v>9167.649899999999</v>
      </c>
      <c r="AM66" s="236">
        <f t="shared" si="15"/>
        <v>9264.445199999998</v>
      </c>
      <c r="AN66" s="236">
        <f t="shared" si="15"/>
        <v>10292.145999999999</v>
      </c>
      <c r="AO66" s="225">
        <f t="shared" si="15"/>
        <v>8466.8596</v>
      </c>
      <c r="AP66" s="236">
        <f t="shared" si="15"/>
        <v>8538.92</v>
      </c>
      <c r="AQ66" s="236">
        <f t="shared" si="15"/>
        <v>8945.76</v>
      </c>
      <c r="AR66" s="236">
        <f t="shared" si="15"/>
        <v>11076.27</v>
      </c>
      <c r="AT66" s="226"/>
      <c r="BO66" s="227" t="str">
        <f t="shared" si="6"/>
        <v>CN1</v>
      </c>
      <c r="BP66" s="123"/>
      <c r="CT66" s="62">
        <v>2009</v>
      </c>
      <c r="CU66" s="235">
        <v>13.714036448863869</v>
      </c>
      <c r="CV66" s="75">
        <f>НАСТРОЙКА!DR150</f>
        <v>11.642689869793951</v>
      </c>
      <c r="DI66" s="62">
        <v>2009</v>
      </c>
      <c r="DJ66" s="142">
        <v>20986.036</v>
      </c>
      <c r="DK66" s="66">
        <v>38807.270899999996</v>
      </c>
      <c r="DZ66" s="215">
        <v>2012</v>
      </c>
      <c r="EA66" s="216">
        <f t="shared" si="5"/>
        <v>2.5846536253645356</v>
      </c>
      <c r="EB66" s="75"/>
    </row>
    <row r="67" ht="17.5" customHeight="1" spans="9:132" x14ac:dyDescent="0.25">
      <c r="I67" s="195" t="s">
        <v>292</v>
      </c>
      <c r="J67" s="217" t="s">
        <v>318</v>
      </c>
      <c r="K67" s="243"/>
      <c r="L67" s="243"/>
      <c r="M67" s="243"/>
      <c r="N67" s="244" t="s">
        <v>319</v>
      </c>
      <c r="O67" s="245" t="s">
        <v>283</v>
      </c>
      <c r="P67" s="219">
        <f>P54+P55</f>
        <v>1.2933</v>
      </c>
      <c r="Q67" s="219">
        <f t="shared" ref="Q67:AM67" si="16">Q51-Q56+Q66</f>
        <v>1.3981000000000001</v>
      </c>
      <c r="R67" s="220">
        <f t="shared" si="16"/>
        <v>19.006000000000004</v>
      </c>
      <c r="S67" s="220">
        <f t="shared" si="16"/>
        <v>171.509</v>
      </c>
      <c r="T67" s="220">
        <f t="shared" si="16"/>
        <v>610.8380000000001</v>
      </c>
      <c r="U67" s="246">
        <f t="shared" si="16"/>
        <v>1428.5209</v>
      </c>
      <c r="V67" s="247">
        <f t="shared" si="16"/>
        <v>2007.8252000000002</v>
      </c>
      <c r="W67" s="247">
        <f t="shared" si="16"/>
        <v>2342.5137</v>
      </c>
      <c r="X67" s="247">
        <f t="shared" si="16"/>
        <v>2629.6229</v>
      </c>
      <c r="Y67" s="247">
        <f t="shared" si="16"/>
        <v>4823.2329</v>
      </c>
      <c r="Z67" s="248">
        <f t="shared" si="16"/>
        <v>7305.6466</v>
      </c>
      <c r="AA67" s="249">
        <f t="shared" si="16"/>
        <v>8943.5826</v>
      </c>
      <c r="AB67" s="249">
        <f t="shared" si="16"/>
        <v>10819.270899999998</v>
      </c>
      <c r="AC67" s="249">
        <f t="shared" si="16"/>
        <v>13208.250299999998</v>
      </c>
      <c r="AD67" s="249">
        <f t="shared" si="16"/>
        <v>17027.166999999998</v>
      </c>
      <c r="AE67" s="249">
        <f t="shared" si="16"/>
        <v>21609.765799999997</v>
      </c>
      <c r="AF67" s="249">
        <f t="shared" si="16"/>
        <v>26917.2037</v>
      </c>
      <c r="AG67" s="249">
        <f t="shared" si="16"/>
        <v>33247.5132</v>
      </c>
      <c r="AH67" s="249">
        <f t="shared" si="16"/>
        <v>41276.8492</v>
      </c>
      <c r="AI67" s="249">
        <f t="shared" si="16"/>
        <v>38807.270899999996</v>
      </c>
      <c r="AJ67" s="249">
        <f t="shared" si="16"/>
        <v>46308.53100000001</v>
      </c>
      <c r="AK67" s="250">
        <f t="shared" si="16"/>
        <v>60282.540400000005</v>
      </c>
      <c r="AL67" s="250">
        <f t="shared" si="16"/>
        <v>68163.8831</v>
      </c>
      <c r="AM67" s="250">
        <f t="shared" si="16"/>
        <v>73133.89509999998</v>
      </c>
      <c r="AN67" s="250">
        <v>79058</v>
      </c>
      <c r="AO67" s="251">
        <v>83094</v>
      </c>
      <c r="AP67" s="250">
        <v>86014</v>
      </c>
      <c r="AQ67" s="252">
        <v>92101</v>
      </c>
      <c r="AR67" s="252">
        <v>103876</v>
      </c>
      <c r="AT67" s="226"/>
      <c r="BJ67" s="152"/>
      <c r="BK67" s="152"/>
      <c r="BN67" s="253"/>
      <c r="BO67" s="227" t="str">
        <f t="shared" si="6"/>
        <v>WWP1</v>
      </c>
      <c r="BP67" s="254" t="s">
        <v>320</v>
      </c>
      <c r="CT67" s="62">
        <v>2010</v>
      </c>
      <c r="CU67" s="235">
        <v>14.629133800462956</v>
      </c>
      <c r="CV67" s="75">
        <f>НАСТРОЙКА!DR151</f>
        <v>12.664918040361862</v>
      </c>
      <c r="DI67" s="62">
        <v>2010</v>
      </c>
      <c r="DJ67" s="142">
        <v>23617.623</v>
      </c>
      <c r="DK67" s="66">
        <v>46308.53100000001</v>
      </c>
      <c r="DZ67" s="215">
        <v>2013</v>
      </c>
      <c r="EA67" s="216">
        <f t="shared" si="5"/>
        <v>2.7190556138834916</v>
      </c>
      <c r="EB67" s="75"/>
    </row>
    <row r="68" ht="18" customHeight="1" spans="9:132" x14ac:dyDescent="0.25">
      <c r="I68" s="195" t="s">
        <v>292</v>
      </c>
      <c r="J68" s="217" t="s">
        <v>321</v>
      </c>
      <c r="K68" s="199"/>
      <c r="L68" s="199"/>
      <c r="M68" s="199"/>
      <c r="N68" s="255" t="s">
        <v>319</v>
      </c>
      <c r="O68" s="256" t="s">
        <v>283</v>
      </c>
      <c r="P68" s="219">
        <f>P55+P56</f>
        <v>1.9689999999999999</v>
      </c>
      <c r="Q68" s="219">
        <f t="shared" ref="Q68:AR68" si="17">Q69+Q70+Q71+Q61+Q63+Q64</f>
        <v>1.3979000000000001</v>
      </c>
      <c r="R68" s="220">
        <f t="shared" si="17"/>
        <v>19.0055</v>
      </c>
      <c r="S68" s="220">
        <f t="shared" si="17"/>
        <v>171.5085</v>
      </c>
      <c r="T68" s="220">
        <f t="shared" si="17"/>
        <v>610.7429999999999</v>
      </c>
      <c r="U68" s="257">
        <f t="shared" si="17"/>
        <v>1428.5221000000001</v>
      </c>
      <c r="V68" s="258">
        <f t="shared" si="17"/>
        <v>2007.8251</v>
      </c>
      <c r="W68" s="258">
        <f t="shared" si="17"/>
        <v>2342.5144</v>
      </c>
      <c r="X68" s="258">
        <f t="shared" si="17"/>
        <v>2629.6228</v>
      </c>
      <c r="Y68" s="258">
        <f t="shared" si="17"/>
        <v>4823.2337</v>
      </c>
      <c r="Z68" s="259">
        <f t="shared" si="17"/>
        <v>7305.646999999999</v>
      </c>
      <c r="AA68" s="260">
        <f t="shared" si="17"/>
        <v>8943.5821</v>
      </c>
      <c r="AB68" s="260">
        <f t="shared" si="17"/>
        <v>10819.204499999998</v>
      </c>
      <c r="AC68" s="260">
        <f t="shared" si="17"/>
        <v>13208.205499999998</v>
      </c>
      <c r="AD68" s="260">
        <f t="shared" si="17"/>
        <v>17027.1544</v>
      </c>
      <c r="AE68" s="260">
        <f t="shared" si="17"/>
        <v>21609.740899999997</v>
      </c>
      <c r="AF68" s="260">
        <f t="shared" si="17"/>
        <v>26917.168699999995</v>
      </c>
      <c r="AG68" s="260">
        <f t="shared" si="17"/>
        <v>33247.5132</v>
      </c>
      <c r="AH68" s="260">
        <f t="shared" si="17"/>
        <v>41276.8492</v>
      </c>
      <c r="AI68" s="260">
        <f t="shared" si="17"/>
        <v>38807.3255</v>
      </c>
      <c r="AJ68" s="260">
        <f t="shared" si="17"/>
        <v>46308.53999999999</v>
      </c>
      <c r="AK68" s="260">
        <f t="shared" si="17"/>
        <v>60282.5404</v>
      </c>
      <c r="AL68" s="260">
        <f t="shared" si="17"/>
        <v>68163.8831</v>
      </c>
      <c r="AM68" s="260">
        <f t="shared" si="17"/>
        <v>73133.8951</v>
      </c>
      <c r="AN68" s="260">
        <f t="shared" si="17"/>
        <v>79058.47009999999</v>
      </c>
      <c r="AO68" s="261">
        <f t="shared" si="17"/>
        <v>83094.34700000001</v>
      </c>
      <c r="AP68" s="262">
        <f t="shared" si="17"/>
        <v>86014.203</v>
      </c>
      <c r="AQ68" s="262">
        <f t="shared" si="17"/>
        <v>92101.487</v>
      </c>
      <c r="AR68" s="262">
        <f t="shared" si="17"/>
        <v>103875.77600000001</v>
      </c>
      <c r="AT68" s="226"/>
      <c r="BJ68" s="182"/>
      <c r="BK68" s="182"/>
      <c r="BN68" s="263"/>
      <c r="BO68" s="227" t="str">
        <f t="shared" si="6"/>
        <v>WWP2</v>
      </c>
      <c r="BP68" s="254" t="s">
        <v>322</v>
      </c>
      <c r="CT68" s="62">
        <v>2011</v>
      </c>
      <c r="CU68" s="235">
        <v>17.36421630879255</v>
      </c>
      <c r="CV68" s="75">
        <f>НАСТРОЙКА!DR152</f>
        <v>13.437478040823935</v>
      </c>
      <c r="DI68" s="62">
        <v>2011</v>
      </c>
      <c r="DJ68" s="142">
        <v>29939.4635</v>
      </c>
      <c r="DK68" s="66">
        <v>60282.540400000005</v>
      </c>
      <c r="DZ68" s="215">
        <v>2014</v>
      </c>
      <c r="EA68" s="216">
        <f t="shared" si="5"/>
        <v>2.7734367261611617</v>
      </c>
      <c r="EB68" s="75"/>
    </row>
    <row r="69" ht="17.5" customHeight="1" spans="9:145" x14ac:dyDescent="0.25">
      <c r="I69" s="31" t="s">
        <v>323</v>
      </c>
      <c r="J69" s="217" t="s">
        <v>324</v>
      </c>
      <c r="K69" s="119" t="s">
        <v>325</v>
      </c>
      <c r="L69" s="119"/>
      <c r="M69" s="119"/>
      <c r="N69" s="119"/>
      <c r="O69" s="218" t="s">
        <v>283</v>
      </c>
      <c r="P69" s="219">
        <v>0.305</v>
      </c>
      <c r="Q69" s="219">
        <v>0.565</v>
      </c>
      <c r="R69" s="220">
        <v>6.208</v>
      </c>
      <c r="S69" s="220">
        <v>68.019</v>
      </c>
      <c r="T69" s="220">
        <v>267.112</v>
      </c>
      <c r="U69" s="221">
        <v>719.7935</v>
      </c>
      <c r="V69" s="222">
        <v>1007.827</v>
      </c>
      <c r="W69" s="220">
        <v>1235.2137</v>
      </c>
      <c r="X69" s="220">
        <v>1462.284</v>
      </c>
      <c r="Y69" s="220">
        <v>2526.1679</v>
      </c>
      <c r="Z69" s="221">
        <v>3295.2373</v>
      </c>
      <c r="AA69" s="220">
        <v>4318.1211</v>
      </c>
      <c r="AB69" s="220">
        <v>5409.1577</v>
      </c>
      <c r="AC69" s="220">
        <v>6537.4015</v>
      </c>
      <c r="AD69" s="220">
        <v>8438.4841</v>
      </c>
      <c r="AE69" s="241">
        <v>10652.8578</v>
      </c>
      <c r="AF69" s="220">
        <v>12974.7434</v>
      </c>
      <c r="AG69" s="220">
        <v>16031.7398</v>
      </c>
      <c r="AH69" s="220">
        <v>19966.9547</v>
      </c>
      <c r="AI69" s="220">
        <v>20986.036</v>
      </c>
      <c r="AJ69" s="221">
        <v>23617.623</v>
      </c>
      <c r="AK69" s="224">
        <v>29939.4635</v>
      </c>
      <c r="AL69" s="224">
        <v>34492.3617</v>
      </c>
      <c r="AM69" s="224">
        <v>38465.140799999994</v>
      </c>
      <c r="AN69" s="224">
        <v>41954.83</v>
      </c>
      <c r="AO69" s="225">
        <v>43242.32</v>
      </c>
      <c r="AP69" s="224">
        <v>45317.05</v>
      </c>
      <c r="AQ69" s="224">
        <v>48135.66</v>
      </c>
      <c r="AR69" s="224">
        <v>50851.05</v>
      </c>
      <c r="AS69" s="224" t="s">
        <v>287</v>
      </c>
      <c r="AT69" s="226"/>
      <c r="BO69" s="227" t="str">
        <f t="shared" si="6"/>
        <v>YD</v>
      </c>
      <c r="BP69" s="123" t="s">
        <v>326</v>
      </c>
      <c r="CT69" s="62">
        <v>2012</v>
      </c>
      <c r="CU69" s="235">
        <v>18.5401251106608</v>
      </c>
      <c r="CV69" s="75">
        <f>НАСТРОЙКА!DR153</f>
        <v>14.321664095910151</v>
      </c>
      <c r="DI69" s="62">
        <v>2012</v>
      </c>
      <c r="DJ69" s="142">
        <v>34492.3617</v>
      </c>
      <c r="DK69" s="66">
        <v>68163.8831</v>
      </c>
      <c r="DZ69" s="215">
        <v>2015</v>
      </c>
      <c r="EA69" s="216">
        <f t="shared" si="5"/>
        <v>2.5127336739020127</v>
      </c>
      <c r="EB69" s="75"/>
      <c r="EO69" s="264" t="s">
        <v>279</v>
      </c>
    </row>
    <row r="70" ht="17.5" customHeight="1" spans="9:132" x14ac:dyDescent="0.25">
      <c r="I70" s="31" t="s">
        <v>323</v>
      </c>
      <c r="J70" s="217" t="s">
        <v>327</v>
      </c>
      <c r="K70" s="119" t="s">
        <v>328</v>
      </c>
      <c r="L70" s="119"/>
      <c r="M70" s="119"/>
      <c r="N70" s="119"/>
      <c r="O70" s="218" t="s">
        <v>283</v>
      </c>
      <c r="P70" s="219">
        <v>0.134</v>
      </c>
      <c r="Q70" s="219">
        <v>0.2309</v>
      </c>
      <c r="R70" s="220">
        <v>2.634</v>
      </c>
      <c r="S70" s="220">
        <v>29.758</v>
      </c>
      <c r="T70" s="220">
        <v>136.682</v>
      </c>
      <c r="U70" s="221">
        <v>272.5015</v>
      </c>
      <c r="V70" s="220">
        <v>391.3813</v>
      </c>
      <c r="W70" s="220">
        <v>493.5735</v>
      </c>
      <c r="X70" s="220">
        <v>492.6206</v>
      </c>
      <c r="Y70" s="220">
        <v>703.2091</v>
      </c>
      <c r="Z70" s="221">
        <v>1102.4971</v>
      </c>
      <c r="AA70" s="220">
        <v>1469.9576</v>
      </c>
      <c r="AB70" s="220">
        <v>1942.4418</v>
      </c>
      <c r="AC70" s="220">
        <v>2366.3687</v>
      </c>
      <c r="AD70" s="242">
        <v>2889.8145</v>
      </c>
      <c r="AE70" s="241">
        <v>3645.9185</v>
      </c>
      <c r="AF70" s="220">
        <v>4680.4097</v>
      </c>
      <c r="AG70" s="220">
        <v>5750.9641</v>
      </c>
      <c r="AH70" s="220">
        <v>7359.8442</v>
      </c>
      <c r="AI70" s="220">
        <v>8066.7</v>
      </c>
      <c r="AJ70" s="221">
        <v>8671.323</v>
      </c>
      <c r="AK70" s="224">
        <v>10527.4218</v>
      </c>
      <c r="AL70" s="224">
        <v>12155.9717</v>
      </c>
      <c r="AM70" s="224">
        <v>13551.9461</v>
      </c>
      <c r="AN70" s="224">
        <v>14173.19</v>
      </c>
      <c r="AO70" s="225">
        <v>14684.12</v>
      </c>
      <c r="AP70" s="224">
        <v>15728.49</v>
      </c>
      <c r="AQ70" s="224">
        <v>16649.19</v>
      </c>
      <c r="AR70" s="224">
        <v>18049.3</v>
      </c>
      <c r="AT70" s="226"/>
      <c r="BO70" s="227" t="str">
        <f t="shared" si="6"/>
        <v>YG</v>
      </c>
      <c r="BP70" s="123" t="s">
        <v>326</v>
      </c>
      <c r="CT70" s="62">
        <v>2013</v>
      </c>
      <c r="CU70" s="235">
        <v>19.653563919076568</v>
      </c>
      <c r="CV70" s="75">
        <f>НАСТРОЙКА!DR154</f>
        <v>15.245411430096356</v>
      </c>
      <c r="DI70" s="62">
        <v>2013</v>
      </c>
      <c r="DJ70" s="142">
        <v>38465.140799999994</v>
      </c>
      <c r="DK70" s="66">
        <v>73133.89509999998</v>
      </c>
      <c r="DZ70" s="215">
        <v>2016</v>
      </c>
      <c r="EA70" s="216">
        <f t="shared" si="5"/>
        <v>2.4649917340978744</v>
      </c>
      <c r="EB70" s="75"/>
    </row>
    <row r="71" ht="17.5" customHeight="1" spans="9:132" x14ac:dyDescent="0.25">
      <c r="I71" s="31" t="s">
        <v>323</v>
      </c>
      <c r="J71" s="217" t="s">
        <v>329</v>
      </c>
      <c r="K71" s="119" t="s">
        <v>330</v>
      </c>
      <c r="L71" s="119"/>
      <c r="M71" s="119"/>
      <c r="N71" s="119"/>
      <c r="O71" s="218" t="s">
        <v>283</v>
      </c>
      <c r="P71" s="221">
        <v>0.005</v>
      </c>
      <c r="Q71" s="220">
        <v>0.05910000000000004</v>
      </c>
      <c r="R71" s="220">
        <v>0.342</v>
      </c>
      <c r="S71" s="220">
        <v>8.977</v>
      </c>
      <c r="T71" s="220">
        <v>18.257</v>
      </c>
      <c r="U71" s="221">
        <v>24.2993</v>
      </c>
      <c r="V71" s="220">
        <v>36.6615</v>
      </c>
      <c r="W71" s="220">
        <v>47.3504</v>
      </c>
      <c r="X71" s="220">
        <v>48.8855</v>
      </c>
      <c r="Y71" s="220">
        <v>56.3011</v>
      </c>
      <c r="Z71" s="221">
        <v>79.1165</v>
      </c>
      <c r="AA71" s="220">
        <v>98.7819</v>
      </c>
      <c r="AB71" s="220">
        <v>132.516</v>
      </c>
      <c r="AC71" s="220">
        <v>154.9174</v>
      </c>
      <c r="AD71" s="242">
        <v>149.551</v>
      </c>
      <c r="AE71" s="221">
        <v>139.3729</v>
      </c>
      <c r="AF71" s="220">
        <v>154.5876</v>
      </c>
      <c r="AG71" s="220">
        <v>185.8756</v>
      </c>
      <c r="AH71" s="220">
        <v>216.7125</v>
      </c>
      <c r="AI71" s="220">
        <v>216.9964</v>
      </c>
      <c r="AJ71" s="221">
        <v>225.726</v>
      </c>
      <c r="AK71" s="224">
        <v>225.3324</v>
      </c>
      <c r="AL71" s="224">
        <v>247.44670000000002</v>
      </c>
      <c r="AM71" s="224">
        <v>257.1967</v>
      </c>
      <c r="AN71" s="224">
        <v>290.191</v>
      </c>
      <c r="AO71" s="225">
        <v>314.087</v>
      </c>
      <c r="AP71" s="224">
        <v>344.229</v>
      </c>
      <c r="AQ71" s="224">
        <v>380.678</v>
      </c>
      <c r="AR71" s="224">
        <v>432.626</v>
      </c>
      <c r="AS71" s="224"/>
      <c r="AT71" s="226"/>
      <c r="BO71" s="227" t="e">
        <f>#REF!</f>
        <v>#REF!</v>
      </c>
      <c r="BP71" s="123"/>
      <c r="CT71" s="62">
        <v>2014</v>
      </c>
      <c r="CU71" s="235">
        <v>21.01627695270109</v>
      </c>
      <c r="CV71" s="75">
        <f>НАСТРОЙКА!DR155</f>
        <v>17.31878738458946</v>
      </c>
      <c r="DI71" s="62">
        <v>2014</v>
      </c>
      <c r="DJ71" s="142">
        <v>41954.83</v>
      </c>
      <c r="DK71" s="66">
        <v>79058</v>
      </c>
      <c r="DZ71" s="215">
        <v>2017</v>
      </c>
      <c r="EA71" s="216">
        <f t="shared" si="5"/>
        <v>2.546336461323104</v>
      </c>
      <c r="EB71" s="75"/>
    </row>
    <row r="72" ht="17.5" customHeight="1" spans="10:132" x14ac:dyDescent="0.25">
      <c r="J72" s="217"/>
      <c r="K72" s="119"/>
      <c r="L72" s="119"/>
      <c r="M72" s="119"/>
      <c r="N72" s="119"/>
      <c r="O72" s="218"/>
      <c r="P72" s="221"/>
      <c r="Q72" s="220"/>
      <c r="R72" s="220"/>
      <c r="S72" s="220"/>
      <c r="T72" s="220"/>
      <c r="U72" s="221"/>
      <c r="V72" s="220"/>
      <c r="W72" s="220"/>
      <c r="X72" s="220"/>
      <c r="Y72" s="220"/>
      <c r="Z72" s="221"/>
      <c r="AA72" s="220"/>
      <c r="AB72" s="220"/>
      <c r="AC72" s="220"/>
      <c r="AD72" s="220"/>
      <c r="AE72" s="221"/>
      <c r="AF72" s="220"/>
      <c r="AG72" s="220"/>
      <c r="AH72" s="220"/>
      <c r="AI72" s="220"/>
      <c r="AJ72" s="221"/>
      <c r="AK72" s="220"/>
      <c r="AL72" s="220"/>
      <c r="AM72" s="220"/>
      <c r="AN72" s="220"/>
      <c r="AO72" s="225"/>
      <c r="AP72" s="232"/>
      <c r="AT72" s="226"/>
      <c r="BO72" s="227">
        <f>J72</f>
        <v>0</v>
      </c>
      <c r="BP72" s="123"/>
      <c r="CT72" s="62">
        <v>2015</v>
      </c>
      <c r="CU72" s="235">
        <v>23.908625308988828</v>
      </c>
      <c r="CV72" s="75">
        <f>НАСТРОЙКА!DR156</f>
        <v>19.5529109572015</v>
      </c>
      <c r="DI72" s="62">
        <v>2015</v>
      </c>
      <c r="DJ72" s="142">
        <v>43242.32</v>
      </c>
      <c r="DK72" s="66">
        <v>83094</v>
      </c>
      <c r="DZ72" s="215">
        <v>2018</v>
      </c>
      <c r="EA72" s="216">
        <f t="shared" si="5"/>
        <v>2.604902199933535</v>
      </c>
      <c r="EB72" s="75"/>
    </row>
    <row r="73" ht="18" customHeight="1" spans="10:132" x14ac:dyDescent="0.25">
      <c r="J73" s="217"/>
      <c r="K73" s="119"/>
      <c r="L73" s="119"/>
      <c r="M73" s="119"/>
      <c r="N73" s="119"/>
      <c r="O73" s="218"/>
      <c r="P73" s="221"/>
      <c r="Q73" s="220"/>
      <c r="R73" s="220"/>
      <c r="S73" s="220"/>
      <c r="T73" s="220"/>
      <c r="U73" s="221"/>
      <c r="V73" s="219"/>
      <c r="W73" s="219"/>
      <c r="X73" s="219"/>
      <c r="Y73" s="219"/>
      <c r="Z73" s="221"/>
      <c r="AA73" s="219"/>
      <c r="AB73" s="219"/>
      <c r="AC73" s="219"/>
      <c r="AD73" s="219"/>
      <c r="AE73" s="221"/>
      <c r="AF73" s="219"/>
      <c r="AG73" s="219"/>
      <c r="AH73" s="219"/>
      <c r="AI73" s="219"/>
      <c r="AJ73" s="221"/>
      <c r="AK73" s="219"/>
      <c r="AL73" s="219"/>
      <c r="AM73" s="219"/>
      <c r="AN73" s="219"/>
      <c r="AO73" s="225"/>
      <c r="AP73" s="265"/>
      <c r="AT73" s="226"/>
      <c r="BO73" s="227">
        <f>J73</f>
        <v>0</v>
      </c>
      <c r="BP73" s="123"/>
      <c r="CT73" s="62">
        <v>2016</v>
      </c>
      <c r="CU73" s="235">
        <v>25.541020349632802</v>
      </c>
      <c r="CV73" s="75">
        <f>НАСТРОЙКА!DR157</f>
        <v>20.60681285779466</v>
      </c>
      <c r="DI73" s="62">
        <v>2016</v>
      </c>
      <c r="DJ73" s="142">
        <v>45317.05</v>
      </c>
      <c r="DK73" s="66">
        <v>86014</v>
      </c>
      <c r="DZ73" s="215">
        <v>2019</v>
      </c>
      <c r="EA73" s="266"/>
      <c r="EB73" s="75"/>
    </row>
    <row r="74" ht="18" customHeight="1" spans="10:132" x14ac:dyDescent="0.25">
      <c r="J74" s="217"/>
      <c r="K74" s="119"/>
      <c r="L74" s="119"/>
      <c r="M74" s="119"/>
      <c r="N74" s="119"/>
      <c r="O74" s="218"/>
      <c r="P74" s="221"/>
      <c r="Q74" s="220"/>
      <c r="R74" s="220"/>
      <c r="S74" s="220"/>
      <c r="T74" s="220"/>
      <c r="U74" s="221"/>
      <c r="V74" s="267"/>
      <c r="W74" s="267"/>
      <c r="X74" s="267"/>
      <c r="Y74" s="267"/>
      <c r="Z74" s="221"/>
      <c r="AA74" s="267"/>
      <c r="AB74" s="267"/>
      <c r="AC74" s="267"/>
      <c r="AD74" s="267"/>
      <c r="AE74" s="221"/>
      <c r="AF74" s="267"/>
      <c r="AG74" s="267"/>
      <c r="AH74" s="267"/>
      <c r="AI74" s="267"/>
      <c r="AJ74" s="221"/>
      <c r="AK74" s="267"/>
      <c r="AL74" s="267"/>
      <c r="AM74" s="267"/>
      <c r="AN74" s="267"/>
      <c r="AO74" s="225"/>
      <c r="AP74" s="268"/>
      <c r="AT74" s="226"/>
      <c r="BO74" s="227">
        <f>J74</f>
        <v>0</v>
      </c>
      <c r="BP74" s="123"/>
      <c r="CT74" s="62">
        <v>2017</v>
      </c>
      <c r="CU74" s="235">
        <v>26.262932750374507</v>
      </c>
      <c r="CV74" s="75">
        <f>НАСТРОЙКА!DR158</f>
        <v>21.124043860525305</v>
      </c>
      <c r="DI74" s="62">
        <v>2017</v>
      </c>
      <c r="DJ74" s="77">
        <v>48135.66</v>
      </c>
      <c r="DK74" s="72">
        <v>92101</v>
      </c>
      <c r="DZ74" s="215">
        <v>2020</v>
      </c>
      <c r="EA74" s="269"/>
      <c r="EB74" s="75"/>
    </row>
    <row r="75" ht="18" customHeight="1" spans="10:132" x14ac:dyDescent="0.25">
      <c r="J75" s="217"/>
      <c r="K75" s="119"/>
      <c r="L75" s="119"/>
      <c r="M75" s="119"/>
      <c r="N75" s="119"/>
      <c r="O75" s="218"/>
      <c r="P75" s="221"/>
      <c r="Q75" s="220"/>
      <c r="R75" s="220"/>
      <c r="S75" s="220"/>
      <c r="T75" s="220"/>
      <c r="U75" s="221"/>
      <c r="V75" s="270"/>
      <c r="W75" s="270"/>
      <c r="X75" s="270"/>
      <c r="Y75" s="271"/>
      <c r="Z75" s="221"/>
      <c r="AA75" s="271"/>
      <c r="AB75" s="271"/>
      <c r="AC75" s="271"/>
      <c r="AD75" s="271"/>
      <c r="AE75" s="221"/>
      <c r="AF75" s="271"/>
      <c r="AG75" s="271"/>
      <c r="AH75" s="271"/>
      <c r="AI75" s="271"/>
      <c r="AJ75" s="221"/>
      <c r="AK75" s="271"/>
      <c r="AL75" s="271"/>
      <c r="AM75" s="271"/>
      <c r="AN75" s="271"/>
      <c r="AO75" s="225"/>
      <c r="AP75" s="265"/>
      <c r="AT75" s="226"/>
      <c r="BO75" s="227">
        <f>J75</f>
        <v>0</v>
      </c>
      <c r="BP75" s="123"/>
      <c r="CT75" s="62">
        <v>2018</v>
      </c>
      <c r="CU75" s="235">
        <v>27.120680464307846</v>
      </c>
      <c r="CV75" s="75">
        <f>НАСТРОЙКА!DR159</f>
        <v>22.02392812898368</v>
      </c>
      <c r="DI75" s="62">
        <v>2018</v>
      </c>
      <c r="DJ75" s="77">
        <v>50851.05</v>
      </c>
      <c r="DK75" s="72">
        <v>103876</v>
      </c>
      <c r="DZ75" s="215">
        <v>2021</v>
      </c>
      <c r="EA75" s="269"/>
      <c r="EB75" s="75"/>
    </row>
    <row r="76" ht="18" customHeight="1" spans="10:132" x14ac:dyDescent="0.25">
      <c r="J76" s="217"/>
      <c r="K76" s="119"/>
      <c r="L76" s="119"/>
      <c r="M76" s="119"/>
      <c r="N76" s="119"/>
      <c r="O76" s="218"/>
      <c r="P76" s="221"/>
      <c r="Q76" s="220"/>
      <c r="R76" s="220"/>
      <c r="S76" s="220"/>
      <c r="T76" s="220"/>
      <c r="U76" s="221"/>
      <c r="V76" s="220"/>
      <c r="W76" s="220"/>
      <c r="X76" s="220"/>
      <c r="Y76" s="220"/>
      <c r="Z76" s="221"/>
      <c r="AA76" s="220"/>
      <c r="AB76" s="220"/>
      <c r="AC76" s="220"/>
      <c r="AD76" s="220"/>
      <c r="AE76" s="221"/>
      <c r="AF76" s="220"/>
      <c r="AG76" s="220"/>
      <c r="AH76" s="220"/>
      <c r="AI76" s="220"/>
      <c r="AJ76" s="221"/>
      <c r="AK76" s="220"/>
      <c r="AL76" s="220"/>
      <c r="AM76" s="220"/>
      <c r="AN76" s="220"/>
      <c r="AO76" s="220"/>
      <c r="AP76" s="220"/>
      <c r="AQ76" s="220"/>
      <c r="AR76" s="220"/>
      <c r="AT76" s="226"/>
      <c r="BO76" s="227">
        <f>J76</f>
        <v>0</v>
      </c>
      <c r="BP76" s="123"/>
      <c r="CT76" s="62">
        <v>2019</v>
      </c>
      <c r="CU76" s="272"/>
      <c r="CV76" s="75">
        <f>НАСТРОЙКА!DR160</f>
        <v>22.693455544104783</v>
      </c>
      <c r="DI76" s="62">
        <v>2019</v>
      </c>
      <c r="DJ76" s="77"/>
      <c r="DK76" s="72"/>
      <c r="DZ76" s="215">
        <v>2022</v>
      </c>
      <c r="EA76" s="269"/>
      <c r="EB76" s="75"/>
    </row>
    <row r="77" ht="18" customHeight="1" spans="10:132" x14ac:dyDescent="0.25">
      <c r="J77" s="217"/>
      <c r="O77" s="218"/>
      <c r="P77" s="221"/>
      <c r="U77" s="221"/>
      <c r="Z77" s="221"/>
      <c r="AE77" s="221"/>
      <c r="AJ77" s="221"/>
      <c r="BO77" s="227" t="str">
        <f>J71</f>
        <v>YNК</v>
      </c>
      <c r="BP77" s="123" t="s">
        <v>326</v>
      </c>
      <c r="CT77" s="62">
        <v>2020</v>
      </c>
      <c r="CU77" s="272"/>
      <c r="CV77" s="75">
        <f>НАСТРОЙКА!DR161</f>
        <v>23.807704211320324</v>
      </c>
      <c r="DI77" s="62">
        <v>2020</v>
      </c>
      <c r="DJ77" s="77"/>
      <c r="DK77" s="72"/>
      <c r="DZ77" s="215">
        <v>2023</v>
      </c>
      <c r="EA77" s="269"/>
      <c r="EB77" s="75"/>
    </row>
    <row r="78" ht="18" customHeight="1" spans="10:132" x14ac:dyDescent="0.25">
      <c r="J78" s="273" t="s">
        <v>331</v>
      </c>
      <c r="K78" s="119" t="s">
        <v>332</v>
      </c>
      <c r="L78" s="119"/>
      <c r="M78" s="119"/>
      <c r="N78" s="119"/>
      <c r="O78" s="218" t="s">
        <v>333</v>
      </c>
      <c r="P78" s="221"/>
      <c r="Q78" s="274"/>
      <c r="R78" s="274"/>
      <c r="S78" s="274"/>
      <c r="T78" s="274"/>
      <c r="U78" s="221"/>
      <c r="V78" s="236"/>
      <c r="W78" s="236"/>
      <c r="X78" s="236"/>
      <c r="Y78" s="236"/>
      <c r="Z78" s="221"/>
      <c r="AA78" s="236"/>
      <c r="AB78" s="236"/>
      <c r="AC78" s="236"/>
      <c r="AD78" s="236"/>
      <c r="AE78" s="221"/>
      <c r="AF78" s="236"/>
      <c r="AG78" s="236"/>
      <c r="AH78" s="236"/>
      <c r="AI78" s="236"/>
      <c r="AJ78" s="221"/>
      <c r="AK78" s="236"/>
      <c r="AL78" s="236"/>
      <c r="AM78" s="236"/>
      <c r="AN78" s="236"/>
      <c r="AO78" s="236"/>
      <c r="AP78" s="236"/>
      <c r="AT78" s="226"/>
      <c r="BO78" s="227" t="str">
        <f t="shared" ref="BO78:BO93" si="18">J78</f>
        <v>k$</v>
      </c>
      <c r="BP78" s="194" t="s">
        <v>334</v>
      </c>
      <c r="CT78" s="62">
        <v>2021</v>
      </c>
      <c r="CU78" s="272"/>
      <c r="CV78" s="75">
        <f>НАСТРОЙКА!DR162</f>
        <v>24.99808942188634</v>
      </c>
      <c r="DI78" s="62">
        <v>2021</v>
      </c>
      <c r="DJ78" s="77"/>
      <c r="DK78" s="72"/>
      <c r="DZ78" s="215">
        <v>2024</v>
      </c>
      <c r="EA78" s="269"/>
      <c r="EB78" s="75"/>
    </row>
    <row r="79" ht="18" customHeight="1" spans="9:132" x14ac:dyDescent="0.25">
      <c r="I79" s="31" t="s">
        <v>335</v>
      </c>
      <c r="J79" s="217" t="s">
        <v>336</v>
      </c>
      <c r="K79" s="119" t="s">
        <v>337</v>
      </c>
      <c r="L79" s="119"/>
      <c r="M79" s="119"/>
      <c r="N79" s="119"/>
      <c r="O79" s="218" t="s">
        <v>283</v>
      </c>
      <c r="P79" s="275">
        <v>0.249</v>
      </c>
      <c r="Q79" s="31">
        <v>0.215</v>
      </c>
      <c r="R79" s="31">
        <v>2.67</v>
      </c>
      <c r="S79" s="31">
        <v>27.125</v>
      </c>
      <c r="T79" s="189">
        <v>108.81</v>
      </c>
      <c r="U79" s="241">
        <v>266.974</v>
      </c>
      <c r="V79" s="242">
        <v>375.958</v>
      </c>
      <c r="W79" s="242">
        <v>408.797</v>
      </c>
      <c r="X79" s="242">
        <v>407.086</v>
      </c>
      <c r="Y79" s="242">
        <v>670.439</v>
      </c>
      <c r="Z79" s="241">
        <v>1165.234</v>
      </c>
      <c r="AA79" s="276">
        <v>1504.7</v>
      </c>
      <c r="AB79" s="276">
        <v>1762.4</v>
      </c>
      <c r="AC79" s="276">
        <v>2186.4</v>
      </c>
      <c r="AD79" s="276">
        <v>2865</v>
      </c>
      <c r="AE79" s="277">
        <v>3611.1</v>
      </c>
      <c r="AF79" s="220">
        <v>4730</v>
      </c>
      <c r="AG79" s="220">
        <v>6716.222</v>
      </c>
      <c r="AH79" s="220">
        <v>8781.616</v>
      </c>
      <c r="AI79" s="220">
        <v>7976.013</v>
      </c>
      <c r="AJ79" s="240">
        <v>9152.1</v>
      </c>
      <c r="AK79" s="236">
        <v>11035.652</v>
      </c>
      <c r="AL79" s="236">
        <v>12586.090400000001</v>
      </c>
      <c r="AM79" s="236">
        <v>13450.2382</v>
      </c>
      <c r="AN79" s="236">
        <v>13902.6453</v>
      </c>
      <c r="AO79" s="225">
        <v>13897.2</v>
      </c>
      <c r="AP79" s="236">
        <v>14748.8</v>
      </c>
      <c r="AQ79" s="236">
        <v>16027.3</v>
      </c>
      <c r="AR79" s="31">
        <v>17595</v>
      </c>
      <c r="AS79" s="31" t="s">
        <v>287</v>
      </c>
      <c r="AT79" s="226"/>
      <c r="BO79" s="227" t="str">
        <f t="shared" si="18"/>
        <v>IN</v>
      </c>
      <c r="BP79" s="123" t="s">
        <v>338</v>
      </c>
      <c r="CT79" s="62">
        <v>2022</v>
      </c>
      <c r="CU79" s="272"/>
      <c r="CV79" s="75">
        <f>НАСТРОЙКА!DR163</f>
        <v>26.24799389298066</v>
      </c>
      <c r="DI79" s="62">
        <v>2022</v>
      </c>
      <c r="DJ79" s="77"/>
      <c r="DK79" s="72"/>
      <c r="DZ79" s="215">
        <v>2025</v>
      </c>
      <c r="EA79" s="269"/>
      <c r="EB79" s="75"/>
    </row>
    <row r="80" ht="18" customHeight="1" spans="9:132" x14ac:dyDescent="0.25">
      <c r="I80" s="31" t="s">
        <v>339</v>
      </c>
      <c r="J80" s="217" t="s">
        <v>340</v>
      </c>
      <c r="K80" s="119" t="s">
        <v>341</v>
      </c>
      <c r="L80" s="119"/>
      <c r="M80" s="119"/>
      <c r="N80" s="119"/>
      <c r="O80" s="218" t="s">
        <v>283</v>
      </c>
      <c r="P80" s="275"/>
      <c r="U80" s="241">
        <v>301.117</v>
      </c>
      <c r="V80" s="242">
        <v>401.614</v>
      </c>
      <c r="W80" s="242">
        <v>428.522</v>
      </c>
      <c r="X80" s="220">
        <v>424.6</v>
      </c>
      <c r="Y80" s="220">
        <v>694</v>
      </c>
      <c r="Z80" s="221">
        <v>1232</v>
      </c>
      <c r="AA80" s="220">
        <v>1689.3</v>
      </c>
      <c r="AB80" s="220">
        <v>1939.3</v>
      </c>
      <c r="AC80" s="220">
        <v>2432.2</v>
      </c>
      <c r="AD80" s="242">
        <v>3130.524</v>
      </c>
      <c r="AE80" s="241">
        <v>3836.896</v>
      </c>
      <c r="AF80" s="220">
        <v>4980.573</v>
      </c>
      <c r="AG80" s="220">
        <v>6980.3591</v>
      </c>
      <c r="AH80" s="220">
        <v>9200.7689</v>
      </c>
      <c r="AI80" s="220">
        <v>8535.671</v>
      </c>
      <c r="AJ80" s="240">
        <v>10014.3401</v>
      </c>
      <c r="AK80" s="236">
        <v>12952.9765</v>
      </c>
      <c r="AL80" s="236">
        <v>14689.247</v>
      </c>
      <c r="AM80" s="236">
        <v>15925.6152</v>
      </c>
      <c r="AN80" s="278">
        <v>17115.12</v>
      </c>
      <c r="AO80" s="225">
        <v>17325.84</v>
      </c>
      <c r="AP80" s="236">
        <v>18910.54</v>
      </c>
      <c r="AQ80" s="224">
        <v>20571.12</v>
      </c>
      <c r="AR80" s="224">
        <v>22237.43</v>
      </c>
      <c r="AT80" s="226"/>
      <c r="BO80" s="227" t="str">
        <f t="shared" si="18"/>
        <v>WNОК</v>
      </c>
      <c r="BP80" s="123" t="s">
        <v>342</v>
      </c>
      <c r="CT80" s="62">
        <v>2023</v>
      </c>
      <c r="CU80" s="272"/>
      <c r="CV80" s="75">
        <f>НАСТРОЙКА!DR164</f>
        <v>27.560393587629694</v>
      </c>
      <c r="DI80" s="62">
        <v>2023</v>
      </c>
      <c r="DJ80" s="77"/>
      <c r="DK80" s="72"/>
      <c r="DZ80" s="215">
        <v>2026</v>
      </c>
      <c r="EA80" s="269"/>
      <c r="EB80" s="75"/>
    </row>
    <row r="81" ht="18" customHeight="1" spans="9:132" x14ac:dyDescent="0.25">
      <c r="I81" s="31" t="s">
        <v>343</v>
      </c>
      <c r="J81" s="217" t="s">
        <v>344</v>
      </c>
      <c r="K81" s="119" t="s">
        <v>345</v>
      </c>
      <c r="L81" s="119"/>
      <c r="M81" s="119"/>
      <c r="N81" s="119"/>
      <c r="O81" s="218" t="s">
        <v>283</v>
      </c>
      <c r="P81" s="275"/>
      <c r="U81" s="241">
        <v>62.244</v>
      </c>
      <c r="V81" s="242">
        <v>73.642</v>
      </c>
      <c r="W81" s="242">
        <v>86.279</v>
      </c>
      <c r="X81" s="242">
        <v>-31.2</v>
      </c>
      <c r="Y81" s="242">
        <v>21.4</v>
      </c>
      <c r="Z81" s="241">
        <v>133.7</v>
      </c>
      <c r="AA81" s="279">
        <v>273.8</v>
      </c>
      <c r="AB81" s="279">
        <v>230</v>
      </c>
      <c r="AC81" s="279">
        <v>322.8</v>
      </c>
      <c r="AD81" s="279">
        <v>428.428</v>
      </c>
      <c r="AE81" s="241">
        <v>501.835</v>
      </c>
      <c r="AF81" s="220">
        <v>718.154</v>
      </c>
      <c r="AG81" s="220">
        <v>1053.7391</v>
      </c>
      <c r="AH81" s="220">
        <v>1325.3472</v>
      </c>
      <c r="AI81" s="220">
        <v>-1190.915</v>
      </c>
      <c r="AJ81" s="221">
        <v>133.7</v>
      </c>
      <c r="AK81" s="232">
        <v>1782.9108999999999</v>
      </c>
      <c r="AL81" s="232">
        <v>2040.9553999999998</v>
      </c>
      <c r="AM81" s="232">
        <v>990.2469</v>
      </c>
      <c r="AN81" s="232">
        <v>768.54</v>
      </c>
      <c r="AO81" s="280">
        <v>1277.55</v>
      </c>
      <c r="AP81" s="232">
        <v>1332.31</v>
      </c>
      <c r="AQ81" s="31">
        <v>1618.09</v>
      </c>
      <c r="AR81" s="31">
        <v>1373.79</v>
      </c>
      <c r="AT81" s="226"/>
      <c r="BO81" s="281" t="str">
        <f t="shared" si="18"/>
        <v>Mt - Mt-1</v>
      </c>
      <c r="BP81" s="123" t="s">
        <v>342</v>
      </c>
      <c r="CT81" s="62">
        <v>2024</v>
      </c>
      <c r="CU81" s="272"/>
      <c r="CV81" s="75">
        <f>НАСТРОЙКА!DR165</f>
        <v>28.938413267011178</v>
      </c>
      <c r="DI81" s="62">
        <v>2024</v>
      </c>
      <c r="DJ81" s="77"/>
      <c r="DK81" s="72"/>
      <c r="DZ81" s="215">
        <v>2027</v>
      </c>
      <c r="EA81" s="269"/>
      <c r="EB81" s="75"/>
    </row>
    <row r="82" ht="18" customHeight="1" spans="9:132" x14ac:dyDescent="0.25">
      <c r="I82" s="31" t="s">
        <v>346</v>
      </c>
      <c r="J82" s="217" t="s">
        <v>347</v>
      </c>
      <c r="K82" s="119" t="s">
        <v>348</v>
      </c>
      <c r="L82" s="119"/>
      <c r="M82" s="119"/>
      <c r="N82" s="119"/>
      <c r="O82" s="218" t="s">
        <v>283</v>
      </c>
      <c r="P82" s="282">
        <v>1.834</v>
      </c>
      <c r="Q82" s="283">
        <v>1.927</v>
      </c>
      <c r="R82" s="283">
        <v>2.061</v>
      </c>
      <c r="S82" s="283">
        <v>43.215</v>
      </c>
      <c r="T82" s="189">
        <v>1189.561</v>
      </c>
      <c r="U82" s="284">
        <v>5306</v>
      </c>
      <c r="V82" s="279">
        <v>13072.378</v>
      </c>
      <c r="W82" s="279">
        <v>13286.272</v>
      </c>
      <c r="X82" s="279">
        <v>14125.67</v>
      </c>
      <c r="Y82" s="278">
        <v>14246.427</v>
      </c>
      <c r="Z82" s="285">
        <v>17464</v>
      </c>
      <c r="AA82" s="278">
        <v>20241.428</v>
      </c>
      <c r="AB82" s="278">
        <v>24431</v>
      </c>
      <c r="AC82" s="278">
        <v>30329.1</v>
      </c>
      <c r="AD82" s="278">
        <v>34874</v>
      </c>
      <c r="AE82" s="285">
        <v>41494</v>
      </c>
      <c r="AF82" s="278">
        <v>47489</v>
      </c>
      <c r="AG82" s="278">
        <v>60391</v>
      </c>
      <c r="AH82" s="278">
        <v>74447</v>
      </c>
      <c r="AI82" s="236">
        <f>AI210</f>
        <v>82302.969</v>
      </c>
      <c r="AJ82" s="240">
        <v>93186</v>
      </c>
      <c r="AK82" s="236">
        <v>108001</v>
      </c>
      <c r="AL82" s="278">
        <v>121269</v>
      </c>
      <c r="AM82" s="236">
        <v>133522.8</v>
      </c>
      <c r="AN82" s="254">
        <v>147430</v>
      </c>
      <c r="AO82" s="233">
        <v>160725</v>
      </c>
      <c r="AP82" s="236">
        <v>183404</v>
      </c>
      <c r="AQ82" s="236">
        <v>194649</v>
      </c>
      <c r="AR82" s="236">
        <v>206484</v>
      </c>
      <c r="AS82" s="236" t="s">
        <v>287</v>
      </c>
      <c r="AT82" s="226"/>
      <c r="BO82" s="281" t="str">
        <f t="shared" si="18"/>
        <v>F</v>
      </c>
      <c r="BP82" s="123" t="s">
        <v>349</v>
      </c>
      <c r="CT82" s="62">
        <v>2025</v>
      </c>
      <c r="CU82" s="272"/>
      <c r="CV82" s="75">
        <f>НАСТРОЙКА!DR166</f>
        <v>30.38533393036174</v>
      </c>
      <c r="DI82" s="62">
        <v>2025</v>
      </c>
      <c r="DJ82" s="77"/>
      <c r="DK82" s="72"/>
      <c r="DZ82" s="215">
        <v>2028</v>
      </c>
      <c r="EA82" s="269"/>
      <c r="EB82" s="75"/>
    </row>
    <row r="83" ht="18" customHeight="1" spans="9:132" x14ac:dyDescent="0.25">
      <c r="I83" s="31" t="s">
        <v>350</v>
      </c>
      <c r="J83" s="217" t="s">
        <v>351</v>
      </c>
      <c r="K83" s="119" t="s">
        <v>352</v>
      </c>
      <c r="L83" s="119"/>
      <c r="M83" s="119"/>
      <c r="N83" s="119"/>
      <c r="O83" s="218" t="s">
        <v>283</v>
      </c>
      <c r="P83" s="286">
        <v>0.136</v>
      </c>
      <c r="Q83" s="189">
        <v>0.176</v>
      </c>
      <c r="R83" s="189">
        <v>2.005</v>
      </c>
      <c r="S83" s="189">
        <v>15.093</v>
      </c>
      <c r="T83" s="189">
        <v>72.35</v>
      </c>
      <c r="U83" s="284">
        <v>230.407</v>
      </c>
      <c r="V83" s="279">
        <v>334.302</v>
      </c>
      <c r="W83" s="279">
        <v>406.472</v>
      </c>
      <c r="X83" s="279">
        <v>428.564</v>
      </c>
      <c r="Y83" s="279">
        <v>597.306</v>
      </c>
      <c r="Z83" s="285">
        <v>843.378</v>
      </c>
      <c r="AA83" s="278">
        <v>1117.655</v>
      </c>
      <c r="AB83" s="278">
        <v>1615.063</v>
      </c>
      <c r="AC83" s="278">
        <v>1815.658</v>
      </c>
      <c r="AD83" s="278">
        <v>1972.112</v>
      </c>
      <c r="AE83" s="285">
        <v>2943.686</v>
      </c>
      <c r="AF83" s="278">
        <v>3252.436</v>
      </c>
      <c r="AG83" s="278">
        <v>4296.411</v>
      </c>
      <c r="AH83" s="278">
        <v>5744.847</v>
      </c>
      <c r="AI83" s="236">
        <v>6356.223</v>
      </c>
      <c r="AJ83" s="240">
        <v>6275.931</v>
      </c>
      <c r="AK83" s="236">
        <v>8813.314</v>
      </c>
      <c r="AL83" s="236">
        <v>10338.4</v>
      </c>
      <c r="AM83" s="236">
        <v>11160.485</v>
      </c>
      <c r="AN83" s="254">
        <v>10888</v>
      </c>
      <c r="AO83" s="233">
        <v>10721</v>
      </c>
      <c r="AP83" s="236">
        <v>13256</v>
      </c>
      <c r="AQ83" s="236">
        <v>12484.1</v>
      </c>
      <c r="AR83" s="236">
        <v>14909.4</v>
      </c>
      <c r="AS83" s="236" t="s">
        <v>287</v>
      </c>
      <c r="AT83" s="226"/>
      <c r="BO83" s="281" t="str">
        <f t="shared" si="18"/>
        <v>WW</v>
      </c>
      <c r="BP83" s="123" t="s">
        <v>353</v>
      </c>
      <c r="CT83" s="62">
        <v>2026</v>
      </c>
      <c r="CU83" s="272"/>
      <c r="CV83" s="75">
        <f>НАСТРОЙКА!DR167</f>
        <v>31.904600626879827</v>
      </c>
      <c r="DI83" s="62">
        <v>2026</v>
      </c>
      <c r="DJ83" s="77"/>
      <c r="DK83" s="72"/>
      <c r="DZ83" s="215">
        <v>2029</v>
      </c>
      <c r="EA83" s="269"/>
      <c r="EB83" s="75"/>
    </row>
    <row r="84" ht="18" customHeight="1" spans="5:132" x14ac:dyDescent="0.25">
      <c r="E84" s="287" t="s">
        <v>354</v>
      </c>
      <c r="F84" s="287"/>
      <c r="I84" s="195" t="s">
        <v>292</v>
      </c>
      <c r="J84" s="217" t="s">
        <v>355</v>
      </c>
      <c r="K84" s="288" t="s">
        <v>356</v>
      </c>
      <c r="L84" s="121"/>
      <c r="M84" s="121"/>
      <c r="N84" s="121"/>
      <c r="O84" s="218" t="s">
        <v>299</v>
      </c>
      <c r="P84" s="282"/>
      <c r="Q84" s="283"/>
      <c r="R84" s="283"/>
      <c r="S84" s="283"/>
      <c r="U84" s="289">
        <f>U145/U149</f>
        <v>0.5033850497134363</v>
      </c>
      <c r="V84" s="271">
        <f t="shared" ref="V84:AR84" si="19">V145/V149</f>
        <v>0.5074724155594162</v>
      </c>
      <c r="W84" s="271">
        <f t="shared" si="19"/>
        <v>0.5074724155594164</v>
      </c>
      <c r="X84" s="271">
        <f t="shared" si="19"/>
        <v>0.5085104083611879</v>
      </c>
      <c r="Y84" s="271">
        <f t="shared" si="19"/>
        <v>0.5057231327942381</v>
      </c>
      <c r="Z84" s="289">
        <f t="shared" si="19"/>
        <v>0.5030122907437494</v>
      </c>
      <c r="AA84" s="271">
        <f t="shared" si="19"/>
        <v>0.5020647450635659</v>
      </c>
      <c r="AB84" s="271">
        <f t="shared" si="19"/>
        <v>0.5006338966298406</v>
      </c>
      <c r="AC84" s="271">
        <f t="shared" si="19"/>
        <v>0.5020261813046646</v>
      </c>
      <c r="AD84" s="271">
        <f t="shared" si="19"/>
        <v>0.5057148762579633</v>
      </c>
      <c r="AE84" s="289">
        <f t="shared" si="19"/>
        <v>0.502441464842453</v>
      </c>
      <c r="AF84" s="271">
        <f t="shared" si="19"/>
        <v>0.5056397290721157</v>
      </c>
      <c r="AG84" s="271">
        <f t="shared" si="19"/>
        <v>0.5070028548191596</v>
      </c>
      <c r="AH84" s="271">
        <f t="shared" si="19"/>
        <v>0.5060638126378627</v>
      </c>
      <c r="AI84" s="271">
        <f t="shared" si="19"/>
        <v>0.5087308546862543</v>
      </c>
      <c r="AJ84" s="289">
        <f t="shared" si="19"/>
        <v>0.5110702315687009</v>
      </c>
      <c r="AK84" s="271">
        <f t="shared" si="19"/>
        <v>0.5110702315687009</v>
      </c>
      <c r="AL84" s="271">
        <f t="shared" si="19"/>
        <v>0.5122189032468178</v>
      </c>
      <c r="AM84" s="271">
        <f t="shared" si="19"/>
        <v>0.5137221170238432</v>
      </c>
      <c r="AN84" s="271">
        <f t="shared" si="19"/>
        <v>0.5140183182736008</v>
      </c>
      <c r="AO84" s="238">
        <f t="shared" si="19"/>
        <v>0.5189421448361783</v>
      </c>
      <c r="AP84" s="265">
        <f t="shared" si="19"/>
        <v>0.5236956809543979</v>
      </c>
      <c r="AQ84" s="265">
        <f t="shared" si="19"/>
        <v>0.5269484909381239</v>
      </c>
      <c r="AR84" s="265">
        <f t="shared" si="19"/>
        <v>0.5255639499359915</v>
      </c>
      <c r="AT84" s="226"/>
      <c r="BO84" s="281" t="str">
        <f t="shared" si="18"/>
        <v>aS</v>
      </c>
      <c r="BP84" s="123" t="s">
        <v>292</v>
      </c>
      <c r="CT84" s="62">
        <v>2027</v>
      </c>
      <c r="CU84" s="272"/>
      <c r="CV84" s="75">
        <f>НАСТРОЙКА!DR168</f>
        <v>33.49983065822382</v>
      </c>
      <c r="DI84" s="62">
        <v>2027</v>
      </c>
      <c r="DJ84" s="77"/>
      <c r="DK84" s="72"/>
      <c r="DZ84" s="215">
        <v>2030</v>
      </c>
      <c r="EA84" s="269"/>
      <c r="EB84" s="75"/>
    </row>
    <row r="85" ht="18" customHeight="1" spans="5:132" x14ac:dyDescent="0.25">
      <c r="E85" s="287" t="s">
        <v>357</v>
      </c>
      <c r="F85" s="287"/>
      <c r="I85" s="195" t="s">
        <v>292</v>
      </c>
      <c r="J85" s="217" t="s">
        <v>358</v>
      </c>
      <c r="K85" s="121" t="s">
        <v>359</v>
      </c>
      <c r="L85" s="121"/>
      <c r="M85" s="119"/>
      <c r="N85" s="119"/>
      <c r="O85" s="218" t="s">
        <v>299</v>
      </c>
      <c r="P85" s="282"/>
      <c r="U85" s="290">
        <f t="shared" ref="U85:AR85" si="20">U57/U84</f>
        <v>1</v>
      </c>
      <c r="V85" s="271">
        <f t="shared" si="20"/>
        <v>0.9761354215510659</v>
      </c>
      <c r="W85" s="271">
        <f t="shared" si="20"/>
        <v>0.954277075623073</v>
      </c>
      <c r="X85" s="271">
        <f t="shared" si="20"/>
        <v>0.8937350948658671</v>
      </c>
      <c r="Y85" s="271">
        <f t="shared" si="20"/>
        <v>0.8934054172113596</v>
      </c>
      <c r="Z85" s="289">
        <f t="shared" si="20"/>
        <v>0.9029966320176771</v>
      </c>
      <c r="AA85" s="271">
        <f t="shared" si="20"/>
        <v>0.9451642990474638</v>
      </c>
      <c r="AB85" s="271">
        <f t="shared" si="20"/>
        <v>0.9288244182380777</v>
      </c>
      <c r="AC85" s="271">
        <f t="shared" si="20"/>
        <v>0.9336737088806338</v>
      </c>
      <c r="AD85" s="271">
        <f t="shared" si="20"/>
        <v>0.9138947331343762</v>
      </c>
      <c r="AE85" s="289">
        <f t="shared" si="20"/>
        <v>0.9180646412405153</v>
      </c>
      <c r="AF85" s="271">
        <f t="shared" si="20"/>
        <v>0.9164884988207174</v>
      </c>
      <c r="AG85" s="271">
        <f t="shared" si="20"/>
        <v>0.9234048855607163</v>
      </c>
      <c r="AH85" s="271">
        <f t="shared" si="20"/>
        <v>0.9262424049056813</v>
      </c>
      <c r="AI85" s="274">
        <f t="shared" si="20"/>
        <v>0.9220308538533725</v>
      </c>
      <c r="AJ85" s="237">
        <f t="shared" si="20"/>
        <v>0.9307753010923033</v>
      </c>
      <c r="AK85" s="219">
        <f t="shared" si="20"/>
        <v>0.8761099775665607</v>
      </c>
      <c r="AL85" s="219">
        <f t="shared" si="20"/>
        <v>0.8638240746952142</v>
      </c>
      <c r="AM85" s="219">
        <f t="shared" si="20"/>
        <v>0.8715879982385814</v>
      </c>
      <c r="AN85" s="219">
        <f t="shared" si="20"/>
        <v>0.8709268712225834</v>
      </c>
      <c r="AO85" s="238">
        <f t="shared" si="20"/>
        <v>0.8900891245721281</v>
      </c>
      <c r="AP85" s="265">
        <f t="shared" si="20"/>
        <v>0.8981191065025967</v>
      </c>
      <c r="AQ85" s="265">
        <f t="shared" si="20"/>
        <v>0.9005290599757303</v>
      </c>
      <c r="AR85" s="265">
        <f t="shared" si="20"/>
        <v>0.8974495869213587</v>
      </c>
      <c r="AT85" s="226"/>
      <c r="BO85" s="281" t="str">
        <f t="shared" si="18"/>
        <v>Ra</v>
      </c>
      <c r="BP85" s="123" t="s">
        <v>292</v>
      </c>
      <c r="CT85" s="62">
        <v>2028</v>
      </c>
      <c r="CU85" s="272"/>
      <c r="CV85" s="75">
        <f>НАСТРОЙКА!DR169</f>
        <v>35.174822191135014</v>
      </c>
      <c r="DI85" s="62">
        <v>2028</v>
      </c>
      <c r="DJ85" s="77"/>
      <c r="DK85" s="72"/>
      <c r="DZ85" s="215">
        <v>2031</v>
      </c>
      <c r="EA85" s="269"/>
      <c r="EB85" s="75"/>
    </row>
    <row r="86" ht="18" customHeight="1" spans="9:132" x14ac:dyDescent="0.25">
      <c r="I86" s="31" t="s">
        <v>360</v>
      </c>
      <c r="J86" s="217" t="s">
        <v>361</v>
      </c>
      <c r="K86" s="119" t="s">
        <v>362</v>
      </c>
      <c r="L86" s="119"/>
      <c r="M86" s="119"/>
      <c r="N86" s="119"/>
      <c r="O86" s="218" t="s">
        <v>363</v>
      </c>
      <c r="P86" s="286">
        <v>147.662</v>
      </c>
      <c r="Q86" s="31">
        <v>148.3</v>
      </c>
      <c r="R86" s="31">
        <v>148.6</v>
      </c>
      <c r="S86" s="31">
        <v>148.6</v>
      </c>
      <c r="T86" s="31">
        <v>148.4</v>
      </c>
      <c r="U86" s="290">
        <v>148.3</v>
      </c>
      <c r="V86" s="254">
        <v>148.3</v>
      </c>
      <c r="W86" s="254">
        <v>148</v>
      </c>
      <c r="X86" s="279">
        <v>147.8</v>
      </c>
      <c r="Y86" s="279">
        <v>147.5</v>
      </c>
      <c r="Z86" s="290">
        <v>146.3</v>
      </c>
      <c r="AA86" s="279">
        <v>146.304</v>
      </c>
      <c r="AB86" s="279">
        <v>145.17</v>
      </c>
      <c r="AC86" s="279">
        <v>144.2</v>
      </c>
      <c r="AD86" s="279">
        <v>143.5</v>
      </c>
      <c r="AE86" s="284">
        <v>142.8</v>
      </c>
      <c r="AF86" s="279">
        <v>142.2</v>
      </c>
      <c r="AG86" s="279">
        <v>142</v>
      </c>
      <c r="AH86" s="279">
        <v>141.9</v>
      </c>
      <c r="AI86" s="220">
        <v>141.9</v>
      </c>
      <c r="AJ86" s="221">
        <v>142.8654</v>
      </c>
      <c r="AK86" s="220">
        <v>143.0564</v>
      </c>
      <c r="AL86" s="220">
        <v>143.3471</v>
      </c>
      <c r="AM86" s="220">
        <v>143.6669</v>
      </c>
      <c r="AN86" s="220">
        <v>146.26729999999998</v>
      </c>
      <c r="AO86" s="280">
        <v>146.5447</v>
      </c>
      <c r="AP86" s="123">
        <v>146.8</v>
      </c>
      <c r="AQ86" s="31">
        <v>146.88</v>
      </c>
      <c r="AR86" s="31">
        <v>146.78</v>
      </c>
      <c r="AS86" s="31">
        <v>145</v>
      </c>
      <c r="AT86" s="226"/>
      <c r="BO86" s="281" t="str">
        <f t="shared" si="18"/>
        <v>N</v>
      </c>
      <c r="BP86" s="123" t="s">
        <v>364</v>
      </c>
      <c r="CT86" s="62">
        <v>2029</v>
      </c>
      <c r="CU86" s="272"/>
      <c r="CV86" s="75">
        <f>НАСТРОЙКА!DR170</f>
        <v>36.933563300691766</v>
      </c>
      <c r="DI86" s="62">
        <v>2029</v>
      </c>
      <c r="DJ86" s="167"/>
      <c r="DK86" s="72"/>
      <c r="DZ86" s="215">
        <v>2032</v>
      </c>
      <c r="EA86" s="269"/>
      <c r="EB86" s="75"/>
    </row>
    <row r="87" ht="18" customHeight="1" spans="10:132" x14ac:dyDescent="0.25">
      <c r="J87" s="217" t="s">
        <v>365</v>
      </c>
      <c r="K87" s="119" t="s">
        <v>366</v>
      </c>
      <c r="L87" s="119"/>
      <c r="M87" s="119"/>
      <c r="N87" s="119"/>
      <c r="O87" s="218" t="s">
        <v>283</v>
      </c>
      <c r="P87" s="275"/>
      <c r="U87" s="284">
        <v>220.8</v>
      </c>
      <c r="V87" s="254">
        <v>282.3</v>
      </c>
      <c r="W87" s="254">
        <v>357.4</v>
      </c>
      <c r="X87" s="254">
        <v>396.9</v>
      </c>
      <c r="Y87" s="254">
        <v>625.1</v>
      </c>
      <c r="Z87" s="290">
        <v>714.6</v>
      </c>
      <c r="AA87" s="279">
        <v>1150.6</v>
      </c>
      <c r="AB87" s="279">
        <v>1609.4</v>
      </c>
      <c r="AC87" s="279">
        <v>2130.5</v>
      </c>
      <c r="AD87" s="279">
        <v>3205.2</v>
      </c>
      <c r="AE87" s="284">
        <v>4353.9</v>
      </c>
      <c r="AF87" s="279">
        <v>6032.1</v>
      </c>
      <c r="AG87" s="291">
        <v>8970.7</v>
      </c>
      <c r="AH87" s="291">
        <v>12869</v>
      </c>
      <c r="AI87" s="292">
        <v>12975.9</v>
      </c>
      <c r="AJ87" s="293">
        <v>15267.6</v>
      </c>
      <c r="AK87" s="294">
        <v>20011.9</v>
      </c>
      <c r="AL87" s="292">
        <v>24204.8</v>
      </c>
      <c r="AM87" s="294">
        <v>27164.6</v>
      </c>
      <c r="AN87" s="295">
        <v>31155.6</v>
      </c>
      <c r="AO87" s="226">
        <v>35179.7</v>
      </c>
      <c r="AP87" s="296">
        <v>38418</v>
      </c>
      <c r="AQ87" s="296">
        <v>42442.2</v>
      </c>
      <c r="AR87" s="296">
        <v>47109.3</v>
      </c>
      <c r="AS87" s="31" t="s">
        <v>287</v>
      </c>
      <c r="AT87" s="226"/>
      <c r="BO87" s="281" t="str">
        <f t="shared" si="18"/>
        <v>М2</v>
      </c>
      <c r="BP87" s="123"/>
      <c r="CT87" s="34">
        <v>2030</v>
      </c>
      <c r="CU87" s="297"/>
      <c r="CV87" s="36">
        <f>НАСТРОЙКА!DR171</f>
        <v>38.780241465726355</v>
      </c>
      <c r="DI87" s="34">
        <v>2030</v>
      </c>
      <c r="DJ87" s="179"/>
      <c r="DK87" s="90"/>
      <c r="DZ87" s="215">
        <v>2033</v>
      </c>
      <c r="EA87" s="269"/>
      <c r="EB87" s="75"/>
    </row>
    <row r="88" ht="17.5" customHeight="1" spans="9:132" x14ac:dyDescent="0.25">
      <c r="I88" s="31" t="s">
        <v>367</v>
      </c>
      <c r="J88" s="217" t="s">
        <v>368</v>
      </c>
      <c r="K88" s="119" t="s">
        <v>369</v>
      </c>
      <c r="L88" s="119"/>
      <c r="M88" s="119"/>
      <c r="N88" s="119"/>
      <c r="O88" s="218" t="s">
        <v>283</v>
      </c>
      <c r="P88" s="282">
        <v>0.2927</v>
      </c>
      <c r="Q88" s="31">
        <v>0.61</v>
      </c>
      <c r="R88" s="283">
        <v>6.979</v>
      </c>
      <c r="S88" s="283">
        <v>76.346</v>
      </c>
      <c r="T88" s="283">
        <v>301</v>
      </c>
      <c r="U88" s="284">
        <v>647.87</v>
      </c>
      <c r="V88" s="254">
        <v>1022.64</v>
      </c>
      <c r="W88" s="254">
        <v>1202.9</v>
      </c>
      <c r="X88" s="279">
        <v>1263.047</v>
      </c>
      <c r="Y88" s="279">
        <v>1933.606</v>
      </c>
      <c r="Z88" s="284">
        <v>2937.23</v>
      </c>
      <c r="AA88" s="279">
        <v>3848.4</v>
      </c>
      <c r="AB88" s="279">
        <v>5065.1</v>
      </c>
      <c r="AC88" s="279">
        <v>6231.387</v>
      </c>
      <c r="AD88" s="279">
        <v>7845.037</v>
      </c>
      <c r="AE88" s="284">
        <v>9439.827</v>
      </c>
      <c r="AF88" s="279">
        <v>11985.905</v>
      </c>
      <c r="AG88" s="279">
        <v>15526.11</v>
      </c>
      <c r="AH88" s="279">
        <v>19559.76</v>
      </c>
      <c r="AI88" s="220">
        <v>20411.61</v>
      </c>
      <c r="AJ88" s="221">
        <v>22995.63</v>
      </c>
      <c r="AK88" s="224">
        <v>26386.6754</v>
      </c>
      <c r="AL88" s="224">
        <v>30201.1615</v>
      </c>
      <c r="AM88" s="224">
        <v>33792.2822</v>
      </c>
      <c r="AN88" s="224">
        <v>37430.46</v>
      </c>
      <c r="AO88" s="225">
        <v>37745.49</v>
      </c>
      <c r="AP88" s="224">
        <v>41245.36</v>
      </c>
      <c r="AQ88" s="224">
        <v>43884.32</v>
      </c>
      <c r="AR88" s="224">
        <v>48244.37</v>
      </c>
      <c r="AS88" s="224" t="s">
        <v>287</v>
      </c>
      <c r="AT88" s="226"/>
      <c r="BO88" s="281" t="str">
        <f t="shared" si="18"/>
        <v>OT</v>
      </c>
      <c r="BP88" s="123" t="s">
        <v>370</v>
      </c>
      <c r="DZ88" s="215">
        <v>2034</v>
      </c>
      <c r="EA88" s="269"/>
      <c r="EB88" s="75"/>
    </row>
    <row r="89" ht="18" customHeight="1" spans="9:132" x14ac:dyDescent="0.25">
      <c r="I89" s="187" t="s">
        <v>371</v>
      </c>
      <c r="J89" s="217" t="s">
        <v>372</v>
      </c>
      <c r="K89" s="31" t="s">
        <v>373</v>
      </c>
      <c r="O89" s="218" t="s">
        <v>283</v>
      </c>
      <c r="P89" s="275"/>
      <c r="U89" s="290">
        <v>910.9</v>
      </c>
      <c r="V89" s="279">
        <v>1357.1</v>
      </c>
      <c r="W89" s="279">
        <v>1656.4</v>
      </c>
      <c r="X89" s="279">
        <v>1776</v>
      </c>
      <c r="Y89" s="279">
        <v>2908.1</v>
      </c>
      <c r="Z89" s="284">
        <v>3983.9</v>
      </c>
      <c r="AA89" s="279">
        <v>5325.8</v>
      </c>
      <c r="AB89" s="279">
        <v>6831</v>
      </c>
      <c r="AC89" s="279">
        <v>8900.5</v>
      </c>
      <c r="AD89" s="279">
        <v>10976.3</v>
      </c>
      <c r="AE89" s="285">
        <v>13819</v>
      </c>
      <c r="AF89" s="291">
        <v>17290.1</v>
      </c>
      <c r="AG89" s="291">
        <v>21311.5</v>
      </c>
      <c r="AH89" s="291">
        <v>25244</v>
      </c>
      <c r="AI89" s="292">
        <v>28697.5</v>
      </c>
      <c r="AJ89" s="293">
        <v>32498.3</v>
      </c>
      <c r="AK89" s="292">
        <v>35648.7</v>
      </c>
      <c r="AL89" s="292">
        <v>39904</v>
      </c>
      <c r="AM89" s="291">
        <v>44650</v>
      </c>
      <c r="AN89" s="291">
        <v>47921</v>
      </c>
      <c r="AO89" s="298">
        <v>53526</v>
      </c>
      <c r="AP89" s="296">
        <v>54117</v>
      </c>
      <c r="AQ89" s="296">
        <v>55368</v>
      </c>
      <c r="AR89" s="296">
        <v>57500</v>
      </c>
      <c r="AS89" s="296"/>
      <c r="AT89" s="226"/>
      <c r="BO89" s="281" t="str">
        <f t="shared" si="18"/>
        <v>DН</v>
      </c>
      <c r="BP89" s="123" t="s">
        <v>374</v>
      </c>
      <c r="DZ89" s="34">
        <v>2035</v>
      </c>
      <c r="EA89" s="35"/>
      <c r="EB89" s="36"/>
    </row>
    <row r="90" ht="18" customHeight="1" spans="9:125" x14ac:dyDescent="0.25">
      <c r="I90" s="195" t="s">
        <v>292</v>
      </c>
      <c r="J90" s="217" t="s">
        <v>375</v>
      </c>
      <c r="K90" s="119" t="s">
        <v>376</v>
      </c>
      <c r="O90" s="218" t="s">
        <v>299</v>
      </c>
      <c r="P90" s="275"/>
      <c r="U90" s="271">
        <f>U88/U67</f>
        <v>0.4535250411807066</v>
      </c>
      <c r="V90" s="271">
        <f t="shared" ref="V90:AR90" si="21">V88/V67</f>
        <v>0.5093272063723475</v>
      </c>
      <c r="W90" s="271">
        <f t="shared" si="21"/>
        <v>0.5135082027481847</v>
      </c>
      <c r="X90" s="271">
        <f t="shared" si="21"/>
        <v>0.4803148770875094</v>
      </c>
      <c r="Y90" s="271">
        <f t="shared" si="21"/>
        <v>0.40089418033286345</v>
      </c>
      <c r="Z90" s="271">
        <f t="shared" si="21"/>
        <v>0.40204928609604523</v>
      </c>
      <c r="AA90" s="271">
        <f t="shared" si="21"/>
        <v>0.4302973620437072</v>
      </c>
      <c r="AB90" s="271">
        <f t="shared" si="21"/>
        <v>0.4681553911363844</v>
      </c>
      <c r="AC90" s="271">
        <f t="shared" si="21"/>
        <v>0.4717798995677725</v>
      </c>
      <c r="AD90" s="271">
        <f t="shared" si="21"/>
        <v>0.46073648070756584</v>
      </c>
      <c r="AE90" s="271">
        <f t="shared" si="21"/>
        <v>0.43683152734584474</v>
      </c>
      <c r="AF90" s="271">
        <f t="shared" si="21"/>
        <v>0.44528789593400453</v>
      </c>
      <c r="AG90" s="271">
        <f t="shared" si="21"/>
        <v>0.4669856030014299</v>
      </c>
      <c r="AH90" s="271">
        <f t="shared" si="21"/>
        <v>0.47386756448454886</v>
      </c>
      <c r="AI90" s="271">
        <f t="shared" si="21"/>
        <v>0.5259738581617189</v>
      </c>
      <c r="AJ90" s="299">
        <f t="shared" si="21"/>
        <v>0.49657437848762676</v>
      </c>
      <c r="AK90" s="271">
        <f t="shared" si="21"/>
        <v>0.4377167124164528</v>
      </c>
      <c r="AL90" s="271">
        <f t="shared" si="21"/>
        <v>0.4430669164738356</v>
      </c>
      <c r="AM90" s="271">
        <f t="shared" si="21"/>
        <v>0.46206047351633556</v>
      </c>
      <c r="AN90" s="271">
        <f t="shared" si="21"/>
        <v>0.4734556907586835</v>
      </c>
      <c r="AO90" s="299">
        <f t="shared" si="21"/>
        <v>0.4542504873998122</v>
      </c>
      <c r="AP90" s="271">
        <f t="shared" si="21"/>
        <v>0.479519148045667</v>
      </c>
      <c r="AQ90" s="271">
        <f t="shared" si="21"/>
        <v>0.476480385663565</v>
      </c>
      <c r="AR90" s="271">
        <f t="shared" si="21"/>
        <v>0.4644419307636028</v>
      </c>
      <c r="AT90" s="226"/>
      <c r="BO90" s="281" t="str">
        <f t="shared" si="18"/>
        <v>qOT</v>
      </c>
      <c r="BP90" s="194" t="s">
        <v>334</v>
      </c>
      <c r="CQ90" s="212" t="s">
        <v>13</v>
      </c>
      <c r="CR90" s="213" t="s">
        <v>377</v>
      </c>
      <c r="CS90" s="300" t="s">
        <v>378</v>
      </c>
      <c r="CT90" s="214" t="s">
        <v>379</v>
      </c>
      <c r="CU90" s="214" t="s">
        <v>380</v>
      </c>
      <c r="CV90" s="214" t="s">
        <v>17</v>
      </c>
      <c r="CW90" s="301" t="s">
        <v>381</v>
      </c>
      <c r="DI90" s="302" t="s">
        <v>380</v>
      </c>
      <c r="DL90" s="28" t="s">
        <v>13</v>
      </c>
      <c r="DM90" s="29" t="s">
        <v>45</v>
      </c>
      <c r="DN90" s="30" t="s">
        <v>15</v>
      </c>
      <c r="DU90" s="24"/>
    </row>
    <row r="91" ht="18" customHeight="1" spans="9:161" x14ac:dyDescent="0.25">
      <c r="I91" s="31" t="s">
        <v>382</v>
      </c>
      <c r="J91" s="217" t="s">
        <v>383</v>
      </c>
      <c r="K91" s="121" t="s">
        <v>384</v>
      </c>
      <c r="L91" s="119"/>
      <c r="M91" s="119"/>
      <c r="N91" s="119"/>
      <c r="O91" s="218" t="s">
        <v>363</v>
      </c>
      <c r="P91" s="275"/>
      <c r="U91" s="290">
        <v>64.055</v>
      </c>
      <c r="V91" s="254">
        <v>62.928</v>
      </c>
      <c r="W91" s="254">
        <v>60.021</v>
      </c>
      <c r="X91" s="271">
        <v>58.437</v>
      </c>
      <c r="Y91" s="271">
        <v>63.082</v>
      </c>
      <c r="Z91" s="289">
        <v>65.07</v>
      </c>
      <c r="AA91" s="279">
        <v>65.123</v>
      </c>
      <c r="AB91" s="279">
        <v>66.659</v>
      </c>
      <c r="AC91" s="279">
        <v>66.339</v>
      </c>
      <c r="AD91" s="279">
        <v>67.319</v>
      </c>
      <c r="AE91" s="289">
        <v>68.339</v>
      </c>
      <c r="AF91" s="279">
        <v>69.169</v>
      </c>
      <c r="AG91" s="279">
        <v>70.77</v>
      </c>
      <c r="AH91" s="279">
        <v>71.003</v>
      </c>
      <c r="AI91" s="267">
        <v>69.41</v>
      </c>
      <c r="AJ91" s="303">
        <v>69.93370846147305</v>
      </c>
      <c r="AK91" s="267">
        <v>70.85661311334043</v>
      </c>
      <c r="AL91" s="267">
        <v>71.54541586357954</v>
      </c>
      <c r="AM91" s="267">
        <v>71.391459581339</v>
      </c>
      <c r="AN91" s="267">
        <v>71.539043569578</v>
      </c>
      <c r="AO91" s="304">
        <v>72.323622532452</v>
      </c>
      <c r="AP91" s="267">
        <v>72.393</v>
      </c>
      <c r="AQ91" s="283">
        <v>72.142</v>
      </c>
      <c r="AR91" s="283">
        <v>72.354</v>
      </c>
      <c r="AS91" s="31">
        <v>91</v>
      </c>
      <c r="AT91" s="226"/>
      <c r="BO91" s="281" t="str">
        <f t="shared" si="18"/>
        <v>LZW</v>
      </c>
      <c r="BP91" s="123" t="s">
        <v>385</v>
      </c>
      <c r="CQ91" s="305">
        <v>43924</v>
      </c>
      <c r="CR91" s="229" t="s">
        <v>56</v>
      </c>
      <c r="CS91" s="40" t="s">
        <v>55</v>
      </c>
      <c r="CT91" s="40" t="s">
        <v>56</v>
      </c>
      <c r="CU91" s="40" t="s">
        <v>55</v>
      </c>
      <c r="CV91" s="40" t="s">
        <v>55</v>
      </c>
      <c r="CW91" s="306" t="s">
        <v>55</v>
      </c>
      <c r="DI91" s="307" t="s">
        <v>386</v>
      </c>
      <c r="DL91" s="38">
        <v>44339</v>
      </c>
      <c r="DM91" s="40" t="s">
        <v>55</v>
      </c>
      <c r="DN91" s="40" t="s">
        <v>55</v>
      </c>
      <c r="EU91" s="212" t="s">
        <v>13</v>
      </c>
      <c r="EV91" s="308" t="s">
        <v>387</v>
      </c>
      <c r="EW91" s="309" t="s">
        <v>388</v>
      </c>
      <c r="EX91" s="310" t="s">
        <v>389</v>
      </c>
      <c r="EY91" s="309" t="s">
        <v>390</v>
      </c>
      <c r="EZ91" s="310" t="s">
        <v>391</v>
      </c>
      <c r="FA91" s="310" t="s">
        <v>392</v>
      </c>
      <c r="FB91" s="310" t="s">
        <v>393</v>
      </c>
      <c r="FC91" s="310" t="s">
        <v>394</v>
      </c>
      <c r="FD91" s="310" t="s">
        <v>395</v>
      </c>
      <c r="FE91" s="311" t="s">
        <v>381</v>
      </c>
    </row>
    <row r="92" ht="18.5" customHeight="1" spans="9:161" x14ac:dyDescent="0.25">
      <c r="I92" s="187"/>
      <c r="J92" s="217" t="s">
        <v>396</v>
      </c>
      <c r="K92" s="121" t="s">
        <v>397</v>
      </c>
      <c r="L92" s="119"/>
      <c r="M92" s="119"/>
      <c r="N92" s="119"/>
      <c r="O92" s="218" t="s">
        <v>398</v>
      </c>
      <c r="P92" s="275"/>
      <c r="R92" s="312"/>
      <c r="U92" s="313">
        <f>U167/U91</f>
        <v>43.206939348996954</v>
      </c>
      <c r="V92" s="313">
        <f t="shared" ref="V92:AR92" si="22">V167/V91</f>
        <v>42.7492868993135</v>
      </c>
      <c r="W92" s="313">
        <f t="shared" si="22"/>
        <v>45.44724189473684</v>
      </c>
      <c r="X92" s="313">
        <f t="shared" si="22"/>
        <v>44.298503885723704</v>
      </c>
      <c r="Y92" s="313">
        <f t="shared" si="22"/>
        <v>43.41673739769028</v>
      </c>
      <c r="Z92" s="313">
        <f t="shared" si="22"/>
        <v>46.04676815125376</v>
      </c>
      <c r="AA92" s="313">
        <f t="shared" si="22"/>
        <v>48.263748607689806</v>
      </c>
      <c r="AB92" s="313">
        <f t="shared" si="22"/>
        <v>49.22629539903151</v>
      </c>
      <c r="AC92" s="313">
        <f t="shared" si="22"/>
        <v>53.22299360111471</v>
      </c>
      <c r="AD92" s="313">
        <f t="shared" si="22"/>
        <v>56.64405273852399</v>
      </c>
      <c r="AE92" s="313">
        <f t="shared" si="22"/>
        <v>58.97912732881757</v>
      </c>
      <c r="AF92" s="313">
        <f t="shared" si="22"/>
        <v>63.457556425113935</v>
      </c>
      <c r="AG92" s="313">
        <f t="shared" si="22"/>
        <v>67.47991724969835</v>
      </c>
      <c r="AH92" s="313">
        <f t="shared" si="22"/>
        <v>70.62140234848118</v>
      </c>
      <c r="AI92" s="313">
        <f t="shared" si="22"/>
        <v>66.89628158851706</v>
      </c>
      <c r="AJ92" s="314">
        <f t="shared" si="22"/>
        <v>69.7150852939227</v>
      </c>
      <c r="AK92" s="313">
        <f t="shared" si="22"/>
        <v>71.76575210476639</v>
      </c>
      <c r="AL92" s="313">
        <f t="shared" si="22"/>
        <v>73.84674636436351</v>
      </c>
      <c r="AM92" s="313">
        <f t="shared" si="22"/>
        <v>75.56012344053151</v>
      </c>
      <c r="AN92" s="313">
        <f t="shared" si="22"/>
        <v>76.00747797621544</v>
      </c>
      <c r="AO92" s="314">
        <f t="shared" si="22"/>
        <v>74.20555775569582</v>
      </c>
      <c r="AP92" s="313">
        <f t="shared" si="22"/>
        <v>75.0240565513269</v>
      </c>
      <c r="AQ92" s="313">
        <f t="shared" si="22"/>
        <v>77.16721104305692</v>
      </c>
      <c r="AR92" s="313">
        <f t="shared" si="22"/>
        <v>78.86463585351076</v>
      </c>
      <c r="AT92" s="226"/>
      <c r="BO92" s="281" t="str">
        <f t="shared" si="18"/>
        <v>POXS</v>
      </c>
      <c r="BP92" s="123"/>
      <c r="CQ92" s="62">
        <v>1995</v>
      </c>
      <c r="CR92" s="140">
        <f>CT92</f>
        <v>272.5015</v>
      </c>
      <c r="CS92" s="315">
        <f t="array" ref="CS92:CS115">TRANSPOSE(U160:AR160)</f>
        <v>1</v>
      </c>
      <c r="CT92" s="140">
        <f t="array" ref="CT92:CT115">TRANSPOSE(U70:AR70)</f>
        <v>272.5015</v>
      </c>
      <c r="CU92" s="315">
        <v>1</v>
      </c>
      <c r="CV92" s="315"/>
      <c r="CW92" s="201">
        <v>1</v>
      </c>
      <c r="DI92" s="316">
        <f>CU92</f>
        <v>1</v>
      </c>
      <c r="DL92" s="43">
        <v>1995</v>
      </c>
      <c r="DM92" s="138">
        <f t="array" ref="DM92:DM115">TRANSPOSE(СЧЁТ!O186:AL186)</f>
        <v>1</v>
      </c>
      <c r="DN92" s="47"/>
      <c r="EU92" s="305">
        <v>44341</v>
      </c>
      <c r="EV92" s="40" t="s">
        <v>55</v>
      </c>
      <c r="EW92" s="40" t="s">
        <v>55</v>
      </c>
      <c r="EX92" s="40" t="s">
        <v>55</v>
      </c>
      <c r="EY92" s="40" t="s">
        <v>55</v>
      </c>
      <c r="EZ92" s="40" t="s">
        <v>55</v>
      </c>
      <c r="FA92" s="40" t="s">
        <v>55</v>
      </c>
      <c r="FB92" s="40" t="s">
        <v>55</v>
      </c>
      <c r="FC92" s="317" t="s">
        <v>55</v>
      </c>
      <c r="FD92" s="318" t="s">
        <v>399</v>
      </c>
      <c r="FE92" s="319" t="s">
        <v>55</v>
      </c>
    </row>
    <row r="93" ht="18" customHeight="1" spans="9:161" x14ac:dyDescent="0.25">
      <c r="I93" s="187" t="s">
        <v>400</v>
      </c>
      <c r="J93" s="217" t="s">
        <v>401</v>
      </c>
      <c r="K93" s="31" t="s">
        <v>402</v>
      </c>
      <c r="O93" s="218" t="s">
        <v>363</v>
      </c>
      <c r="P93" s="275"/>
      <c r="U93" s="290">
        <v>6.684</v>
      </c>
      <c r="V93" s="254">
        <v>6.732</v>
      </c>
      <c r="W93" s="254">
        <v>8.058</v>
      </c>
      <c r="X93" s="254">
        <v>8.902</v>
      </c>
      <c r="Y93" s="254">
        <v>9.094</v>
      </c>
      <c r="Z93" s="289">
        <f>Z97-Z91</f>
        <v>7.700000000000003</v>
      </c>
      <c r="AA93" s="271">
        <f t="shared" ref="AA93:AI93" si="23">AA97-AA91</f>
        <v>6.421999999999997</v>
      </c>
      <c r="AB93" s="271">
        <f t="shared" si="23"/>
        <v>5.697999999999993</v>
      </c>
      <c r="AC93" s="271">
        <f t="shared" si="23"/>
        <v>5.9339999999999975</v>
      </c>
      <c r="AD93" s="271">
        <f t="shared" si="23"/>
        <v>5.665999999999997</v>
      </c>
      <c r="AE93" s="289">
        <f t="shared" si="23"/>
        <v>5.242000000000004</v>
      </c>
      <c r="AF93" s="270">
        <f t="shared" si="23"/>
        <v>5.25</v>
      </c>
      <c r="AG93" s="270">
        <f t="shared" si="23"/>
        <v>4.5190000000000055</v>
      </c>
      <c r="AH93" s="270">
        <f t="shared" si="23"/>
        <v>4.697000000000003</v>
      </c>
      <c r="AI93" s="270">
        <f t="shared" si="23"/>
        <v>6.284000000000006</v>
      </c>
      <c r="AJ93" s="320">
        <v>5.544165583815838</v>
      </c>
      <c r="AK93" s="270">
        <v>4.922399755454807</v>
      </c>
      <c r="AL93" s="270">
        <v>4.130659994510245</v>
      </c>
      <c r="AM93" s="270">
        <v>4.137443347976</v>
      </c>
      <c r="AN93" s="270">
        <v>3.889373856792</v>
      </c>
      <c r="AO93" s="238">
        <v>4.263926593338001</v>
      </c>
      <c r="AP93" s="270">
        <v>4.243</v>
      </c>
      <c r="AQ93" s="283">
        <v>3.967</v>
      </c>
      <c r="AR93" s="283">
        <v>3.657</v>
      </c>
      <c r="AS93" s="31" t="s">
        <v>287</v>
      </c>
      <c r="AT93" s="226"/>
      <c r="BO93" s="281" t="str">
        <f t="shared" si="18"/>
        <v>BZ</v>
      </c>
      <c r="BP93" s="123" t="s">
        <v>385</v>
      </c>
      <c r="CQ93" s="62">
        <v>1996</v>
      </c>
      <c r="CR93" s="55">
        <f t="shared" ref="CR93:CR115" si="24">CR$92*CS93</f>
        <v>280.9490465</v>
      </c>
      <c r="CS93" s="272">
        <v>1.031</v>
      </c>
      <c r="CT93" s="55">
        <v>391.3813</v>
      </c>
      <c r="CU93" s="57">
        <f>CT93/CR93</f>
        <v>1.3930686182271845</v>
      </c>
      <c r="CV93" s="57"/>
      <c r="CW93" s="75">
        <f>НАСТРОЙКА!DR137</f>
        <v>1.218</v>
      </c>
      <c r="DI93" s="316">
        <f>CU93</f>
        <v>1.3930686182271845</v>
      </c>
      <c r="DL93" s="62">
        <v>1996</v>
      </c>
      <c r="DM93" s="78">
        <v>1.031</v>
      </c>
      <c r="DN93" s="63"/>
      <c r="ED93" s="28" t="s">
        <v>13</v>
      </c>
      <c r="EE93" s="29" t="s">
        <v>379</v>
      </c>
      <c r="EF93" s="128" t="s">
        <v>279</v>
      </c>
      <c r="EU93" s="62">
        <v>1995</v>
      </c>
      <c r="EV93" s="321">
        <v>1</v>
      </c>
      <c r="EW93" s="322">
        <v>1</v>
      </c>
      <c r="EX93" s="321">
        <v>1</v>
      </c>
      <c r="EY93" s="321">
        <v>1</v>
      </c>
      <c r="EZ93" s="321">
        <v>1</v>
      </c>
      <c r="FA93" s="321">
        <v>1</v>
      </c>
      <c r="FB93" s="321">
        <f>FB319</f>
        <v>3.6</v>
      </c>
      <c r="FC93" s="321"/>
      <c r="FD93" s="57">
        <f>FT138</f>
        <v>17.1</v>
      </c>
      <c r="FE93" s="201">
        <v>1</v>
      </c>
    </row>
    <row r="94" ht="18" customHeight="1" spans="10:161" x14ac:dyDescent="0.25">
      <c r="J94" s="217" t="s">
        <v>403</v>
      </c>
      <c r="K94" s="114" t="s">
        <v>404</v>
      </c>
      <c r="L94" s="114"/>
      <c r="M94" s="114"/>
      <c r="N94" s="114"/>
      <c r="O94" s="218" t="s">
        <v>363</v>
      </c>
      <c r="P94" s="275"/>
      <c r="Q94" s="195"/>
      <c r="R94" s="195"/>
      <c r="S94" s="195"/>
      <c r="T94" s="195"/>
      <c r="U94" s="323">
        <f>U97-U91</f>
        <v>6.684999999999988</v>
      </c>
      <c r="V94" s="323">
        <f t="shared" ref="V94:AR94" si="25">V97-V91</f>
        <v>6.731999999999999</v>
      </c>
      <c r="W94" s="323">
        <f t="shared" si="25"/>
        <v>8.057999999999993</v>
      </c>
      <c r="X94" s="323">
        <f t="shared" si="25"/>
        <v>8.902000000000001</v>
      </c>
      <c r="Y94" s="323">
        <f t="shared" si="25"/>
        <v>9.092999999999996</v>
      </c>
      <c r="Z94" s="289">
        <f t="shared" si="25"/>
        <v>7.700000000000003</v>
      </c>
      <c r="AA94" s="279">
        <f t="shared" si="25"/>
        <v>6.421999999999997</v>
      </c>
      <c r="AB94" s="279">
        <f t="shared" si="25"/>
        <v>5.697999999999993</v>
      </c>
      <c r="AC94" s="279">
        <f t="shared" si="25"/>
        <v>5.9339999999999975</v>
      </c>
      <c r="AD94" s="279">
        <f t="shared" si="25"/>
        <v>5.665999999999997</v>
      </c>
      <c r="AE94" s="289">
        <f t="shared" si="25"/>
        <v>5.242000000000004</v>
      </c>
      <c r="AF94" s="279">
        <f t="shared" si="25"/>
        <v>5.25</v>
      </c>
      <c r="AG94" s="279">
        <f t="shared" si="25"/>
        <v>4.5190000000000055</v>
      </c>
      <c r="AH94" s="279">
        <f t="shared" si="25"/>
        <v>4.697000000000003</v>
      </c>
      <c r="AI94" s="219">
        <f t="shared" si="25"/>
        <v>6.284000000000006</v>
      </c>
      <c r="AJ94" s="237">
        <f t="shared" si="25"/>
        <v>5.544291538526949</v>
      </c>
      <c r="AK94" s="219">
        <f t="shared" si="25"/>
        <v>4.922386886659567</v>
      </c>
      <c r="AL94" s="219">
        <f t="shared" si="25"/>
        <v>4.130584136420467</v>
      </c>
      <c r="AM94" s="219">
        <f t="shared" si="25"/>
        <v>4.13754041866099</v>
      </c>
      <c r="AN94" s="219">
        <f t="shared" si="25"/>
        <v>3.8893738567920053</v>
      </c>
      <c r="AO94" s="238">
        <f t="shared" si="25"/>
        <v>4.263926593337999</v>
      </c>
      <c r="AP94" s="219">
        <f t="shared" si="25"/>
        <v>4.242999999999995</v>
      </c>
      <c r="AQ94" s="219">
        <f t="shared" si="25"/>
        <v>3.9669999999999987</v>
      </c>
      <c r="AR94" s="219">
        <f t="shared" si="25"/>
        <v>3.6569999999999965</v>
      </c>
      <c r="AT94" s="226"/>
      <c r="BO94" s="281" t="s">
        <v>405</v>
      </c>
      <c r="BP94" s="194" t="s">
        <v>334</v>
      </c>
      <c r="CQ94" s="62">
        <v>1997</v>
      </c>
      <c r="CR94" s="55">
        <f t="shared" si="24"/>
        <v>274.206269384</v>
      </c>
      <c r="CS94" s="46">
        <v>1.0062559999999998</v>
      </c>
      <c r="CT94" s="55">
        <v>493.5735</v>
      </c>
      <c r="CU94" s="57">
        <f t="shared" ref="CU94:CU115" si="26">CT94/CR94</f>
        <v>1.8000080782573098</v>
      </c>
      <c r="CV94" s="57"/>
      <c r="CW94" s="75">
        <f>НАСТРОЙКА!DR138</f>
        <v>1.3519800000000002</v>
      </c>
      <c r="DI94" s="316">
        <f t="shared" ref="DI94:DI115" si="27">CU94</f>
        <v>1.8000080782573098</v>
      </c>
      <c r="DL94" s="62">
        <v>1997</v>
      </c>
      <c r="DM94" s="78">
        <v>1.0062559999999998</v>
      </c>
      <c r="DN94" s="63"/>
      <c r="ED94" s="324">
        <v>44340</v>
      </c>
      <c r="EE94" s="325" t="s">
        <v>56</v>
      </c>
      <c r="EF94" s="325" t="s">
        <v>56</v>
      </c>
      <c r="EU94" s="62">
        <v>1996</v>
      </c>
      <c r="EV94" s="57">
        <f>CU53</f>
        <v>1.4723042021668387</v>
      </c>
      <c r="EW94" s="326">
        <f>DI93</f>
        <v>1.3930686182271845</v>
      </c>
      <c r="EX94" s="57">
        <f>DL137</f>
        <v>1.4997486735151189</v>
      </c>
      <c r="EY94" s="57">
        <f>CU230</f>
        <v>1.170751567490661</v>
      </c>
      <c r="EZ94" s="57">
        <f>EB414</f>
        <v>1.1463921152743077</v>
      </c>
      <c r="FA94" s="57">
        <f>DQ185</f>
        <v>1.7194377618988257</v>
      </c>
      <c r="FB94" s="57">
        <f>FB320</f>
        <v>4.6</v>
      </c>
      <c r="FC94" s="57"/>
      <c r="FD94" s="57">
        <f>FT139</f>
        <v>20.5</v>
      </c>
      <c r="FE94" s="75">
        <f t="shared" ref="FE94:FE133" si="28">CW93</f>
        <v>1.218</v>
      </c>
    </row>
    <row r="95" ht="17.5" customHeight="1" spans="5:161" x14ac:dyDescent="0.25">
      <c r="E95" s="287" t="s">
        <v>406</v>
      </c>
      <c r="F95" s="327"/>
      <c r="G95" s="327"/>
      <c r="I95" s="328" t="s">
        <v>292</v>
      </c>
      <c r="J95" s="217" t="s">
        <v>407</v>
      </c>
      <c r="K95" s="119" t="s">
        <v>408</v>
      </c>
      <c r="L95" s="119"/>
      <c r="M95" s="119"/>
      <c r="N95" s="119"/>
      <c r="O95" s="218" t="s">
        <v>299</v>
      </c>
      <c r="P95" s="275"/>
      <c r="U95" s="289">
        <f>U96/U93</f>
        <v>0.34814482345900655</v>
      </c>
      <c r="V95" s="271">
        <f>V96/V93</f>
        <v>0.37225193107546045</v>
      </c>
      <c r="W95" s="271">
        <f t="shared" ref="W95:AR95" si="29">W96/W93</f>
        <v>0.24807644576818072</v>
      </c>
      <c r="X95" s="271">
        <f t="shared" si="29"/>
        <v>0.21669287800494275</v>
      </c>
      <c r="Y95" s="271">
        <f t="shared" si="29"/>
        <v>0.13888277985484934</v>
      </c>
      <c r="Z95" s="289">
        <f t="shared" si="29"/>
        <v>0.13467532467532461</v>
      </c>
      <c r="AA95" s="279">
        <f t="shared" si="29"/>
        <v>0.1748676424789786</v>
      </c>
      <c r="AB95" s="279">
        <f t="shared" si="29"/>
        <v>0.26325026325026357</v>
      </c>
      <c r="AC95" s="279">
        <f t="shared" si="29"/>
        <v>0.27620492079541636</v>
      </c>
      <c r="AD95" s="279">
        <f t="shared" si="29"/>
        <v>0.3388633956936112</v>
      </c>
      <c r="AE95" s="289">
        <f t="shared" si="29"/>
        <v>0.3491033956505148</v>
      </c>
      <c r="AF95" s="279">
        <f t="shared" si="29"/>
        <v>0.33180952380952383</v>
      </c>
      <c r="AG95" s="279">
        <f t="shared" si="29"/>
        <v>0.3436601017924315</v>
      </c>
      <c r="AH95" s="279">
        <f t="shared" si="29"/>
        <v>0.32403661911858617</v>
      </c>
      <c r="AI95" s="219">
        <f t="shared" si="29"/>
        <v>0.34166136218968773</v>
      </c>
      <c r="AJ95" s="289">
        <f t="shared" si="29"/>
        <v>0.2866076014465556</v>
      </c>
      <c r="AK95" s="271">
        <f t="shared" si="29"/>
        <v>0.2612546854966231</v>
      </c>
      <c r="AL95" s="271">
        <f t="shared" si="29"/>
        <v>0.25782804719231617</v>
      </c>
      <c r="AM95" s="271">
        <f t="shared" si="29"/>
        <v>0.22180533310478653</v>
      </c>
      <c r="AN95" s="271">
        <f t="shared" si="29"/>
        <v>0.22548616622917284</v>
      </c>
      <c r="AO95" s="299">
        <f t="shared" si="29"/>
        <v>0.22702079381770135</v>
      </c>
      <c r="AP95" s="271">
        <f t="shared" si="29"/>
        <v>0.22531227904784348</v>
      </c>
      <c r="AQ95" s="271">
        <f t="shared" si="29"/>
        <v>0.20569700025207963</v>
      </c>
      <c r="AR95" s="271">
        <f t="shared" si="29"/>
        <v>0.19496855345911948</v>
      </c>
      <c r="AT95" s="226"/>
      <c r="BO95" s="281" t="str">
        <f t="shared" ref="BO95:BO103" si="30">J95</f>
        <v>qR</v>
      </c>
      <c r="BP95" s="194" t="s">
        <v>334</v>
      </c>
      <c r="CQ95" s="62">
        <v>1998</v>
      </c>
      <c r="CR95" s="55">
        <f t="shared" si="24"/>
        <v>276.94833207783995</v>
      </c>
      <c r="CS95" s="46">
        <v>1.0163185599999998</v>
      </c>
      <c r="CT95" s="55">
        <v>492.6206</v>
      </c>
      <c r="CU95" s="57">
        <f t="shared" si="26"/>
        <v>1.7787455021088285</v>
      </c>
      <c r="CV95" s="57"/>
      <c r="CW95" s="75">
        <f>НАСТРОЙКА!DR139</f>
        <v>2.4930511200000005</v>
      </c>
      <c r="DI95" s="316">
        <f t="shared" si="27"/>
        <v>1.7787455021088285</v>
      </c>
      <c r="DL95" s="62">
        <v>1998</v>
      </c>
      <c r="DM95" s="78">
        <v>1.0163185599999998</v>
      </c>
      <c r="DN95" s="63"/>
      <c r="ED95" s="329">
        <v>1995</v>
      </c>
      <c r="EE95" s="330">
        <f t="array" ref="EE95:EE118">TRANSPOSE(U70:AR70)</f>
        <v>272.5015</v>
      </c>
      <c r="EF95" s="331">
        <f t="array" ref="EF95:EF118">TRANSPOSE(U65:AR65)</f>
        <v>1428.5209000000002</v>
      </c>
      <c r="EU95" s="62">
        <v>1997</v>
      </c>
      <c r="EV95" s="57">
        <f t="shared" ref="EV95:EV116" si="31">CU54</f>
        <v>1.718558670886825</v>
      </c>
      <c r="EW95" s="326">
        <f t="shared" ref="EW95:EW133" si="32">DI94</f>
        <v>1.8000080782573098</v>
      </c>
      <c r="EX95" s="57">
        <f t="shared" ref="EX95:EX133" si="33">DL138</f>
        <v>1.9526312539350381</v>
      </c>
      <c r="EY95" s="57">
        <f t="shared" ref="EY95:EY116" si="34">CU231</f>
        <v>1.4027022303089887</v>
      </c>
      <c r="EZ95" s="57">
        <f t="shared" ref="EZ95:EZ133" si="35">EB415</f>
        <v>1.2513079717780982</v>
      </c>
      <c r="FA95" s="57">
        <f t="shared" ref="FA95:FA116" si="36">DQ186</f>
        <v>1.9680277801214476</v>
      </c>
      <c r="FB95" s="57">
        <f t="shared" ref="FB95:FB133" si="37">FB321</f>
        <v>5.5</v>
      </c>
      <c r="FC95" s="57"/>
      <c r="FD95" s="57">
        <f t="shared" ref="FD95:FD133" si="38">FT140</f>
        <v>19.1</v>
      </c>
      <c r="FE95" s="75">
        <f t="shared" si="28"/>
        <v>1.3519800000000002</v>
      </c>
    </row>
    <row r="96" ht="17.5" customHeight="1" spans="9:161" x14ac:dyDescent="0.25">
      <c r="I96" s="187" t="s">
        <v>409</v>
      </c>
      <c r="J96" s="217" t="s">
        <v>410</v>
      </c>
      <c r="K96" s="119" t="s">
        <v>411</v>
      </c>
      <c r="L96" s="119"/>
      <c r="M96" s="119"/>
      <c r="N96" s="119"/>
      <c r="O96" s="218" t="s">
        <v>363</v>
      </c>
      <c r="P96" s="275"/>
      <c r="R96" s="312"/>
      <c r="U96" s="290">
        <v>2.327</v>
      </c>
      <c r="V96" s="254">
        <v>2.506</v>
      </c>
      <c r="W96" s="254">
        <v>1.999</v>
      </c>
      <c r="X96" s="254">
        <v>1.929</v>
      </c>
      <c r="Y96" s="254">
        <v>1.263</v>
      </c>
      <c r="Z96" s="290">
        <v>1.037</v>
      </c>
      <c r="AA96" s="279">
        <v>1.123</v>
      </c>
      <c r="AB96" s="279">
        <v>1.5</v>
      </c>
      <c r="AC96" s="279">
        <v>1.639</v>
      </c>
      <c r="AD96" s="279">
        <v>1.92</v>
      </c>
      <c r="AE96" s="289">
        <v>1.83</v>
      </c>
      <c r="AF96" s="279">
        <v>1.742</v>
      </c>
      <c r="AG96" s="279">
        <v>1.553</v>
      </c>
      <c r="AH96" s="279">
        <v>1.522</v>
      </c>
      <c r="AI96" s="271">
        <v>2.147</v>
      </c>
      <c r="AJ96" s="290">
        <v>1.589</v>
      </c>
      <c r="AK96" s="271">
        <v>1.286</v>
      </c>
      <c r="AL96" s="271">
        <v>1.065</v>
      </c>
      <c r="AM96" s="271">
        <v>0.9177069999999999</v>
      </c>
      <c r="AN96" s="271">
        <v>0.877</v>
      </c>
      <c r="AO96" s="238">
        <v>0.968</v>
      </c>
      <c r="AP96" s="31">
        <v>0.956</v>
      </c>
      <c r="AQ96" s="31">
        <v>0.816</v>
      </c>
      <c r="AR96" s="31">
        <v>0.713</v>
      </c>
      <c r="AS96" s="31" t="s">
        <v>287</v>
      </c>
      <c r="AT96" s="226"/>
      <c r="BO96" s="281" t="str">
        <f t="shared" si="30"/>
        <v>ZBR</v>
      </c>
      <c r="BP96" s="123" t="s">
        <v>382</v>
      </c>
      <c r="CQ96" s="62">
        <v>1999</v>
      </c>
      <c r="CR96" s="55">
        <f t="shared" si="24"/>
        <v>285.533730372253</v>
      </c>
      <c r="CS96" s="46">
        <v>1.0478244353599997</v>
      </c>
      <c r="CT96" s="55">
        <v>703.2091</v>
      </c>
      <c r="CU96" s="57">
        <f t="shared" si="26"/>
        <v>2.4627881934761957</v>
      </c>
      <c r="CV96" s="57"/>
      <c r="CW96" s="75">
        <f>НАСТРОЙКА!DR140</f>
        <v>3.4030147788000007</v>
      </c>
      <c r="DI96" s="316">
        <f t="shared" si="27"/>
        <v>2.4627881934761957</v>
      </c>
      <c r="DL96" s="62">
        <v>1999</v>
      </c>
      <c r="DM96" s="78">
        <v>1.0478244353599997</v>
      </c>
      <c r="DN96" s="63"/>
      <c r="ED96" s="332">
        <v>1996</v>
      </c>
      <c r="EE96" s="55">
        <v>391.3813</v>
      </c>
      <c r="EF96" s="333">
        <v>2007.8252000000007</v>
      </c>
      <c r="EU96" s="62">
        <v>1998</v>
      </c>
      <c r="EV96" s="57">
        <f t="shared" si="31"/>
        <v>2.1060897046594413</v>
      </c>
      <c r="EW96" s="326">
        <f t="shared" si="32"/>
        <v>1.7787455021088285</v>
      </c>
      <c r="EX96" s="57">
        <f t="shared" si="33"/>
        <v>2.005906030355448</v>
      </c>
      <c r="EY96" s="57">
        <f t="shared" si="34"/>
        <v>2.0776657762662096</v>
      </c>
      <c r="EZ96" s="57">
        <f t="shared" si="35"/>
        <v>1.7757982734232498</v>
      </c>
      <c r="FA96" s="57">
        <f t="shared" si="36"/>
        <v>2.2270348811115843</v>
      </c>
      <c r="FB96" s="57">
        <f t="shared" si="37"/>
        <v>9.7</v>
      </c>
      <c r="FC96" s="57"/>
      <c r="FD96" s="57">
        <f t="shared" si="38"/>
        <v>12.7</v>
      </c>
      <c r="FE96" s="75">
        <f t="shared" si="28"/>
        <v>2.4930511200000005</v>
      </c>
    </row>
    <row r="97" ht="17.5" customHeight="1" spans="9:161" x14ac:dyDescent="0.25">
      <c r="I97" s="187" t="s">
        <v>412</v>
      </c>
      <c r="J97" s="217" t="s">
        <v>413</v>
      </c>
      <c r="K97" s="119" t="s">
        <v>414</v>
      </c>
      <c r="L97" s="119"/>
      <c r="M97" s="119"/>
      <c r="N97" s="119"/>
      <c r="O97" s="218" t="s">
        <v>363</v>
      </c>
      <c r="P97" s="275"/>
      <c r="Q97" s="189"/>
      <c r="R97" s="189">
        <v>74.946</v>
      </c>
      <c r="S97" s="189"/>
      <c r="T97" s="189"/>
      <c r="U97" s="289">
        <v>70.74</v>
      </c>
      <c r="V97" s="271">
        <v>69.66</v>
      </c>
      <c r="W97" s="271">
        <v>68.079</v>
      </c>
      <c r="X97" s="271">
        <v>67.339</v>
      </c>
      <c r="Y97" s="271">
        <v>72.175</v>
      </c>
      <c r="Z97" s="289">
        <v>72.77</v>
      </c>
      <c r="AA97" s="279">
        <v>71.545</v>
      </c>
      <c r="AB97" s="279">
        <v>72.357</v>
      </c>
      <c r="AC97" s="279">
        <v>72.273</v>
      </c>
      <c r="AD97" s="279">
        <v>72.985</v>
      </c>
      <c r="AE97" s="289">
        <v>73.581</v>
      </c>
      <c r="AF97" s="279">
        <v>74.419</v>
      </c>
      <c r="AG97" s="279">
        <v>75.289</v>
      </c>
      <c r="AH97" s="279">
        <v>75.7</v>
      </c>
      <c r="AI97" s="271">
        <v>75.694</v>
      </c>
      <c r="AJ97" s="334">
        <v>75.478</v>
      </c>
      <c r="AK97" s="313">
        <v>75.779</v>
      </c>
      <c r="AL97" s="313">
        <v>75.676</v>
      </c>
      <c r="AM97" s="313">
        <v>75.529</v>
      </c>
      <c r="AN97" s="313">
        <f>AN91+AN93</f>
        <v>75.42841742637</v>
      </c>
      <c r="AO97" s="314">
        <f t="shared" ref="AO97:AR97" si="39">AO91+AO93</f>
        <v>76.58754912579</v>
      </c>
      <c r="AP97" s="313">
        <f t="shared" si="39"/>
        <v>76.636</v>
      </c>
      <c r="AQ97" s="313">
        <f t="shared" si="39"/>
        <v>76.109</v>
      </c>
      <c r="AR97" s="313">
        <f t="shared" si="39"/>
        <v>76.011</v>
      </c>
      <c r="AT97" s="226"/>
      <c r="BO97" s="335" t="str">
        <f t="shared" si="30"/>
        <v>A</v>
      </c>
      <c r="BP97" s="123" t="s">
        <v>385</v>
      </c>
      <c r="CQ97" s="62">
        <v>2000</v>
      </c>
      <c r="CR97" s="55">
        <f t="shared" si="24"/>
        <v>291.24440497969806</v>
      </c>
      <c r="CS97" s="46">
        <v>1.0687809240671997</v>
      </c>
      <c r="CT97" s="55">
        <v>1102.4971</v>
      </c>
      <c r="CU97" s="57">
        <f t="shared" si="26"/>
        <v>3.785470488529565</v>
      </c>
      <c r="CV97" s="57"/>
      <c r="CW97" s="75">
        <f>НАСТРОЙКА!DR141</f>
        <v>4.090423764117601</v>
      </c>
      <c r="DI97" s="316">
        <f t="shared" si="27"/>
        <v>3.785470488529565</v>
      </c>
      <c r="DL97" s="62">
        <v>2000</v>
      </c>
      <c r="DM97" s="78">
        <v>1.0687809240671997</v>
      </c>
      <c r="DN97" s="63"/>
      <c r="ED97" s="332">
        <v>1997</v>
      </c>
      <c r="EE97" s="55">
        <v>493.5735</v>
      </c>
      <c r="EF97" s="333">
        <v>2342.5136999999995</v>
      </c>
      <c r="EU97" s="62">
        <v>1999</v>
      </c>
      <c r="EV97" s="57">
        <f t="shared" si="31"/>
        <v>3.727842297346868</v>
      </c>
      <c r="EW97" s="326">
        <f t="shared" si="32"/>
        <v>2.4627881934761957</v>
      </c>
      <c r="EX97" s="57">
        <f t="shared" si="33"/>
        <v>2.3429902839701637</v>
      </c>
      <c r="EY97" s="57">
        <f t="shared" si="34"/>
        <v>4.894300618534395</v>
      </c>
      <c r="EZ97" s="57">
        <f t="shared" si="35"/>
        <v>4.3836468174313525</v>
      </c>
      <c r="FA97" s="57">
        <f t="shared" si="36"/>
        <v>3.493098424873764</v>
      </c>
      <c r="FB97" s="57">
        <f t="shared" si="37"/>
        <v>24.62</v>
      </c>
      <c r="FC97" s="57"/>
      <c r="FD97" s="57">
        <f t="shared" si="38"/>
        <v>17.7</v>
      </c>
      <c r="FE97" s="75">
        <f t="shared" si="28"/>
        <v>3.4030147788000007</v>
      </c>
    </row>
    <row r="98" ht="17.5" customHeight="1" spans="9:161" x14ac:dyDescent="0.25">
      <c r="I98" s="31" t="s">
        <v>415</v>
      </c>
      <c r="J98" s="217" t="s">
        <v>416</v>
      </c>
      <c r="K98" s="119" t="s">
        <v>417</v>
      </c>
      <c r="L98" s="119"/>
      <c r="M98" s="119"/>
      <c r="N98" s="119"/>
      <c r="O98" s="218" t="s">
        <v>283</v>
      </c>
      <c r="P98" s="275"/>
      <c r="Q98" s="189">
        <v>0.141</v>
      </c>
      <c r="R98" s="189">
        <v>3.8929</v>
      </c>
      <c r="S98" s="189">
        <v>28.6728</v>
      </c>
      <c r="T98" s="189">
        <v>85.0441</v>
      </c>
      <c r="U98" s="284">
        <v>252.4013</v>
      </c>
      <c r="V98" s="279">
        <v>378.712</v>
      </c>
      <c r="W98" s="279">
        <v>469.9588</v>
      </c>
      <c r="X98" s="279">
        <v>517.923</v>
      </c>
      <c r="Y98" s="279">
        <v>883.3081</v>
      </c>
      <c r="Z98" s="284">
        <v>1404.1115</v>
      </c>
      <c r="AA98" s="279">
        <v>1585.8331</v>
      </c>
      <c r="AB98" s="279">
        <v>2028.443</v>
      </c>
      <c r="AC98" s="279">
        <v>2318.223</v>
      </c>
      <c r="AD98" s="279">
        <v>3079.0456</v>
      </c>
      <c r="AE98" s="284">
        <v>4410.7671</v>
      </c>
      <c r="AF98" s="279">
        <v>5542.2753</v>
      </c>
      <c r="AG98" s="279">
        <v>6564.4557</v>
      </c>
      <c r="AH98" s="279">
        <v>8498.5391</v>
      </c>
      <c r="AI98" s="279">
        <v>6808.3663</v>
      </c>
      <c r="AJ98" s="284">
        <v>8494.622</v>
      </c>
      <c r="AK98" s="224">
        <v>9106.9862</v>
      </c>
      <c r="AL98" s="224">
        <v>10204.5058</v>
      </c>
      <c r="AM98" s="224">
        <v>10411.927800000001</v>
      </c>
      <c r="AN98" s="224">
        <v>11497.9471</v>
      </c>
      <c r="AO98" s="225">
        <v>9787.221300000001</v>
      </c>
      <c r="AP98" s="224">
        <v>9942.26</v>
      </c>
      <c r="AQ98" s="224">
        <v>10508.16</v>
      </c>
      <c r="AR98" s="224">
        <v>12769.69</v>
      </c>
      <c r="AT98" s="226"/>
      <c r="BO98" s="281" t="str">
        <f t="shared" si="30"/>
        <v>NL2</v>
      </c>
      <c r="BP98" s="123" t="s">
        <v>418</v>
      </c>
      <c r="CQ98" s="62">
        <v>2001</v>
      </c>
      <c r="CR98" s="55">
        <f t="shared" si="24"/>
        <v>288.91444973986046</v>
      </c>
      <c r="CS98" s="46">
        <v>1.060230676674662</v>
      </c>
      <c r="CT98" s="55">
        <v>1469.9576</v>
      </c>
      <c r="CU98" s="57">
        <f t="shared" si="26"/>
        <v>5.08786459563914</v>
      </c>
      <c r="CV98" s="57"/>
      <c r="CW98" s="75">
        <f>НАСТРОЙКА!DR142</f>
        <v>4.851242584243474</v>
      </c>
      <c r="DI98" s="316">
        <f t="shared" si="27"/>
        <v>5.08786459563914</v>
      </c>
      <c r="DL98" s="62">
        <v>2001</v>
      </c>
      <c r="DM98" s="78">
        <v>1.060230676674662</v>
      </c>
      <c r="DN98" s="63"/>
      <c r="ED98" s="332">
        <v>1998</v>
      </c>
      <c r="EE98" s="55">
        <v>492.6206</v>
      </c>
      <c r="EF98" s="333">
        <v>2629.6229</v>
      </c>
      <c r="EU98" s="62">
        <v>2000</v>
      </c>
      <c r="EV98" s="57">
        <f t="shared" si="31"/>
        <v>4.5918326760987345</v>
      </c>
      <c r="EW98" s="326">
        <f t="shared" si="32"/>
        <v>3.785470488529565</v>
      </c>
      <c r="EX98" s="57">
        <f t="shared" si="33"/>
        <v>3.240611479111068</v>
      </c>
      <c r="EY98" s="57">
        <f t="shared" si="34"/>
        <v>5.141611399445178</v>
      </c>
      <c r="EZ98" s="57">
        <f t="shared" si="35"/>
        <v>5.422670804728047</v>
      </c>
      <c r="FA98" s="57">
        <f t="shared" si="36"/>
        <v>5.171262749607017</v>
      </c>
      <c r="FB98" s="57">
        <f t="shared" si="37"/>
        <v>28.14</v>
      </c>
      <c r="FC98" s="57"/>
      <c r="FD98" s="57">
        <f t="shared" si="38"/>
        <v>28.3</v>
      </c>
      <c r="FE98" s="75">
        <f t="shared" si="28"/>
        <v>4.090423764117601</v>
      </c>
    </row>
    <row r="99" ht="17.5" customHeight="1" spans="9:161" x14ac:dyDescent="0.25">
      <c r="I99" s="31" t="s">
        <v>415</v>
      </c>
      <c r="J99" s="217" t="s">
        <v>419</v>
      </c>
      <c r="K99" s="119" t="s">
        <v>420</v>
      </c>
      <c r="L99" s="119"/>
      <c r="M99" s="119"/>
      <c r="N99" s="119"/>
      <c r="O99" s="218" t="s">
        <v>283</v>
      </c>
      <c r="P99" s="275"/>
      <c r="Q99" s="189">
        <v>-0.09</v>
      </c>
      <c r="R99" s="189">
        <v>-3.2573</v>
      </c>
      <c r="S99" s="189">
        <v>-10.4712</v>
      </c>
      <c r="T99" s="189">
        <v>-26.6409</v>
      </c>
      <c r="U99" s="284">
        <v>-82.547</v>
      </c>
      <c r="V99" s="279">
        <v>-92.8972</v>
      </c>
      <c r="W99" s="279">
        <v>-113.6888</v>
      </c>
      <c r="X99" s="279">
        <v>-98.0353</v>
      </c>
      <c r="Y99" s="279">
        <v>-125.1926</v>
      </c>
      <c r="Z99" s="284">
        <v>-155.6275</v>
      </c>
      <c r="AA99" s="279">
        <v>-183.2506</v>
      </c>
      <c r="AB99" s="279">
        <v>-181.2</v>
      </c>
      <c r="AC99" s="279">
        <v>-205.7</v>
      </c>
      <c r="AD99" s="279">
        <v>-203.595</v>
      </c>
      <c r="AE99" s="284">
        <v>-162.408</v>
      </c>
      <c r="AF99" s="279">
        <v>-155.564</v>
      </c>
      <c r="AG99" s="279">
        <v>-230.1388</v>
      </c>
      <c r="AH99" s="279">
        <v>-280.117</v>
      </c>
      <c r="AI99" s="279">
        <v>-333.869</v>
      </c>
      <c r="AJ99" s="284">
        <v>-275.454</v>
      </c>
      <c r="AK99" s="224">
        <v>-359.9829</v>
      </c>
      <c r="AL99" s="224">
        <v>-373.817</v>
      </c>
      <c r="AM99" s="224">
        <v>-349.6083</v>
      </c>
      <c r="AN99" s="224">
        <v>-493.7069</v>
      </c>
      <c r="AO99" s="225">
        <v>-516.2</v>
      </c>
      <c r="AP99" s="224">
        <v>-523.4</v>
      </c>
      <c r="AQ99" s="224">
        <v>-522.58</v>
      </c>
      <c r="AR99" s="224">
        <v>-544.79</v>
      </c>
      <c r="AT99" s="226"/>
      <c r="BO99" s="281" t="str">
        <f t="shared" si="30"/>
        <v>SB2</v>
      </c>
      <c r="BP99" s="123" t="s">
        <v>418</v>
      </c>
      <c r="CQ99" s="62">
        <v>2002</v>
      </c>
      <c r="CR99" s="55">
        <f t="shared" si="24"/>
        <v>296.4262254330968</v>
      </c>
      <c r="CS99" s="46">
        <v>1.0877966742682033</v>
      </c>
      <c r="CT99" s="55">
        <v>1942.4418</v>
      </c>
      <c r="CU99" s="57">
        <f t="shared" si="26"/>
        <v>6.552867571558401</v>
      </c>
      <c r="CV99" s="57"/>
      <c r="CW99" s="75">
        <f>НАСТРОЙКА!DR143</f>
        <v>5.583780214464239</v>
      </c>
      <c r="DI99" s="316">
        <f t="shared" si="27"/>
        <v>6.552867571558401</v>
      </c>
      <c r="DL99" s="62">
        <v>2002</v>
      </c>
      <c r="DM99" s="78">
        <v>1.0877966742682033</v>
      </c>
      <c r="DN99" s="63"/>
      <c r="ED99" s="332">
        <v>1999</v>
      </c>
      <c r="EE99" s="55">
        <v>703.2091</v>
      </c>
      <c r="EF99" s="333">
        <v>4823.232900000001</v>
      </c>
      <c r="EU99" s="62">
        <v>2001</v>
      </c>
      <c r="EV99" s="57">
        <f t="shared" si="31"/>
        <v>5.561179540405496</v>
      </c>
      <c r="EW99" s="326">
        <f t="shared" si="32"/>
        <v>5.08786459563914</v>
      </c>
      <c r="EX99" s="57">
        <f t="shared" si="33"/>
        <v>3.97066356566005</v>
      </c>
      <c r="EY99" s="57">
        <f t="shared" si="34"/>
        <v>5.343385559062673</v>
      </c>
      <c r="EZ99" s="57">
        <f t="shared" si="35"/>
        <v>5.416139427100017</v>
      </c>
      <c r="FA99" s="57">
        <f t="shared" si="36"/>
        <v>6.070726846853919</v>
      </c>
      <c r="FB99" s="57">
        <f t="shared" si="37"/>
        <v>29.17</v>
      </c>
      <c r="FC99" s="57"/>
      <c r="FD99" s="57">
        <f t="shared" si="38"/>
        <v>24.4</v>
      </c>
      <c r="FE99" s="75">
        <f t="shared" si="28"/>
        <v>4.851242584243474</v>
      </c>
    </row>
    <row r="100" ht="17.5" customHeight="1" spans="9:161" x14ac:dyDescent="0.25">
      <c r="I100" s="328" t="s">
        <v>292</v>
      </c>
      <c r="J100" s="217" t="s">
        <v>421</v>
      </c>
      <c r="K100" s="119" t="s">
        <v>422</v>
      </c>
      <c r="L100" s="119"/>
      <c r="M100" s="119"/>
      <c r="N100" s="119"/>
      <c r="O100" s="218" t="s">
        <v>283</v>
      </c>
      <c r="P100" s="275"/>
      <c r="Q100" s="189">
        <v>0.05099999999999999</v>
      </c>
      <c r="R100" s="189">
        <v>0.6356000000000002</v>
      </c>
      <c r="S100" s="189">
        <v>18.2016</v>
      </c>
      <c r="T100" s="189">
        <v>58.4032</v>
      </c>
      <c r="U100" s="284">
        <v>169.8543</v>
      </c>
      <c r="V100" s="279">
        <v>285.8148</v>
      </c>
      <c r="W100" s="279">
        <v>356.27</v>
      </c>
      <c r="X100" s="279">
        <v>419.8877</v>
      </c>
      <c r="Y100" s="279">
        <v>758.1155</v>
      </c>
      <c r="Z100" s="284">
        <f>Z98+Z99</f>
        <v>1248.484</v>
      </c>
      <c r="AA100" s="279">
        <f>AA98+AA99</f>
        <v>1402.5825</v>
      </c>
      <c r="AB100" s="279">
        <f t="shared" ref="AB100:AR100" si="40">AB98+AB99</f>
        <v>1847.243</v>
      </c>
      <c r="AC100" s="279">
        <f t="shared" si="40"/>
        <v>2112.523</v>
      </c>
      <c r="AD100" s="279">
        <f t="shared" si="40"/>
        <v>2875.4506</v>
      </c>
      <c r="AE100" s="284">
        <f t="shared" si="40"/>
        <v>4248.3591</v>
      </c>
      <c r="AF100" s="279">
        <f t="shared" si="40"/>
        <v>5386.7113</v>
      </c>
      <c r="AG100" s="279">
        <f t="shared" si="40"/>
        <v>6334.316900000001</v>
      </c>
      <c r="AH100" s="279">
        <f t="shared" si="40"/>
        <v>8218.4221</v>
      </c>
      <c r="AI100" s="279">
        <f t="shared" si="40"/>
        <v>6474.4973</v>
      </c>
      <c r="AJ100" s="284">
        <f t="shared" si="40"/>
        <v>8219.168</v>
      </c>
      <c r="AK100" s="278">
        <f t="shared" si="40"/>
        <v>8747.0033</v>
      </c>
      <c r="AL100" s="278">
        <f t="shared" si="40"/>
        <v>9830.6888</v>
      </c>
      <c r="AM100" s="278">
        <f t="shared" si="40"/>
        <v>10062.319500000001</v>
      </c>
      <c r="AN100" s="278">
        <f t="shared" si="40"/>
        <v>11004.2402</v>
      </c>
      <c r="AO100" s="225">
        <f t="shared" si="40"/>
        <v>9271.0213</v>
      </c>
      <c r="AP100" s="278">
        <f t="shared" si="40"/>
        <v>9418.86</v>
      </c>
      <c r="AQ100" s="278">
        <f t="shared" si="40"/>
        <v>9985.58</v>
      </c>
      <c r="AR100" s="278">
        <f t="shared" si="40"/>
        <v>12224.900000000001</v>
      </c>
      <c r="AT100" s="226"/>
      <c r="BO100" s="281" t="str">
        <f t="shared" si="30"/>
        <v>CN2</v>
      </c>
      <c r="BP100" s="194" t="s">
        <v>334</v>
      </c>
      <c r="CQ100" s="62">
        <v>2003</v>
      </c>
      <c r="CR100" s="55">
        <f t="shared" si="24"/>
        <v>303.54045484349115</v>
      </c>
      <c r="CS100" s="46">
        <v>1.1139037944506402</v>
      </c>
      <c r="CT100" s="55">
        <v>2366.3687</v>
      </c>
      <c r="CU100" s="57">
        <f t="shared" si="26"/>
        <v>7.795892317615872</v>
      </c>
      <c r="CV100" s="57"/>
      <c r="CW100" s="75">
        <f>НАСТРОЙКА!DR144</f>
        <v>6.253833840199949</v>
      </c>
      <c r="DI100" s="316">
        <f t="shared" si="27"/>
        <v>7.795892317615872</v>
      </c>
      <c r="DL100" s="62">
        <v>2003</v>
      </c>
      <c r="DM100" s="78">
        <v>1.1139037944506402</v>
      </c>
      <c r="DN100" s="63"/>
      <c r="ED100" s="332">
        <v>2000</v>
      </c>
      <c r="EE100" s="55">
        <v>1102.4971</v>
      </c>
      <c r="EF100" s="333">
        <v>7305.6466</v>
      </c>
      <c r="EU100" s="62">
        <v>2002</v>
      </c>
      <c r="EV100" s="57">
        <f t="shared" si="31"/>
        <v>6.468238698917706</v>
      </c>
      <c r="EW100" s="326">
        <f t="shared" si="32"/>
        <v>6.552867571558401</v>
      </c>
      <c r="EX100" s="57">
        <f t="shared" si="33"/>
        <v>5.284373447678545</v>
      </c>
      <c r="EY100" s="57">
        <f t="shared" si="34"/>
        <v>5.696540648389543</v>
      </c>
      <c r="EZ100" s="57">
        <f t="shared" si="35"/>
        <v>5.589991573495779</v>
      </c>
      <c r="FA100" s="57">
        <f t="shared" si="36"/>
        <v>6.916750986271128</v>
      </c>
      <c r="FB100" s="57">
        <f t="shared" si="37"/>
        <v>31.35</v>
      </c>
      <c r="FC100" s="57"/>
      <c r="FD100" s="57">
        <f t="shared" si="38"/>
        <v>25</v>
      </c>
      <c r="FE100" s="75">
        <f t="shared" si="28"/>
        <v>5.583780214464239</v>
      </c>
    </row>
    <row r="101" ht="17.5" customHeight="1" spans="9:161" x14ac:dyDescent="0.25">
      <c r="I101" s="31" t="s">
        <v>423</v>
      </c>
      <c r="J101" s="217" t="s">
        <v>424</v>
      </c>
      <c r="K101" s="119" t="s">
        <v>425</v>
      </c>
      <c r="L101" s="119"/>
      <c r="M101" s="119"/>
      <c r="N101" s="119"/>
      <c r="O101" s="218" t="s">
        <v>283</v>
      </c>
      <c r="P101" s="275"/>
      <c r="Q101" s="189">
        <v>0.725</v>
      </c>
      <c r="R101" s="189">
        <v>11.3905</v>
      </c>
      <c r="S101" s="189">
        <v>76.9617</v>
      </c>
      <c r="T101" s="189">
        <v>251.3444</v>
      </c>
      <c r="U101" s="284">
        <v>610.792</v>
      </c>
      <c r="V101" s="279">
        <v>699.367</v>
      </c>
      <c r="W101" s="279">
        <v>783.3437</v>
      </c>
      <c r="X101" s="279">
        <v>946.6884</v>
      </c>
      <c r="Y101" s="279">
        <v>2131.5119</v>
      </c>
      <c r="Z101" s="284">
        <v>3119.9324</v>
      </c>
      <c r="AA101" s="279">
        <v>3692.6014</v>
      </c>
      <c r="AB101" s="279">
        <v>3906.8679</v>
      </c>
      <c r="AC101" s="279">
        <v>4864.3283</v>
      </c>
      <c r="AD101" s="279">
        <v>6306.7037</v>
      </c>
      <c r="AE101" s="284">
        <v>7887.1394</v>
      </c>
      <c r="AF101" s="279">
        <v>9544.5843</v>
      </c>
      <c r="AG101" s="279">
        <v>11387.0816</v>
      </c>
      <c r="AH101" s="279">
        <v>13498.7</v>
      </c>
      <c r="AI101" s="279">
        <v>11921.086</v>
      </c>
      <c r="AJ101" s="285">
        <v>15093.737</v>
      </c>
      <c r="AK101" s="224">
        <v>25148.861699999998</v>
      </c>
      <c r="AL101" s="224">
        <v>28132.0328</v>
      </c>
      <c r="AM101" s="224">
        <v>29279.2934</v>
      </c>
      <c r="AN101" s="224">
        <v>30623.78</v>
      </c>
      <c r="AO101" s="225">
        <v>34077.79</v>
      </c>
      <c r="AP101" s="224">
        <v>35349.99</v>
      </c>
      <c r="AQ101" s="224">
        <v>38231.45</v>
      </c>
      <c r="AR101" s="224">
        <v>43406.53</v>
      </c>
      <c r="AS101" s="224"/>
      <c r="AT101" s="226"/>
      <c r="BO101" s="281" t="str">
        <f t="shared" si="30"/>
        <v>WPR</v>
      </c>
      <c r="BP101" s="123" t="s">
        <v>370</v>
      </c>
      <c r="CQ101" s="62">
        <v>2004</v>
      </c>
      <c r="CR101" s="55">
        <f t="shared" si="24"/>
        <v>309.9148043952045</v>
      </c>
      <c r="CS101" s="46">
        <v>1.1372957741341037</v>
      </c>
      <c r="CT101" s="55">
        <v>2889.8145</v>
      </c>
      <c r="CU101" s="57">
        <f t="shared" si="26"/>
        <v>9.32454487174126</v>
      </c>
      <c r="CV101" s="57"/>
      <c r="CW101" s="75">
        <f>НАСТРОЙКА!DR145</f>
        <v>6.9855323995033425</v>
      </c>
      <c r="DI101" s="316">
        <f t="shared" si="27"/>
        <v>9.32454487174126</v>
      </c>
      <c r="DL101" s="62">
        <v>2004</v>
      </c>
      <c r="DM101" s="78">
        <v>1.1372957741341037</v>
      </c>
      <c r="DN101" s="63"/>
      <c r="ED101" s="332">
        <v>2001</v>
      </c>
      <c r="EE101" s="55">
        <v>1469.9576</v>
      </c>
      <c r="EF101" s="333">
        <v>8943.582600000002</v>
      </c>
      <c r="EU101" s="62">
        <v>2003</v>
      </c>
      <c r="EV101" s="57">
        <f t="shared" si="31"/>
        <v>7.258482770625474</v>
      </c>
      <c r="EW101" s="326">
        <f t="shared" si="32"/>
        <v>7.795892317615872</v>
      </c>
      <c r="EX101" s="57">
        <f t="shared" si="33"/>
        <v>6.171508131635609</v>
      </c>
      <c r="EY101" s="57">
        <f t="shared" si="34"/>
        <v>5.788123461724907</v>
      </c>
      <c r="EZ101" s="57">
        <f t="shared" si="35"/>
        <v>6.100949264694751</v>
      </c>
      <c r="FA101" s="57">
        <f t="shared" si="36"/>
        <v>7.6273689193439225</v>
      </c>
      <c r="FB101" s="57">
        <f t="shared" si="37"/>
        <v>30.69</v>
      </c>
      <c r="FC101" s="57"/>
      <c r="FD101" s="57">
        <f t="shared" si="38"/>
        <v>28.9</v>
      </c>
      <c r="FE101" s="75">
        <f t="shared" si="28"/>
        <v>6.253833840199949</v>
      </c>
    </row>
    <row r="102" ht="17.5" customHeight="1" spans="9:161" x14ac:dyDescent="0.25">
      <c r="I102" s="31" t="s">
        <v>426</v>
      </c>
      <c r="J102" s="217" t="s">
        <v>427</v>
      </c>
      <c r="K102" s="119" t="s">
        <v>428</v>
      </c>
      <c r="O102" s="218" t="s">
        <v>283</v>
      </c>
      <c r="P102" s="275">
        <v>0.151</v>
      </c>
      <c r="Q102" s="312">
        <v>0.348</v>
      </c>
      <c r="R102" s="189">
        <v>6</v>
      </c>
      <c r="S102" s="189">
        <v>57.7</v>
      </c>
      <c r="T102" s="189">
        <v>230.4</v>
      </c>
      <c r="U102" s="284">
        <v>486.1</v>
      </c>
      <c r="V102" s="279">
        <v>652.7</v>
      </c>
      <c r="W102" s="279">
        <v>839.5</v>
      </c>
      <c r="X102" s="279">
        <v>842.1</v>
      </c>
      <c r="Y102" s="279">
        <v>1258</v>
      </c>
      <c r="Z102" s="284">
        <v>1960.1</v>
      </c>
      <c r="AA102" s="279">
        <v>2419.4</v>
      </c>
      <c r="AB102" s="279">
        <v>3422.3</v>
      </c>
      <c r="AC102" s="279">
        <v>3964.9</v>
      </c>
      <c r="AD102" s="279">
        <v>4669.7</v>
      </c>
      <c r="AE102" s="284">
        <v>6820.6</v>
      </c>
      <c r="AF102" s="279">
        <v>8375.2</v>
      </c>
      <c r="AG102" s="279">
        <v>11378.578</v>
      </c>
      <c r="AH102" s="279">
        <v>13991.788</v>
      </c>
      <c r="AI102" s="279">
        <v>16048.3</v>
      </c>
      <c r="AJ102" s="290">
        <v>17616.7</v>
      </c>
      <c r="AK102" s="279">
        <v>19995</v>
      </c>
      <c r="AL102" s="279">
        <v>23175</v>
      </c>
      <c r="AM102" s="279">
        <v>25290</v>
      </c>
      <c r="AN102" s="279">
        <v>27612</v>
      </c>
      <c r="AO102" s="233">
        <v>29742</v>
      </c>
      <c r="AP102" s="224">
        <v>31324</v>
      </c>
      <c r="AQ102" s="224">
        <v>32396</v>
      </c>
      <c r="AR102" s="224">
        <v>34285</v>
      </c>
      <c r="AS102" s="224"/>
      <c r="AT102" s="226"/>
      <c r="BO102" s="281" t="str">
        <f t="shared" si="30"/>
        <v>RBJ</v>
      </c>
      <c r="BP102" s="336" t="s">
        <v>429</v>
      </c>
      <c r="CQ102" s="62">
        <v>2005</v>
      </c>
      <c r="CR102" s="55">
        <f t="shared" si="24"/>
        <v>314.25361165673735</v>
      </c>
      <c r="CS102" s="46">
        <v>1.1532179149719812</v>
      </c>
      <c r="CT102" s="55">
        <v>3645.9185</v>
      </c>
      <c r="CU102" s="57">
        <f t="shared" si="26"/>
        <v>11.601834838997735</v>
      </c>
      <c r="CV102" s="57"/>
      <c r="CW102" s="75">
        <f>НАСТРОЙКА!DR146</f>
        <v>7.746955431049207</v>
      </c>
      <c r="DI102" s="316">
        <f t="shared" si="27"/>
        <v>11.601834838997735</v>
      </c>
      <c r="DL102" s="62">
        <v>2005</v>
      </c>
      <c r="DM102" s="78">
        <v>1.1532179149719812</v>
      </c>
      <c r="DN102" s="63"/>
      <c r="ED102" s="332">
        <v>2002</v>
      </c>
      <c r="EE102" s="55">
        <v>1942.4418</v>
      </c>
      <c r="EF102" s="333">
        <v>10819.2123</v>
      </c>
      <c r="EU102" s="62">
        <v>2004</v>
      </c>
      <c r="EV102" s="57">
        <f t="shared" si="31"/>
        <v>8.328227993617887</v>
      </c>
      <c r="EW102" s="326">
        <f t="shared" si="32"/>
        <v>9.32454487174126</v>
      </c>
      <c r="EX102" s="57">
        <f t="shared" si="33"/>
        <v>6.701602530209906</v>
      </c>
      <c r="EY102" s="57">
        <f t="shared" si="34"/>
        <v>5.617164966343534</v>
      </c>
      <c r="EZ102" s="57">
        <f t="shared" si="35"/>
        <v>6.831459964645646</v>
      </c>
      <c r="FA102" s="57">
        <f t="shared" si="36"/>
        <v>8.79041331779647</v>
      </c>
      <c r="FB102" s="57">
        <f t="shared" si="37"/>
        <v>28.81</v>
      </c>
      <c r="FC102" s="57"/>
      <c r="FD102" s="57">
        <f t="shared" si="38"/>
        <v>38.3</v>
      </c>
      <c r="FE102" s="75">
        <f t="shared" si="28"/>
        <v>6.9855323995033425</v>
      </c>
    </row>
    <row r="103" ht="17.5" customHeight="1" spans="9:161" x14ac:dyDescent="0.25">
      <c r="I103" s="31" t="s">
        <v>430</v>
      </c>
      <c r="J103" s="217" t="s">
        <v>115</v>
      </c>
      <c r="K103" s="119" t="s">
        <v>431</v>
      </c>
      <c r="O103" s="218" t="s">
        <v>283</v>
      </c>
      <c r="P103" s="275">
        <v>0.159</v>
      </c>
      <c r="Q103" s="312">
        <v>0.31</v>
      </c>
      <c r="R103" s="189">
        <v>5.3</v>
      </c>
      <c r="S103" s="189">
        <v>49.7</v>
      </c>
      <c r="T103" s="189">
        <v>172.4</v>
      </c>
      <c r="U103" s="284">
        <v>437</v>
      </c>
      <c r="V103" s="279">
        <v>558.5</v>
      </c>
      <c r="W103" s="279">
        <v>711.6</v>
      </c>
      <c r="X103" s="279">
        <v>686.8</v>
      </c>
      <c r="Y103" s="279">
        <v>1213.6</v>
      </c>
      <c r="Z103" s="284">
        <v>2097.7</v>
      </c>
      <c r="AA103" s="279">
        <v>2683.7</v>
      </c>
      <c r="AB103" s="279">
        <v>3519.2</v>
      </c>
      <c r="AC103" s="279">
        <v>4138.7</v>
      </c>
      <c r="AD103" s="279">
        <v>5429.9</v>
      </c>
      <c r="AE103" s="284">
        <v>8579.6</v>
      </c>
      <c r="AF103" s="279">
        <v>10625.8</v>
      </c>
      <c r="AG103" s="279">
        <v>13368.262</v>
      </c>
      <c r="AH103" s="279">
        <v>16003.86</v>
      </c>
      <c r="AI103" s="279">
        <v>13599.7</v>
      </c>
      <c r="AJ103" s="290">
        <v>16031.9</v>
      </c>
      <c r="AK103" s="279">
        <v>20855</v>
      </c>
      <c r="AL103" s="279">
        <v>23435</v>
      </c>
      <c r="AM103" s="279">
        <v>24442</v>
      </c>
      <c r="AN103" s="279">
        <v>26766</v>
      </c>
      <c r="AO103" s="233">
        <v>26922</v>
      </c>
      <c r="AP103" s="224">
        <v>28182</v>
      </c>
      <c r="AQ103" s="224">
        <v>31047</v>
      </c>
      <c r="AR103" s="224">
        <v>37320</v>
      </c>
      <c r="AS103" s="224"/>
      <c r="AT103" s="226"/>
      <c r="BO103" s="281" t="str">
        <f t="shared" si="30"/>
        <v>DBJ</v>
      </c>
      <c r="BP103" s="123" t="s">
        <v>432</v>
      </c>
      <c r="CQ103" s="62">
        <v>2006</v>
      </c>
      <c r="CR103" s="55">
        <f t="shared" si="24"/>
        <v>321.48144472484233</v>
      </c>
      <c r="CS103" s="46">
        <v>1.1797419270163367</v>
      </c>
      <c r="CT103" s="55">
        <v>4680.4097</v>
      </c>
      <c r="CU103" s="57">
        <f t="shared" si="26"/>
        <v>14.558879763670303</v>
      </c>
      <c r="CV103" s="57"/>
      <c r="CW103" s="75">
        <f>НАСТРОЙКА!DR147</f>
        <v>8.444181419843636</v>
      </c>
      <c r="DI103" s="316">
        <f t="shared" si="27"/>
        <v>14.558879763670303</v>
      </c>
      <c r="DL103" s="62">
        <v>2006</v>
      </c>
      <c r="DM103" s="78">
        <v>1.1797419270163367</v>
      </c>
      <c r="DN103" s="63"/>
      <c r="ED103" s="332">
        <v>2003</v>
      </c>
      <c r="EE103" s="55">
        <v>2366.3687</v>
      </c>
      <c r="EF103" s="333">
        <v>13208.2338</v>
      </c>
      <c r="EU103" s="62">
        <v>2005</v>
      </c>
      <c r="EV103" s="57">
        <f t="shared" si="31"/>
        <v>9.370471463956683</v>
      </c>
      <c r="EW103" s="326">
        <f t="shared" si="32"/>
        <v>11.601834838997735</v>
      </c>
      <c r="EX103" s="57">
        <f t="shared" si="33"/>
        <v>7.644439100868062</v>
      </c>
      <c r="EY103" s="57">
        <f t="shared" si="34"/>
        <v>5.933656338117279</v>
      </c>
      <c r="EZ103" s="57">
        <f t="shared" si="35"/>
        <v>8.02031164551573</v>
      </c>
      <c r="FA103" s="57">
        <f t="shared" si="36"/>
        <v>10.054085870175701</v>
      </c>
      <c r="FB103" s="57">
        <f t="shared" si="37"/>
        <v>28.3</v>
      </c>
      <c r="FC103" s="57"/>
      <c r="FD103" s="57">
        <f t="shared" si="38"/>
        <v>54.4</v>
      </c>
      <c r="FE103" s="75">
        <f t="shared" si="28"/>
        <v>7.746955431049207</v>
      </c>
    </row>
    <row r="104" ht="17.5" customHeight="1" spans="9:161" x14ac:dyDescent="0.25">
      <c r="I104" s="328" t="s">
        <v>292</v>
      </c>
      <c r="J104" s="337" t="s">
        <v>433</v>
      </c>
      <c r="K104" s="161" t="s">
        <v>434</v>
      </c>
      <c r="L104" s="161"/>
      <c r="M104" s="161"/>
      <c r="N104" s="338" t="s">
        <v>319</v>
      </c>
      <c r="O104" s="339" t="s">
        <v>283</v>
      </c>
      <c r="P104" s="340"/>
      <c r="Q104" s="114"/>
      <c r="R104" s="113" t="s">
        <v>138</v>
      </c>
      <c r="S104" s="114"/>
      <c r="T104" s="114"/>
      <c r="U104" s="341">
        <f t="shared" ref="U104:AR104" si="41">U101+U88+U100</f>
        <v>1428.5163</v>
      </c>
      <c r="V104" s="341">
        <f t="shared" si="41"/>
        <v>2007.8218000000002</v>
      </c>
      <c r="W104" s="341">
        <f t="shared" si="41"/>
        <v>2342.5137</v>
      </c>
      <c r="X104" s="341">
        <f t="shared" si="41"/>
        <v>2629.6231</v>
      </c>
      <c r="Y104" s="341">
        <f t="shared" si="41"/>
        <v>4823.2334</v>
      </c>
      <c r="Z104" s="284">
        <f t="shared" si="41"/>
        <v>7305.6464</v>
      </c>
      <c r="AA104" s="279">
        <f t="shared" si="41"/>
        <v>8943.5839</v>
      </c>
      <c r="AB104" s="279">
        <f t="shared" si="41"/>
        <v>10819.2109</v>
      </c>
      <c r="AC104" s="279">
        <f t="shared" si="41"/>
        <v>13208.2383</v>
      </c>
      <c r="AD104" s="279">
        <f t="shared" si="41"/>
        <v>17027.1913</v>
      </c>
      <c r="AE104" s="284">
        <f t="shared" si="41"/>
        <v>21575.3255</v>
      </c>
      <c r="AF104" s="279">
        <f t="shared" si="41"/>
        <v>26917.2006</v>
      </c>
      <c r="AG104" s="279">
        <f t="shared" si="41"/>
        <v>33247.508499999996</v>
      </c>
      <c r="AH104" s="279">
        <f t="shared" si="41"/>
        <v>41276.8821</v>
      </c>
      <c r="AI104" s="278">
        <f t="shared" si="41"/>
        <v>38807.1933</v>
      </c>
      <c r="AJ104" s="285">
        <f t="shared" si="41"/>
        <v>46308.534999999996</v>
      </c>
      <c r="AK104" s="278">
        <f t="shared" si="41"/>
        <v>60282.5404</v>
      </c>
      <c r="AL104" s="278">
        <f t="shared" si="41"/>
        <v>68163.8831</v>
      </c>
      <c r="AM104" s="278">
        <f t="shared" si="41"/>
        <v>73133.8951</v>
      </c>
      <c r="AN104" s="278">
        <f t="shared" si="41"/>
        <v>79058.48019999999</v>
      </c>
      <c r="AO104" s="225">
        <f t="shared" si="41"/>
        <v>81094.30129999999</v>
      </c>
      <c r="AP104" s="278">
        <f t="shared" si="41"/>
        <v>86014.21</v>
      </c>
      <c r="AQ104" s="224">
        <f t="shared" si="41"/>
        <v>92101.34999999999</v>
      </c>
      <c r="AR104" s="224">
        <f t="shared" si="41"/>
        <v>103875.79999999999</v>
      </c>
      <c r="AS104" s="224"/>
      <c r="AT104" s="226"/>
      <c r="BO104" s="337" t="s">
        <v>433</v>
      </c>
      <c r="BP104" s="195" t="s">
        <v>334</v>
      </c>
      <c r="CQ104" s="62">
        <v>2007</v>
      </c>
      <c r="CR104" s="55">
        <f t="shared" si="24"/>
        <v>330.16144373241303</v>
      </c>
      <c r="CS104" s="46">
        <v>1.2115949590457777</v>
      </c>
      <c r="CT104" s="55">
        <v>5750.9641</v>
      </c>
      <c r="CU104" s="57">
        <f t="shared" si="26"/>
        <v>17.41864233141954</v>
      </c>
      <c r="CV104" s="57"/>
      <c r="CW104" s="75">
        <f>НАСТРОЙКА!DR148</f>
        <v>9.446505754379075</v>
      </c>
      <c r="DI104" s="316">
        <f t="shared" si="27"/>
        <v>17.41864233141954</v>
      </c>
      <c r="DL104" s="62">
        <v>2007</v>
      </c>
      <c r="DM104" s="78">
        <v>1.2115949590457777</v>
      </c>
      <c r="DN104" s="63"/>
      <c r="ED104" s="332">
        <v>2004</v>
      </c>
      <c r="EE104" s="55">
        <v>2889.8145</v>
      </c>
      <c r="EF104" s="333">
        <v>17027.1909</v>
      </c>
      <c r="EU104" s="62">
        <v>2006</v>
      </c>
      <c r="EV104" s="57">
        <f t="shared" si="31"/>
        <v>10.171880121895711</v>
      </c>
      <c r="EW104" s="326">
        <f t="shared" si="32"/>
        <v>14.558879763670303</v>
      </c>
      <c r="EX104" s="57">
        <f t="shared" si="33"/>
        <v>8.625582341885453</v>
      </c>
      <c r="EY104" s="57">
        <f t="shared" si="34"/>
        <v>5.949475526803211</v>
      </c>
      <c r="EZ104" s="57">
        <f t="shared" si="35"/>
        <v>8.577771592643286</v>
      </c>
      <c r="FA104" s="57">
        <f t="shared" si="36"/>
        <v>11.28478682823815</v>
      </c>
      <c r="FB104" s="57">
        <f t="shared" si="37"/>
        <v>27.17</v>
      </c>
      <c r="FC104" s="57"/>
      <c r="FD104" s="57">
        <f t="shared" si="38"/>
        <v>65.4</v>
      </c>
      <c r="FE104" s="75">
        <f t="shared" si="28"/>
        <v>8.444181419843636</v>
      </c>
    </row>
    <row r="105" ht="18" customHeight="1" spans="9:161" x14ac:dyDescent="0.25">
      <c r="I105" s="342" t="s">
        <v>292</v>
      </c>
      <c r="J105" s="217" t="s">
        <v>318</v>
      </c>
      <c r="K105" s="161" t="s">
        <v>435</v>
      </c>
      <c r="L105" s="161"/>
      <c r="M105" s="161"/>
      <c r="N105" s="338" t="s">
        <v>319</v>
      </c>
      <c r="O105" s="339" t="s">
        <v>283</v>
      </c>
      <c r="P105" s="340"/>
      <c r="Q105" s="114"/>
      <c r="R105" s="114"/>
      <c r="S105" s="114"/>
      <c r="T105" s="343"/>
      <c r="U105" s="341">
        <f t="shared" ref="U105:AR105" si="42">U67</f>
        <v>1428.5209</v>
      </c>
      <c r="V105" s="341">
        <f t="shared" si="42"/>
        <v>2007.8252000000002</v>
      </c>
      <c r="W105" s="341">
        <f t="shared" si="42"/>
        <v>2342.5137</v>
      </c>
      <c r="X105" s="341">
        <f t="shared" si="42"/>
        <v>2629.6229</v>
      </c>
      <c r="Y105" s="341">
        <f t="shared" si="42"/>
        <v>4823.2329</v>
      </c>
      <c r="Z105" s="284">
        <f t="shared" si="42"/>
        <v>7305.6466</v>
      </c>
      <c r="AA105" s="279">
        <f t="shared" si="42"/>
        <v>8943.5826</v>
      </c>
      <c r="AB105" s="279">
        <f t="shared" si="42"/>
        <v>10819.270899999998</v>
      </c>
      <c r="AC105" s="279">
        <f t="shared" si="42"/>
        <v>13208.250299999998</v>
      </c>
      <c r="AD105" s="279">
        <f t="shared" si="42"/>
        <v>17027.166999999998</v>
      </c>
      <c r="AE105" s="284">
        <f t="shared" si="42"/>
        <v>21609.765799999997</v>
      </c>
      <c r="AF105" s="279">
        <f t="shared" si="42"/>
        <v>26917.2037</v>
      </c>
      <c r="AG105" s="279">
        <f t="shared" si="42"/>
        <v>33247.5132</v>
      </c>
      <c r="AH105" s="279">
        <f t="shared" si="42"/>
        <v>41276.8492</v>
      </c>
      <c r="AI105" s="278">
        <f t="shared" si="42"/>
        <v>38807.270899999996</v>
      </c>
      <c r="AJ105" s="285">
        <f t="shared" si="42"/>
        <v>46308.53100000001</v>
      </c>
      <c r="AK105" s="278">
        <f t="shared" si="42"/>
        <v>60282.540400000005</v>
      </c>
      <c r="AL105" s="278">
        <f t="shared" si="42"/>
        <v>68163.8831</v>
      </c>
      <c r="AM105" s="278">
        <f t="shared" si="42"/>
        <v>73133.89509999998</v>
      </c>
      <c r="AN105" s="278">
        <f t="shared" si="42"/>
        <v>79058</v>
      </c>
      <c r="AO105" s="225">
        <f t="shared" si="42"/>
        <v>83094</v>
      </c>
      <c r="AP105" s="278">
        <f t="shared" si="42"/>
        <v>86014</v>
      </c>
      <c r="AQ105" s="224">
        <f t="shared" si="42"/>
        <v>92101</v>
      </c>
      <c r="AR105" s="224">
        <f t="shared" si="42"/>
        <v>103876</v>
      </c>
      <c r="AS105" s="224"/>
      <c r="AT105" s="226"/>
      <c r="BO105" s="344" t="s">
        <v>318</v>
      </c>
      <c r="BP105" s="276" t="s">
        <v>436</v>
      </c>
      <c r="CQ105" s="62">
        <v>2008</v>
      </c>
      <c r="CR105" s="55">
        <f t="shared" si="24"/>
        <v>341.38693281931506</v>
      </c>
      <c r="CS105" s="46">
        <v>1.2527891876533341</v>
      </c>
      <c r="CT105" s="55">
        <v>7359.8442</v>
      </c>
      <c r="CU105" s="57">
        <f t="shared" si="26"/>
        <v>21.558658204106848</v>
      </c>
      <c r="CV105" s="57"/>
      <c r="CW105" s="75">
        <f>НАСТРОЙКА!DR149</f>
        <v>10.701001718560617</v>
      </c>
      <c r="DI105" s="316">
        <f t="shared" si="27"/>
        <v>21.558658204106848</v>
      </c>
      <c r="DL105" s="62">
        <v>2008</v>
      </c>
      <c r="DM105" s="78">
        <v>1.2527891876533341</v>
      </c>
      <c r="DN105" s="63"/>
      <c r="ED105" s="332">
        <v>2005</v>
      </c>
      <c r="EE105" s="55">
        <v>3645.9185</v>
      </c>
      <c r="EF105" s="333">
        <v>21609.7655</v>
      </c>
      <c r="EU105" s="62">
        <v>2007</v>
      </c>
      <c r="EV105" s="57">
        <f t="shared" si="31"/>
        <v>10.996054426330467</v>
      </c>
      <c r="EW105" s="326">
        <f t="shared" si="32"/>
        <v>17.41864233141954</v>
      </c>
      <c r="EX105" s="57">
        <f t="shared" si="33"/>
        <v>10.098705571453516</v>
      </c>
      <c r="EY105" s="57">
        <f t="shared" si="34"/>
        <v>5.972486590341231</v>
      </c>
      <c r="EZ105" s="57">
        <f t="shared" si="35"/>
        <v>8.561217930593617</v>
      </c>
      <c r="FA105" s="57">
        <f t="shared" si="36"/>
        <v>13.059083510568804</v>
      </c>
      <c r="FB105" s="57">
        <f t="shared" si="37"/>
        <v>25.58</v>
      </c>
      <c r="FC105" s="57"/>
      <c r="FD105" s="57">
        <f t="shared" si="38"/>
        <v>72.7</v>
      </c>
      <c r="FE105" s="75">
        <f t="shared" si="28"/>
        <v>9.446505754379075</v>
      </c>
    </row>
    <row r="106" ht="18" customHeight="1" spans="5:161" x14ac:dyDescent="0.25">
      <c r="E106" s="187"/>
      <c r="F106" s="187"/>
      <c r="G106" s="187"/>
      <c r="H106" s="187"/>
      <c r="J106" s="345"/>
      <c r="P106" s="346">
        <v>1990</v>
      </c>
      <c r="Q106" s="208">
        <v>1991</v>
      </c>
      <c r="R106" s="208">
        <v>1992</v>
      </c>
      <c r="S106" s="208">
        <v>1993</v>
      </c>
      <c r="T106" s="209">
        <v>1994</v>
      </c>
      <c r="U106" s="347">
        <v>1995</v>
      </c>
      <c r="V106" s="348">
        <v>1996</v>
      </c>
      <c r="W106" s="348">
        <v>1997</v>
      </c>
      <c r="X106" s="348">
        <v>1998</v>
      </c>
      <c r="Y106" s="348">
        <v>1999</v>
      </c>
      <c r="Z106" s="347">
        <v>2000</v>
      </c>
      <c r="AA106" s="348">
        <v>2001</v>
      </c>
      <c r="AB106" s="348">
        <v>2002</v>
      </c>
      <c r="AC106" s="348">
        <v>2003</v>
      </c>
      <c r="AD106" s="348">
        <v>2004</v>
      </c>
      <c r="AE106" s="349">
        <v>2005</v>
      </c>
      <c r="AF106" s="348">
        <v>2006</v>
      </c>
      <c r="AG106" s="348">
        <v>2007</v>
      </c>
      <c r="AH106" s="348">
        <v>2008</v>
      </c>
      <c r="AI106" s="348">
        <v>2009</v>
      </c>
      <c r="AJ106" s="350">
        <v>2010</v>
      </c>
      <c r="AK106" s="348">
        <v>2011</v>
      </c>
      <c r="AL106" s="348">
        <v>2012</v>
      </c>
      <c r="AM106" s="348">
        <v>2013</v>
      </c>
      <c r="AN106" s="348">
        <v>2014</v>
      </c>
      <c r="AO106" s="351">
        <v>2015</v>
      </c>
      <c r="AP106" s="352">
        <v>2016</v>
      </c>
      <c r="AQ106" s="210">
        <v>2017</v>
      </c>
      <c r="AR106" s="352">
        <v>2018</v>
      </c>
      <c r="AS106" s="352">
        <v>2019</v>
      </c>
      <c r="AT106" s="353">
        <v>2020</v>
      </c>
      <c r="AU106" s="352">
        <v>2021</v>
      </c>
      <c r="AV106" s="352">
        <v>2022</v>
      </c>
      <c r="AW106" s="210">
        <v>2023</v>
      </c>
      <c r="AX106" s="352">
        <v>2024</v>
      </c>
      <c r="AY106" s="352">
        <v>2025</v>
      </c>
      <c r="AZ106" s="210">
        <v>2026</v>
      </c>
      <c r="BA106" s="352">
        <v>2027</v>
      </c>
      <c r="BB106" s="352">
        <v>2028</v>
      </c>
      <c r="BC106" s="210">
        <v>2029</v>
      </c>
      <c r="BD106" s="352">
        <v>2030</v>
      </c>
      <c r="BE106" s="352">
        <v>2031</v>
      </c>
      <c r="BF106" s="210">
        <v>2032</v>
      </c>
      <c r="BG106" s="352">
        <v>2033</v>
      </c>
      <c r="BH106" s="352">
        <v>2034</v>
      </c>
      <c r="BI106" s="210">
        <v>2035</v>
      </c>
      <c r="BJ106" s="352">
        <v>2036</v>
      </c>
      <c r="BK106" s="352">
        <v>2037</v>
      </c>
      <c r="BL106" s="210">
        <v>2038</v>
      </c>
      <c r="BM106" s="352">
        <v>2039</v>
      </c>
      <c r="BN106" s="352">
        <v>2040</v>
      </c>
      <c r="BO106" s="227"/>
      <c r="CQ106" s="62">
        <v>2009</v>
      </c>
      <c r="CR106" s="55">
        <f t="shared" si="24"/>
        <v>339.33861122239915</v>
      </c>
      <c r="CS106" s="46">
        <v>1.2452724525274141</v>
      </c>
      <c r="CT106" s="55">
        <v>8066.7</v>
      </c>
      <c r="CU106" s="57">
        <f t="shared" si="26"/>
        <v>23.77183065299093</v>
      </c>
      <c r="CV106" s="57"/>
      <c r="CW106" s="75">
        <f>НАСТРОЙКА!DR150</f>
        <v>11.642689869793951</v>
      </c>
      <c r="DI106" s="316">
        <f t="shared" si="27"/>
        <v>23.77183065299093</v>
      </c>
      <c r="DL106" s="62">
        <v>2009</v>
      </c>
      <c r="DM106" s="78">
        <v>1.2452724525274141</v>
      </c>
      <c r="DN106" s="63"/>
      <c r="ED106" s="332">
        <v>2006</v>
      </c>
      <c r="EE106" s="55">
        <v>4680.4097</v>
      </c>
      <c r="EF106" s="333">
        <v>26917.2014</v>
      </c>
      <c r="EU106" s="62">
        <v>2008</v>
      </c>
      <c r="EV106" s="57">
        <f t="shared" si="31"/>
        <v>12.382630991276981</v>
      </c>
      <c r="EW106" s="326">
        <f t="shared" si="32"/>
        <v>21.558658204106848</v>
      </c>
      <c r="EX106" s="57">
        <f t="shared" si="33"/>
        <v>11.941266045828566</v>
      </c>
      <c r="EY106" s="57">
        <f t="shared" si="34"/>
        <v>6.618073700626634</v>
      </c>
      <c r="EZ106" s="57">
        <f t="shared" si="35"/>
        <v>10.360928463828223</v>
      </c>
      <c r="FA106" s="57">
        <f t="shared" si="36"/>
        <v>15.593657080025292</v>
      </c>
      <c r="FB106" s="57">
        <f t="shared" si="37"/>
        <v>24.86</v>
      </c>
      <c r="FC106" s="57"/>
      <c r="FD106" s="57">
        <f t="shared" si="38"/>
        <v>97.7</v>
      </c>
      <c r="FE106" s="75">
        <f t="shared" si="28"/>
        <v>10.701001718560617</v>
      </c>
    </row>
    <row r="107" ht="18" customHeight="1" spans="9:161" x14ac:dyDescent="0.25">
      <c r="I107" s="195" t="s">
        <v>437</v>
      </c>
      <c r="J107" s="217" t="s">
        <v>438</v>
      </c>
      <c r="K107" s="187" t="s">
        <v>439</v>
      </c>
      <c r="L107" s="187"/>
      <c r="M107" s="187"/>
      <c r="N107" s="187"/>
      <c r="O107" s="218" t="s">
        <v>363</v>
      </c>
      <c r="P107" s="275"/>
      <c r="U107" s="241">
        <v>2</v>
      </c>
      <c r="V107" s="354">
        <f>U107+0.75</f>
        <v>2.75</v>
      </c>
      <c r="W107" s="354">
        <f t="shared" ref="W107:AG107" si="43">V107+0.75</f>
        <v>3.5</v>
      </c>
      <c r="X107" s="354">
        <f t="shared" si="43"/>
        <v>4.25</v>
      </c>
      <c r="Y107" s="354">
        <f t="shared" si="43"/>
        <v>5</v>
      </c>
      <c r="Z107" s="355">
        <f t="shared" si="43"/>
        <v>5.75</v>
      </c>
      <c r="AA107" s="354">
        <f t="shared" si="43"/>
        <v>6.5</v>
      </c>
      <c r="AB107" s="354">
        <f t="shared" si="43"/>
        <v>7.25</v>
      </c>
      <c r="AC107" s="354">
        <f t="shared" si="43"/>
        <v>8</v>
      </c>
      <c r="AD107" s="354">
        <f t="shared" si="43"/>
        <v>8.75</v>
      </c>
      <c r="AE107" s="355">
        <f t="shared" si="43"/>
        <v>9.5</v>
      </c>
      <c r="AF107" s="354">
        <f t="shared" si="43"/>
        <v>10.25</v>
      </c>
      <c r="AG107" s="354">
        <f t="shared" si="43"/>
        <v>11</v>
      </c>
      <c r="AH107" s="354">
        <f>AG107+0.75</f>
        <v>11.75</v>
      </c>
      <c r="AI107" s="254">
        <v>10</v>
      </c>
      <c r="AJ107" s="290">
        <v>6</v>
      </c>
      <c r="AK107" s="354">
        <v>10</v>
      </c>
      <c r="AL107" s="354">
        <v>11</v>
      </c>
      <c r="AM107" s="354">
        <v>12</v>
      </c>
      <c r="AN107" s="354">
        <v>12</v>
      </c>
      <c r="AO107" s="356">
        <v>12</v>
      </c>
      <c r="AP107" s="283">
        <v>12</v>
      </c>
      <c r="AQ107" s="283">
        <v>12</v>
      </c>
      <c r="AR107" s="283">
        <v>12</v>
      </c>
      <c r="AT107" s="226"/>
      <c r="BO107" s="281" t="str">
        <f t="shared" ref="BO107:BO114" si="44">J107</f>
        <v>TM</v>
      </c>
      <c r="CQ107" s="62">
        <v>2010</v>
      </c>
      <c r="CR107" s="55">
        <f t="shared" si="24"/>
        <v>334.24853205406316</v>
      </c>
      <c r="CS107" s="46">
        <v>1.226593365739503</v>
      </c>
      <c r="CT107" s="55">
        <v>8671.323</v>
      </c>
      <c r="CU107" s="57">
        <f t="shared" si="26"/>
        <v>25.942740710668115</v>
      </c>
      <c r="CV107" s="57"/>
      <c r="CW107" s="75">
        <f>НАСТРОЙКА!DR151</f>
        <v>12.664918040361862</v>
      </c>
      <c r="DI107" s="316">
        <f t="shared" si="27"/>
        <v>25.942740710668115</v>
      </c>
      <c r="DL107" s="62">
        <v>2010</v>
      </c>
      <c r="DM107" s="78">
        <v>1.226593365739503</v>
      </c>
      <c r="DN107" s="63"/>
      <c r="ED107" s="332">
        <v>2007</v>
      </c>
      <c r="EE107" s="55">
        <v>5750.9641</v>
      </c>
      <c r="EF107" s="333">
        <v>33247.5132</v>
      </c>
      <c r="EU107" s="62">
        <v>2009</v>
      </c>
      <c r="EV107" s="57">
        <f t="shared" si="31"/>
        <v>13.714036448863869</v>
      </c>
      <c r="EW107" s="326">
        <f t="shared" si="32"/>
        <v>23.77183065299093</v>
      </c>
      <c r="EX107" s="57">
        <f t="shared" si="33"/>
        <v>12.996640727607122</v>
      </c>
      <c r="EY107" s="57">
        <f t="shared" si="34"/>
        <v>8.301573219607233</v>
      </c>
      <c r="EZ107" s="57">
        <f t="shared" si="35"/>
        <v>10.685163024983835</v>
      </c>
      <c r="FA107" s="57">
        <f t="shared" si="36"/>
        <v>16.373566297801105</v>
      </c>
      <c r="FB107" s="57">
        <f t="shared" si="37"/>
        <v>31.83</v>
      </c>
      <c r="FC107" s="57"/>
      <c r="FD107" s="57">
        <f t="shared" si="38"/>
        <v>61.9</v>
      </c>
      <c r="FE107" s="75">
        <f t="shared" si="28"/>
        <v>11.642689869793951</v>
      </c>
    </row>
    <row r="108" ht="18" customHeight="1" spans="5:161" x14ac:dyDescent="0.25">
      <c r="E108" s="287" t="s">
        <v>440</v>
      </c>
      <c r="F108" s="287"/>
      <c r="G108" s="287"/>
      <c r="H108" s="287"/>
      <c r="I108" s="195" t="s">
        <v>292</v>
      </c>
      <c r="J108" s="217" t="s">
        <v>441</v>
      </c>
      <c r="K108" s="31" t="s">
        <v>442</v>
      </c>
      <c r="O108" s="218" t="s">
        <v>443</v>
      </c>
      <c r="P108" s="275"/>
      <c r="R108" s="189"/>
      <c r="U108" s="357">
        <f>U88/U91</f>
        <v>10.114276793380688</v>
      </c>
      <c r="V108" s="354">
        <f>V88/V91</f>
        <v>16.250953470633107</v>
      </c>
      <c r="W108" s="354">
        <f t="shared" ref="W108:AP108" si="45">W88/W91</f>
        <v>20.04131887172823</v>
      </c>
      <c r="X108" s="354">
        <f t="shared" si="45"/>
        <v>21.61382343378339</v>
      </c>
      <c r="Y108" s="354">
        <f t="shared" si="45"/>
        <v>30.65226213499889</v>
      </c>
      <c r="Z108" s="354">
        <f t="shared" si="45"/>
        <v>45.139542031658216</v>
      </c>
      <c r="AA108" s="354">
        <f t="shared" si="45"/>
        <v>59.094329192451205</v>
      </c>
      <c r="AB108" s="354">
        <f t="shared" si="45"/>
        <v>75.98523830240478</v>
      </c>
      <c r="AC108" s="354">
        <f t="shared" si="45"/>
        <v>93.93248315470538</v>
      </c>
      <c r="AD108" s="354">
        <f t="shared" si="45"/>
        <v>116.53525750531054</v>
      </c>
      <c r="AE108" s="358">
        <f t="shared" si="45"/>
        <v>138.13235487788816</v>
      </c>
      <c r="AF108" s="313">
        <f t="shared" si="45"/>
        <v>173.28434703407598</v>
      </c>
      <c r="AG108" s="313">
        <f t="shared" si="45"/>
        <v>219.38830012717256</v>
      </c>
      <c r="AH108" s="313">
        <f t="shared" si="45"/>
        <v>275.4779375519344</v>
      </c>
      <c r="AI108" s="313">
        <f t="shared" si="45"/>
        <v>294.0730442299381</v>
      </c>
      <c r="AJ108" s="355">
        <f t="shared" si="45"/>
        <v>328.8204001460676</v>
      </c>
      <c r="AK108" s="313">
        <f t="shared" si="45"/>
        <v>372.39538048188314</v>
      </c>
      <c r="AL108" s="313">
        <f t="shared" si="45"/>
        <v>422.1257383923323</v>
      </c>
      <c r="AM108" s="313">
        <f t="shared" si="45"/>
        <v>473.33788100380787</v>
      </c>
      <c r="AN108" s="313">
        <f t="shared" si="45"/>
        <v>523.2172270180771</v>
      </c>
      <c r="AO108" s="359">
        <f t="shared" si="45"/>
        <v>521.8971157461505</v>
      </c>
      <c r="AP108" s="313">
        <f t="shared" si="45"/>
        <v>569.742378406752</v>
      </c>
      <c r="AQ108" s="313"/>
      <c r="AR108" s="313"/>
      <c r="AT108" s="226"/>
      <c r="BO108" s="281" t="str">
        <f t="shared" si="44"/>
        <v>UO</v>
      </c>
      <c r="CQ108" s="62">
        <v>2011</v>
      </c>
      <c r="CR108" s="55">
        <f t="shared" si="24"/>
        <v>338.9280115028201</v>
      </c>
      <c r="CS108" s="46">
        <v>1.243765672859856</v>
      </c>
      <c r="CT108" s="55">
        <v>10527.4218</v>
      </c>
      <c r="CU108" s="57">
        <f t="shared" si="26"/>
        <v>31.060937552257776</v>
      </c>
      <c r="CV108" s="57"/>
      <c r="CW108" s="75">
        <f>НАСТРОЙКА!DR152</f>
        <v>13.437478040823935</v>
      </c>
      <c r="DI108" s="316">
        <f t="shared" si="27"/>
        <v>31.060937552257776</v>
      </c>
      <c r="DL108" s="62">
        <v>2011</v>
      </c>
      <c r="DM108" s="78">
        <v>1.243765672859856</v>
      </c>
      <c r="DN108" s="63"/>
      <c r="ED108" s="332">
        <v>2008</v>
      </c>
      <c r="EE108" s="55">
        <v>7359.8442</v>
      </c>
      <c r="EF108" s="333">
        <v>41276.8492</v>
      </c>
      <c r="EU108" s="62">
        <v>2010</v>
      </c>
      <c r="EV108" s="57">
        <f t="shared" si="31"/>
        <v>14.629133800462956</v>
      </c>
      <c r="EW108" s="326">
        <f t="shared" si="32"/>
        <v>25.942740710668115</v>
      </c>
      <c r="EX108" s="57">
        <f t="shared" si="33"/>
        <v>13.587422805401822</v>
      </c>
      <c r="EY108" s="57">
        <f t="shared" si="34"/>
        <v>8.121605375451495</v>
      </c>
      <c r="EZ108" s="57">
        <f t="shared" si="35"/>
        <v>12.376778209553063</v>
      </c>
      <c r="FA108" s="57">
        <f t="shared" si="36"/>
        <v>17.674409856030426</v>
      </c>
      <c r="FB108" s="57">
        <f t="shared" si="37"/>
        <v>30.36</v>
      </c>
      <c r="FC108" s="57"/>
      <c r="FD108" s="57">
        <f t="shared" si="38"/>
        <v>79.6</v>
      </c>
      <c r="FE108" s="75">
        <f t="shared" si="28"/>
        <v>12.664918040361862</v>
      </c>
    </row>
    <row r="109" ht="17.5" customHeight="1" spans="5:161" x14ac:dyDescent="0.25">
      <c r="E109" s="287" t="s">
        <v>444</v>
      </c>
      <c r="F109" s="287"/>
      <c r="G109" s="287"/>
      <c r="H109" s="287"/>
      <c r="I109" s="195" t="s">
        <v>292</v>
      </c>
      <c r="J109" s="217" t="s">
        <v>445</v>
      </c>
      <c r="K109" s="31" t="s">
        <v>446</v>
      </c>
      <c r="O109" s="218" t="s">
        <v>299</v>
      </c>
      <c r="P109" s="275"/>
      <c r="U109" s="360">
        <f t="shared" ref="U109:AF109" si="46">U108/(U151*$U108)</f>
        <v>1</v>
      </c>
      <c r="V109" s="361">
        <f t="shared" si="46"/>
        <v>1.3191577216179184</v>
      </c>
      <c r="W109" s="361">
        <f t="shared" si="46"/>
        <v>1.465619370714605</v>
      </c>
      <c r="X109" s="361">
        <f t="shared" si="46"/>
        <v>0.8571672725429934</v>
      </c>
      <c r="Y109" s="361">
        <f t="shared" si="46"/>
        <v>0.8905613871995075</v>
      </c>
      <c r="Z109" s="361">
        <f t="shared" si="46"/>
        <v>1.0910735084339893</v>
      </c>
      <c r="AA109" s="361">
        <f t="shared" si="46"/>
        <v>1.2043645968535897</v>
      </c>
      <c r="AB109" s="361">
        <f t="shared" si="46"/>
        <v>1.3454454046567674</v>
      </c>
      <c r="AC109" s="361">
        <f t="shared" si="46"/>
        <v>1.4850279596592788</v>
      </c>
      <c r="AD109" s="361">
        <f t="shared" si="46"/>
        <v>1.6493886216432383</v>
      </c>
      <c r="AE109" s="358">
        <f t="shared" si="46"/>
        <v>1.7629074929087367</v>
      </c>
      <c r="AF109" s="362">
        <f t="shared" si="46"/>
        <v>2.0289294415498413</v>
      </c>
      <c r="AG109" s="362">
        <f t="shared" ref="AG109:AP109" si="47">AG108/(AG151*$U108)</f>
        <v>2.29618795817524</v>
      </c>
      <c r="AH109" s="362">
        <f t="shared" si="47"/>
        <v>2.5452330528232636</v>
      </c>
      <c r="AI109" s="362">
        <f t="shared" si="47"/>
        <v>2.497278933559335</v>
      </c>
      <c r="AJ109" s="355">
        <f t="shared" si="47"/>
        <v>2.5669743863224377</v>
      </c>
      <c r="AK109" s="362">
        <f t="shared" si="47"/>
        <v>2.7400070660747096</v>
      </c>
      <c r="AL109" s="362">
        <f t="shared" si="47"/>
        <v>2.914160822061266</v>
      </c>
      <c r="AM109" s="362">
        <f t="shared" si="47"/>
        <v>3.0697095010438815</v>
      </c>
      <c r="AN109" s="362">
        <f t="shared" si="47"/>
        <v>2.986962151200985</v>
      </c>
      <c r="AO109" s="363">
        <f t="shared" si="47"/>
        <v>2.6389954387995367</v>
      </c>
      <c r="AP109" s="362">
        <f t="shared" si="47"/>
        <v>2.7333274079770233</v>
      </c>
      <c r="AQ109" s="362"/>
      <c r="AR109" s="362"/>
      <c r="AT109" s="226"/>
      <c r="BO109" s="281" t="str">
        <f t="shared" si="44"/>
        <v>kRU</v>
      </c>
      <c r="CQ109" s="62">
        <v>2012</v>
      </c>
      <c r="CR109" s="55">
        <f t="shared" si="24"/>
        <v>347.74013980189346</v>
      </c>
      <c r="CS109" s="46">
        <v>1.2761035803542125</v>
      </c>
      <c r="CT109" s="55">
        <v>12155.9717</v>
      </c>
      <c r="CU109" s="57">
        <f t="shared" si="26"/>
        <v>34.957056458668305</v>
      </c>
      <c r="CV109" s="57"/>
      <c r="CW109" s="75">
        <f>НАСТРОЙКА!DR153</f>
        <v>14.321664095910151</v>
      </c>
      <c r="DI109" s="316">
        <f t="shared" si="27"/>
        <v>34.957056458668305</v>
      </c>
      <c r="DL109" s="62">
        <v>2012</v>
      </c>
      <c r="DM109" s="78">
        <v>1.2761035803542125</v>
      </c>
      <c r="DN109" s="63"/>
      <c r="ED109" s="332">
        <v>2009</v>
      </c>
      <c r="EE109" s="55">
        <v>8066.7</v>
      </c>
      <c r="EF109" s="333">
        <v>38807.219</v>
      </c>
      <c r="EU109" s="62">
        <v>2011</v>
      </c>
      <c r="EV109" s="57">
        <f t="shared" si="31"/>
        <v>17.36421630879255</v>
      </c>
      <c r="EW109" s="326">
        <f t="shared" si="32"/>
        <v>31.060937552257776</v>
      </c>
      <c r="EX109" s="57">
        <f t="shared" si="33"/>
        <v>14.262597604124318</v>
      </c>
      <c r="EY109" s="57">
        <f t="shared" si="34"/>
        <v>8.28287419187604</v>
      </c>
      <c r="EZ109" s="57">
        <f t="shared" si="35"/>
        <v>14.886630426588821</v>
      </c>
      <c r="FA109" s="57">
        <f t="shared" si="36"/>
        <v>19.234566440524752</v>
      </c>
      <c r="FB109" s="57">
        <f t="shared" si="37"/>
        <v>29.39</v>
      </c>
      <c r="FC109" s="57"/>
      <c r="FD109" s="57">
        <f t="shared" si="38"/>
        <v>111</v>
      </c>
      <c r="FE109" s="75">
        <f t="shared" si="28"/>
        <v>13.437478040823935</v>
      </c>
    </row>
    <row r="110" ht="17.5" customHeight="1" spans="5:161" x14ac:dyDescent="0.25">
      <c r="E110" s="287" t="s">
        <v>447</v>
      </c>
      <c r="F110" s="287"/>
      <c r="G110" s="287"/>
      <c r="H110" s="287"/>
      <c r="I110" s="195" t="s">
        <v>292</v>
      </c>
      <c r="J110" s="217" t="s">
        <v>448</v>
      </c>
      <c r="K110" s="187" t="s">
        <v>202</v>
      </c>
      <c r="L110" s="187"/>
      <c r="M110" s="187"/>
      <c r="N110" s="187"/>
      <c r="O110" s="218" t="s">
        <v>299</v>
      </c>
      <c r="P110" s="275"/>
      <c r="U110" s="320">
        <f t="shared" ref="U110:AR110" si="48">U88/U65</f>
        <v>0.4535250411807065</v>
      </c>
      <c r="V110" s="270">
        <f t="shared" si="48"/>
        <v>0.5093272063723474</v>
      </c>
      <c r="W110" s="270">
        <f t="shared" si="48"/>
        <v>0.5135082027481848</v>
      </c>
      <c r="X110" s="270">
        <f t="shared" si="48"/>
        <v>0.4803148770875094</v>
      </c>
      <c r="Y110" s="270">
        <f t="shared" si="48"/>
        <v>0.4008941803328634</v>
      </c>
      <c r="Z110" s="270">
        <f t="shared" si="48"/>
        <v>0.40204928609604523</v>
      </c>
      <c r="AA110" s="270">
        <f t="shared" si="48"/>
        <v>0.4302973620437071</v>
      </c>
      <c r="AB110" s="270">
        <f t="shared" si="48"/>
        <v>0.4681579268021204</v>
      </c>
      <c r="AC110" s="270">
        <f t="shared" si="48"/>
        <v>0.4717804889250219</v>
      </c>
      <c r="AD110" s="270">
        <f t="shared" si="48"/>
        <v>0.460735834000663</v>
      </c>
      <c r="AE110" s="358">
        <f t="shared" si="48"/>
        <v>0.4368315334102075</v>
      </c>
      <c r="AF110" s="271">
        <f t="shared" si="48"/>
        <v>0.4452879339826168</v>
      </c>
      <c r="AG110" s="271">
        <f t="shared" si="48"/>
        <v>0.4669856030014299</v>
      </c>
      <c r="AH110" s="271">
        <f t="shared" si="48"/>
        <v>0.47386756448454886</v>
      </c>
      <c r="AI110" s="271">
        <f t="shared" si="48"/>
        <v>0.5259745615886571</v>
      </c>
      <c r="AJ110" s="289">
        <f t="shared" si="48"/>
        <v>0.49657427125592235</v>
      </c>
      <c r="AK110" s="271">
        <f t="shared" si="48"/>
        <v>0.4377167124164529</v>
      </c>
      <c r="AL110" s="271">
        <f t="shared" si="48"/>
        <v>0.4430669164738357</v>
      </c>
      <c r="AM110" s="271">
        <f t="shared" si="48"/>
        <v>0.46206047351633545</v>
      </c>
      <c r="AN110" s="271">
        <f t="shared" si="48"/>
        <v>0.47345281619378465</v>
      </c>
      <c r="AO110" s="363">
        <f t="shared" si="48"/>
        <v>0.4542488473938645</v>
      </c>
      <c r="AP110" s="271">
        <f t="shared" si="48"/>
        <v>0.4795180330689584</v>
      </c>
      <c r="AQ110" s="271">
        <f t="shared" si="48"/>
        <v>0.47647862669533364</v>
      </c>
      <c r="AR110" s="271">
        <f t="shared" si="48"/>
        <v>0.4644428249890735</v>
      </c>
      <c r="AT110" s="226"/>
      <c r="BO110" s="281" t="str">
        <f t="shared" si="44"/>
        <v>sOT</v>
      </c>
      <c r="BP110" s="276" t="s">
        <v>449</v>
      </c>
      <c r="CQ110" s="62">
        <v>2013</v>
      </c>
      <c r="CR110" s="55">
        <f t="shared" si="24"/>
        <v>350.86980106011055</v>
      </c>
      <c r="CS110" s="46">
        <v>1.2875885125774005</v>
      </c>
      <c r="CT110" s="55">
        <v>13551.9461</v>
      </c>
      <c r="CU110" s="57">
        <f t="shared" si="26"/>
        <v>38.62386007303689</v>
      </c>
      <c r="CV110" s="57"/>
      <c r="CW110" s="75">
        <f>НАСТРОЙКА!DR154</f>
        <v>15.245411430096356</v>
      </c>
      <c r="DI110" s="316">
        <f t="shared" si="27"/>
        <v>38.62386007303689</v>
      </c>
      <c r="DL110" s="62">
        <v>2013</v>
      </c>
      <c r="DM110" s="78">
        <v>1.2875885125774005</v>
      </c>
      <c r="DN110" s="63"/>
      <c r="ED110" s="332">
        <v>2010</v>
      </c>
      <c r="EE110" s="55">
        <v>8671.323</v>
      </c>
      <c r="EF110" s="333">
        <v>46308.541</v>
      </c>
      <c r="EU110" s="62">
        <v>2012</v>
      </c>
      <c r="EV110" s="57">
        <f t="shared" si="31"/>
        <v>18.5401251106608</v>
      </c>
      <c r="EW110" s="326">
        <f t="shared" si="32"/>
        <v>34.957056458668305</v>
      </c>
      <c r="EX110" s="57">
        <f t="shared" si="33"/>
        <v>15.820545673088896</v>
      </c>
      <c r="EY110" s="57">
        <f t="shared" si="34"/>
        <v>8.667019917064366</v>
      </c>
      <c r="EZ110" s="57">
        <f t="shared" si="35"/>
        <v>15.682710215951944</v>
      </c>
      <c r="FA110" s="57">
        <f t="shared" si="36"/>
        <v>20.540168341333807</v>
      </c>
      <c r="FB110" s="57">
        <f t="shared" si="37"/>
        <v>31.08</v>
      </c>
      <c r="FC110" s="57"/>
      <c r="FD110" s="57">
        <f t="shared" si="38"/>
        <v>111.4</v>
      </c>
      <c r="FE110" s="75">
        <f t="shared" si="28"/>
        <v>14.321664095910151</v>
      </c>
    </row>
    <row r="111" ht="17.5" customHeight="1" spans="9:161" x14ac:dyDescent="0.25">
      <c r="I111" s="195" t="s">
        <v>292</v>
      </c>
      <c r="J111" s="217" t="s">
        <v>450</v>
      </c>
      <c r="K111" s="31" t="s">
        <v>451</v>
      </c>
      <c r="O111" s="218" t="s">
        <v>299</v>
      </c>
      <c r="P111" s="275"/>
      <c r="U111" s="320">
        <v>0.376</v>
      </c>
      <c r="V111" s="276">
        <v>0.324</v>
      </c>
      <c r="W111" s="276">
        <v>0.299</v>
      </c>
      <c r="X111" s="276">
        <v>0.28</v>
      </c>
      <c r="Y111" s="276">
        <v>0.275</v>
      </c>
      <c r="Z111" s="320">
        <v>0.284</v>
      </c>
      <c r="AA111" s="276">
        <v>0.27</v>
      </c>
      <c r="AB111" s="276">
        <v>0.249</v>
      </c>
      <c r="AC111" s="276">
        <v>0.253</v>
      </c>
      <c r="AD111" s="276">
        <v>0.21200000000000002</v>
      </c>
      <c r="AE111" s="320">
        <v>0.226</v>
      </c>
      <c r="AF111" s="271">
        <v>0.217</v>
      </c>
      <c r="AG111" s="271">
        <v>0.212</v>
      </c>
      <c r="AH111" s="271">
        <v>0.207</v>
      </c>
      <c r="AI111" s="254">
        <v>0.205</v>
      </c>
      <c r="AJ111" s="277"/>
      <c r="AK111" s="276"/>
      <c r="AL111" s="276"/>
      <c r="AM111" s="276"/>
      <c r="AN111" s="276"/>
      <c r="AO111" s="226"/>
      <c r="AT111" s="226"/>
      <c r="BO111" s="281" t="str">
        <f t="shared" si="44"/>
        <v>dI1</v>
      </c>
      <c r="CQ111" s="62">
        <v>2014</v>
      </c>
      <c r="CR111" s="55">
        <f t="shared" si="24"/>
        <v>343.5015352378482</v>
      </c>
      <c r="CS111" s="46">
        <v>1.2605491538132751</v>
      </c>
      <c r="CT111" s="55">
        <v>14173.19</v>
      </c>
      <c r="CU111" s="57">
        <f t="shared" si="26"/>
        <v>41.26092184765976</v>
      </c>
      <c r="CV111" s="57"/>
      <c r="CW111" s="75">
        <f>НАСТРОЙКА!DR155</f>
        <v>17.31878738458946</v>
      </c>
      <c r="DI111" s="316">
        <f t="shared" si="27"/>
        <v>41.26092184765976</v>
      </c>
      <c r="DL111" s="62">
        <v>2014</v>
      </c>
      <c r="DM111" s="78">
        <v>1.2605491538132751</v>
      </c>
      <c r="DN111" s="63"/>
      <c r="ED111" s="332">
        <v>2011</v>
      </c>
      <c r="EE111" s="55">
        <v>10527.4218</v>
      </c>
      <c r="EF111" s="333">
        <v>60282.5404</v>
      </c>
      <c r="EU111" s="62">
        <v>2013</v>
      </c>
      <c r="EV111" s="57">
        <f t="shared" si="31"/>
        <v>19.653563919076568</v>
      </c>
      <c r="EW111" s="326">
        <f t="shared" si="32"/>
        <v>38.62386007303689</v>
      </c>
      <c r="EX111" s="57">
        <f t="shared" si="33"/>
        <v>16.64363718116042</v>
      </c>
      <c r="EY111" s="57">
        <f t="shared" si="34"/>
        <v>9.0619465420278</v>
      </c>
      <c r="EZ111" s="57">
        <f t="shared" si="35"/>
        <v>15.596922733834738</v>
      </c>
      <c r="FA111" s="57">
        <f t="shared" si="36"/>
        <v>21.77622501158156</v>
      </c>
      <c r="FB111" s="57">
        <f t="shared" si="37"/>
        <v>31.85</v>
      </c>
      <c r="FC111" s="57"/>
      <c r="FD111" s="57">
        <f t="shared" si="38"/>
        <v>108.8</v>
      </c>
      <c r="FE111" s="75">
        <f t="shared" si="28"/>
        <v>15.245411430096356</v>
      </c>
    </row>
    <row r="112" ht="17.5" customHeight="1" spans="9:161" x14ac:dyDescent="0.25">
      <c r="I112" s="195" t="s">
        <v>292</v>
      </c>
      <c r="J112" s="217" t="s">
        <v>452</v>
      </c>
      <c r="K112" s="31" t="s">
        <v>453</v>
      </c>
      <c r="O112" s="218" t="s">
        <v>299</v>
      </c>
      <c r="P112" s="275"/>
      <c r="U112" s="320">
        <v>0.135</v>
      </c>
      <c r="V112" s="276">
        <v>0.161</v>
      </c>
      <c r="W112" s="276">
        <v>0.228</v>
      </c>
      <c r="X112" s="276">
        <v>0.302</v>
      </c>
      <c r="Y112" s="276">
        <v>0.245</v>
      </c>
      <c r="Z112" s="320">
        <v>0.3</v>
      </c>
      <c r="AA112" s="276">
        <v>0.368</v>
      </c>
      <c r="AB112" s="276">
        <v>0.421</v>
      </c>
      <c r="AC112" s="276">
        <v>0.413</v>
      </c>
      <c r="AD112" s="276">
        <v>0.466</v>
      </c>
      <c r="AE112" s="320">
        <v>0.45</v>
      </c>
      <c r="AF112" s="271">
        <v>0.476</v>
      </c>
      <c r="AG112" s="271">
        <v>0.524</v>
      </c>
      <c r="AH112" s="271">
        <f>1-AH111-AH113-AH114</f>
        <v>0.543</v>
      </c>
      <c r="AI112" s="254">
        <f>1-AI111-AI113-AI114</f>
        <v>0.555</v>
      </c>
      <c r="AJ112" s="277"/>
      <c r="AK112" s="276"/>
      <c r="AL112" s="276"/>
      <c r="AM112" s="276"/>
      <c r="AN112" s="276"/>
      <c r="AO112" s="226"/>
      <c r="AT112" s="226"/>
      <c r="BO112" s="281" t="str">
        <f t="shared" si="44"/>
        <v>dI2</v>
      </c>
      <c r="CQ112" s="62">
        <v>2015</v>
      </c>
      <c r="CR112" s="55">
        <f t="shared" si="24"/>
        <v>331.13547996928565</v>
      </c>
      <c r="CS112" s="46">
        <v>1.2151693842759972</v>
      </c>
      <c r="CT112" s="55">
        <v>14684.12</v>
      </c>
      <c r="CU112" s="57">
        <f t="shared" si="26"/>
        <v>44.34474977239534</v>
      </c>
      <c r="CV112" s="57"/>
      <c r="CW112" s="75">
        <f>НАСТРОЙКА!DR156</f>
        <v>19.5529109572015</v>
      </c>
      <c r="DI112" s="316">
        <f t="shared" si="27"/>
        <v>44.34474977239534</v>
      </c>
      <c r="DL112" s="62">
        <v>2015</v>
      </c>
      <c r="DM112" s="78">
        <v>1.2151693842759972</v>
      </c>
      <c r="DN112" s="63"/>
      <c r="ED112" s="332">
        <v>2012</v>
      </c>
      <c r="EE112" s="55">
        <v>12155.9717</v>
      </c>
      <c r="EF112" s="333">
        <v>68163.88309999999</v>
      </c>
      <c r="EU112" s="62">
        <v>2014</v>
      </c>
      <c r="EV112" s="57">
        <f t="shared" si="31"/>
        <v>21.01627695270109</v>
      </c>
      <c r="EW112" s="326">
        <f t="shared" si="32"/>
        <v>41.26092184765976</v>
      </c>
      <c r="EX112" s="57">
        <f t="shared" si="33"/>
        <v>18.778754615584578</v>
      </c>
      <c r="EY112" s="57">
        <f t="shared" si="34"/>
        <v>10.713774916786438</v>
      </c>
      <c r="EZ112" s="57">
        <f t="shared" si="35"/>
        <v>19.408072573294923</v>
      </c>
      <c r="FA112" s="57">
        <f t="shared" si="36"/>
        <v>22.851453644141124</v>
      </c>
      <c r="FB112" s="57">
        <f t="shared" si="37"/>
        <v>32.73</v>
      </c>
      <c r="FC112" s="57"/>
      <c r="FD112" s="57">
        <f t="shared" si="38"/>
        <v>98.9</v>
      </c>
      <c r="FE112" s="75">
        <f t="shared" si="28"/>
        <v>17.31878738458946</v>
      </c>
    </row>
    <row r="113" ht="17.5" customHeight="1" spans="9:161" x14ac:dyDescent="0.25">
      <c r="I113" s="195" t="s">
        <v>292</v>
      </c>
      <c r="J113" s="217" t="s">
        <v>454</v>
      </c>
      <c r="K113" s="31" t="s">
        <v>455</v>
      </c>
      <c r="O113" s="218" t="s">
        <v>299</v>
      </c>
      <c r="P113" s="275"/>
      <c r="U113" s="320">
        <v>0.46199999999999997</v>
      </c>
      <c r="V113" s="276">
        <v>0.485</v>
      </c>
      <c r="W113" s="276">
        <v>0.43</v>
      </c>
      <c r="X113" s="276">
        <v>0.349</v>
      </c>
      <c r="Y113" s="276">
        <v>0.367</v>
      </c>
      <c r="Z113" s="320">
        <v>0.27899999999999997</v>
      </c>
      <c r="AA113" s="276">
        <v>0.21699999999999997</v>
      </c>
      <c r="AB113" s="276">
        <v>0.187</v>
      </c>
      <c r="AC113" s="276">
        <v>0.175</v>
      </c>
      <c r="AD113" s="276">
        <v>0.15599999999999992</v>
      </c>
      <c r="AE113" s="320">
        <v>0.13</v>
      </c>
      <c r="AF113" s="271">
        <v>0.12299999999999997</v>
      </c>
      <c r="AG113" s="271">
        <v>0.10399999999999995</v>
      </c>
      <c r="AH113" s="271">
        <v>0.1</v>
      </c>
      <c r="AI113" s="254">
        <v>0.1</v>
      </c>
      <c r="AJ113" s="277"/>
      <c r="AK113" s="276"/>
      <c r="AL113" s="276"/>
      <c r="AM113" s="276"/>
      <c r="AN113" s="276"/>
      <c r="AO113" s="275"/>
      <c r="AT113" s="226"/>
      <c r="BO113" s="281" t="str">
        <f t="shared" si="44"/>
        <v>dI3</v>
      </c>
      <c r="CQ113" s="62">
        <v>2016</v>
      </c>
      <c r="CR113" s="55">
        <f t="shared" si="24"/>
        <v>336.10251216882494</v>
      </c>
      <c r="CS113" s="46">
        <v>1.233396925040137</v>
      </c>
      <c r="CT113" s="55">
        <v>15728.49</v>
      </c>
      <c r="CU113" s="57">
        <f t="shared" si="26"/>
        <v>46.796704667591264</v>
      </c>
      <c r="CV113" s="57">
        <f>2.5818*CW113-5.415</f>
        <v>47.787669436254255</v>
      </c>
      <c r="CW113" s="75">
        <f>НАСТРОЙКА!DR157</f>
        <v>20.60681285779466</v>
      </c>
      <c r="DI113" s="316">
        <f t="shared" si="27"/>
        <v>46.796704667591264</v>
      </c>
      <c r="DL113" s="62">
        <v>2016</v>
      </c>
      <c r="DM113" s="78">
        <v>1.233396925040137</v>
      </c>
      <c r="DN113" s="63"/>
      <c r="ED113" s="332">
        <v>2013</v>
      </c>
      <c r="EE113" s="55">
        <v>13551.9461</v>
      </c>
      <c r="EF113" s="333">
        <v>73133.8951</v>
      </c>
      <c r="EU113" s="62">
        <v>2015</v>
      </c>
      <c r="EV113" s="57">
        <f t="shared" si="31"/>
        <v>23.908625308988828</v>
      </c>
      <c r="EW113" s="326">
        <f t="shared" si="32"/>
        <v>44.34474977239534</v>
      </c>
      <c r="EX113" s="57">
        <f t="shared" si="33"/>
        <v>20.93213752543595</v>
      </c>
      <c r="EY113" s="57">
        <f t="shared" si="34"/>
        <v>15.005583237946574</v>
      </c>
      <c r="EZ113" s="57">
        <f t="shared" si="35"/>
        <v>25.392619710313024</v>
      </c>
      <c r="FA113" s="57">
        <f t="shared" si="36"/>
        <v>25.408791247612854</v>
      </c>
      <c r="FB113" s="57">
        <f t="shared" si="37"/>
        <v>56.26</v>
      </c>
      <c r="FC113" s="57"/>
      <c r="FD113" s="57">
        <f t="shared" si="38"/>
        <v>50.2</v>
      </c>
      <c r="FE113" s="75">
        <f t="shared" si="28"/>
        <v>19.5529109572015</v>
      </c>
    </row>
    <row r="114" ht="18" customHeight="1" spans="9:161" x14ac:dyDescent="0.25">
      <c r="I114" s="195" t="s">
        <v>292</v>
      </c>
      <c r="J114" s="217" t="s">
        <v>456</v>
      </c>
      <c r="K114" s="31" t="s">
        <v>457</v>
      </c>
      <c r="O114" s="218" t="s">
        <v>299</v>
      </c>
      <c r="P114" s="275"/>
      <c r="U114" s="320">
        <v>0.027000000000000024</v>
      </c>
      <c r="V114" s="270">
        <v>0.03</v>
      </c>
      <c r="W114" s="276">
        <v>0.04300000000000004</v>
      </c>
      <c r="X114" s="276">
        <v>0.06899999999999995</v>
      </c>
      <c r="Y114" s="276">
        <v>0.11299999999999999</v>
      </c>
      <c r="Z114" s="320">
        <v>0.137</v>
      </c>
      <c r="AA114" s="276">
        <v>0.145</v>
      </c>
      <c r="AB114" s="276">
        <v>0.14300000000000002</v>
      </c>
      <c r="AC114" s="276">
        <v>0.15900000000000003</v>
      </c>
      <c r="AD114" s="276">
        <v>0.16600000000000004</v>
      </c>
      <c r="AE114" s="320">
        <v>0.19399999999999995</v>
      </c>
      <c r="AF114" s="271">
        <v>0.18400000000000005</v>
      </c>
      <c r="AG114" s="271">
        <v>0.16</v>
      </c>
      <c r="AH114" s="271">
        <v>0.15</v>
      </c>
      <c r="AI114" s="254">
        <v>0.14</v>
      </c>
      <c r="AJ114" s="277"/>
      <c r="AK114" s="276"/>
      <c r="AL114" s="270"/>
      <c r="AM114" s="276"/>
      <c r="AN114" s="276"/>
      <c r="AO114" s="275"/>
      <c r="AT114" s="226"/>
      <c r="BO114" s="281" t="str">
        <f t="shared" si="44"/>
        <v>dI4</v>
      </c>
      <c r="CQ114" s="62">
        <v>2017</v>
      </c>
      <c r="CR114" s="55">
        <f t="shared" si="24"/>
        <v>344.5050749730455</v>
      </c>
      <c r="CS114" s="364">
        <v>1.2642318481661403</v>
      </c>
      <c r="CT114" s="167">
        <v>16649.19</v>
      </c>
      <c r="CU114" s="57">
        <f t="shared" si="26"/>
        <v>48.3278511972651</v>
      </c>
      <c r="CV114" s="57">
        <f t="shared" ref="CV114:CV132" si="49">2.5818*CW114-5.415</f>
        <v>49.12305643910423</v>
      </c>
      <c r="CW114" s="75">
        <f>НАСТРОЙКА!DR158</f>
        <v>21.124043860525305</v>
      </c>
      <c r="DI114" s="316">
        <f t="shared" si="27"/>
        <v>48.3278511972651</v>
      </c>
      <c r="DL114" s="62">
        <v>2017</v>
      </c>
      <c r="DM114" s="365">
        <v>1.2642318481661403</v>
      </c>
      <c r="DN114" s="72"/>
      <c r="ED114" s="332">
        <v>2014</v>
      </c>
      <c r="EE114" s="55">
        <v>14173.19</v>
      </c>
      <c r="EF114" s="333">
        <v>79058.48</v>
      </c>
      <c r="EU114" s="62">
        <v>2016</v>
      </c>
      <c r="EV114" s="57">
        <f t="shared" si="31"/>
        <v>25.541020349632802</v>
      </c>
      <c r="EW114" s="326">
        <f t="shared" si="32"/>
        <v>46.796704667591264</v>
      </c>
      <c r="EX114" s="57">
        <f t="shared" si="33"/>
        <v>22.71379487635589</v>
      </c>
      <c r="EY114" s="57">
        <f t="shared" si="34"/>
        <v>16.052012422908838</v>
      </c>
      <c r="EZ114" s="57">
        <f t="shared" si="35"/>
        <v>24.686694352693262</v>
      </c>
      <c r="FA114" s="57">
        <f t="shared" si="36"/>
        <v>27.019844336572895</v>
      </c>
      <c r="FB114" s="57">
        <f t="shared" si="37"/>
        <v>72.88</v>
      </c>
      <c r="FC114" s="57"/>
      <c r="FD114" s="57">
        <f t="shared" si="38"/>
        <v>44</v>
      </c>
      <c r="FE114" s="75">
        <f t="shared" si="28"/>
        <v>20.60681285779466</v>
      </c>
    </row>
    <row r="115" ht="18" customHeight="1" spans="10:161" x14ac:dyDescent="0.25">
      <c r="J115" s="217"/>
      <c r="N115" s="244" t="s">
        <v>319</v>
      </c>
      <c r="O115" s="218" t="s">
        <v>299</v>
      </c>
      <c r="P115" s="275"/>
      <c r="U115" s="366">
        <f>U114+U113+U112+U111</f>
        <v>1</v>
      </c>
      <c r="V115" s="367">
        <f>V114+V113+V112+V111</f>
        <v>1</v>
      </c>
      <c r="W115" s="367">
        <f t="shared" ref="W115:AI115" si="50">W114+W113+W112+W111</f>
        <v>1</v>
      </c>
      <c r="X115" s="367">
        <f t="shared" si="50"/>
        <v>1</v>
      </c>
      <c r="Y115" s="367">
        <f t="shared" si="50"/>
        <v>1</v>
      </c>
      <c r="Z115" s="367">
        <f t="shared" si="50"/>
        <v>1</v>
      </c>
      <c r="AA115" s="367">
        <f t="shared" si="50"/>
        <v>1</v>
      </c>
      <c r="AB115" s="367">
        <f t="shared" si="50"/>
        <v>1</v>
      </c>
      <c r="AC115" s="367">
        <f t="shared" si="50"/>
        <v>1</v>
      </c>
      <c r="AD115" s="367">
        <f t="shared" si="50"/>
        <v>1</v>
      </c>
      <c r="AE115" s="367">
        <f t="shared" si="50"/>
        <v>1</v>
      </c>
      <c r="AF115" s="271">
        <f t="shared" si="50"/>
        <v>1</v>
      </c>
      <c r="AG115" s="271">
        <f t="shared" si="50"/>
        <v>1</v>
      </c>
      <c r="AH115" s="271">
        <f t="shared" si="50"/>
        <v>1</v>
      </c>
      <c r="AI115" s="271">
        <f t="shared" si="50"/>
        <v>1</v>
      </c>
      <c r="AJ115" s="277"/>
      <c r="AK115" s="368"/>
      <c r="AL115" s="368"/>
      <c r="AM115" s="368"/>
      <c r="AN115" s="195"/>
      <c r="AO115" s="226" t="s">
        <v>319</v>
      </c>
      <c r="AT115" s="226"/>
      <c r="BO115" s="281"/>
      <c r="BP115" s="195" t="s">
        <v>334</v>
      </c>
      <c r="CQ115" s="62">
        <v>2018</v>
      </c>
      <c r="CR115" s="55">
        <f t="shared" si="24"/>
        <v>345.5385901979646</v>
      </c>
      <c r="CS115" s="167">
        <v>1.2680245437106386</v>
      </c>
      <c r="CT115" s="167">
        <v>18049.3</v>
      </c>
      <c r="CU115" s="57">
        <f t="shared" si="26"/>
        <v>52.23526550148644</v>
      </c>
      <c r="CV115" s="57">
        <f t="shared" si="49"/>
        <v>51.44637764341007</v>
      </c>
      <c r="CW115" s="75">
        <f>НАСТРОЙКА!DR159</f>
        <v>22.02392812898368</v>
      </c>
      <c r="DI115" s="316">
        <f t="shared" si="27"/>
        <v>52.23526550148644</v>
      </c>
      <c r="DL115" s="62">
        <v>2018</v>
      </c>
      <c r="DM115" s="365">
        <v>1.2680245437106386</v>
      </c>
      <c r="DN115" s="63">
        <f>DM115</f>
        <v>1.2680245437106386</v>
      </c>
      <c r="ED115" s="332">
        <v>2015</v>
      </c>
      <c r="EE115" s="55">
        <v>14684.12</v>
      </c>
      <c r="EF115" s="333">
        <v>83094.3</v>
      </c>
      <c r="EU115" s="62">
        <v>2017</v>
      </c>
      <c r="EV115" s="57">
        <f t="shared" si="31"/>
        <v>26.262932750374507</v>
      </c>
      <c r="EW115" s="326">
        <f t="shared" si="32"/>
        <v>48.3278511972651</v>
      </c>
      <c r="EX115" s="57">
        <f t="shared" si="33"/>
        <v>24.993896175246313</v>
      </c>
      <c r="EY115" s="57">
        <f t="shared" si="34"/>
        <v>14.742627700481556</v>
      </c>
      <c r="EZ115" s="57">
        <f t="shared" si="35"/>
        <v>23.815961506525245</v>
      </c>
      <c r="FA115" s="57">
        <f t="shared" si="36"/>
        <v>28.017232863734257</v>
      </c>
      <c r="FB115" s="57">
        <f t="shared" si="37"/>
        <v>60.66</v>
      </c>
      <c r="FC115" s="57"/>
      <c r="FD115" s="57">
        <f t="shared" si="38"/>
        <v>54.53</v>
      </c>
      <c r="FE115" s="75">
        <f t="shared" si="28"/>
        <v>21.124043860525305</v>
      </c>
    </row>
    <row r="116" ht="18" customHeight="1" spans="5:161" x14ac:dyDescent="0.25">
      <c r="E116" s="369" t="s">
        <v>458</v>
      </c>
      <c r="F116" s="287"/>
      <c r="I116" s="195" t="s">
        <v>292</v>
      </c>
      <c r="J116" s="217" t="s">
        <v>459</v>
      </c>
      <c r="K116" s="31" t="s">
        <v>460</v>
      </c>
      <c r="O116" s="218" t="s">
        <v>299</v>
      </c>
      <c r="P116" s="358"/>
      <c r="Q116" s="312"/>
      <c r="R116" s="312"/>
      <c r="S116" s="312"/>
      <c r="T116" s="312"/>
      <c r="U116" s="320">
        <f>U70/U102</f>
        <v>0.5605873277103477</v>
      </c>
      <c r="V116" s="370">
        <f>V70/V102</f>
        <v>0.5996342883407384</v>
      </c>
      <c r="W116" s="370">
        <f t="shared" ref="W116:AR116" si="51">W70/W102</f>
        <v>0.5879374627754617</v>
      </c>
      <c r="X116" s="370">
        <f t="shared" si="51"/>
        <v>0.5849906186913668</v>
      </c>
      <c r="Y116" s="370">
        <f t="shared" si="51"/>
        <v>0.558989745627981</v>
      </c>
      <c r="Z116" s="370">
        <f t="shared" si="51"/>
        <v>0.5624698229682159</v>
      </c>
      <c r="AA116" s="370">
        <f t="shared" si="51"/>
        <v>0.6075711333388443</v>
      </c>
      <c r="AB116" s="370">
        <f t="shared" si="51"/>
        <v>0.5675837302398972</v>
      </c>
      <c r="AC116" s="370">
        <f t="shared" si="51"/>
        <v>0.5968293525687911</v>
      </c>
      <c r="AD116" s="370">
        <f t="shared" si="51"/>
        <v>0.6188437158703985</v>
      </c>
      <c r="AE116" s="370">
        <f t="shared" si="51"/>
        <v>0.5345451279946046</v>
      </c>
      <c r="AF116" s="370">
        <f t="shared" si="51"/>
        <v>0.5588415440825294</v>
      </c>
      <c r="AG116" s="370">
        <f t="shared" si="51"/>
        <v>0.5054202818665039</v>
      </c>
      <c r="AH116" s="370">
        <f t="shared" si="51"/>
        <v>0.5260117005775101</v>
      </c>
      <c r="AI116" s="370">
        <f t="shared" si="51"/>
        <v>0.5026513711732707</v>
      </c>
      <c r="AJ116" s="370">
        <f t="shared" si="51"/>
        <v>0.4922217554933671</v>
      </c>
      <c r="AK116" s="370">
        <f t="shared" si="51"/>
        <v>0.5265027156789197</v>
      </c>
      <c r="AL116" s="370">
        <f t="shared" si="51"/>
        <v>0.524529523193096</v>
      </c>
      <c r="AM116" s="370">
        <f t="shared" si="51"/>
        <v>0.5358618465796757</v>
      </c>
      <c r="AN116" s="370">
        <f t="shared" si="51"/>
        <v>0.5132982036795596</v>
      </c>
      <c r="AO116" s="370">
        <f t="shared" si="51"/>
        <v>0.4937166296819313</v>
      </c>
      <c r="AP116" s="370">
        <f t="shared" si="51"/>
        <v>0.5021226535563785</v>
      </c>
      <c r="AQ116" s="370">
        <f t="shared" si="51"/>
        <v>0.5139273367082355</v>
      </c>
      <c r="AR116" s="370">
        <f t="shared" si="51"/>
        <v>0.5264488843517573</v>
      </c>
      <c r="AT116" s="226"/>
      <c r="BO116" s="281" t="str">
        <f t="shared" ref="BO116:BO122" si="52">J116</f>
        <v>h1</v>
      </c>
      <c r="CQ116" s="62">
        <v>2019</v>
      </c>
      <c r="CR116" s="167"/>
      <c r="CS116" s="167"/>
      <c r="CT116" s="167"/>
      <c r="CU116" s="167"/>
      <c r="CV116" s="57">
        <f t="shared" si="49"/>
        <v>53.174963523769726</v>
      </c>
      <c r="CW116" s="75">
        <f>НАСТРОЙКА!DR160</f>
        <v>22.693455544104783</v>
      </c>
      <c r="DI116" s="316">
        <f>CV116</f>
        <v>53.174963523769726</v>
      </c>
      <c r="DL116" s="62">
        <v>2019</v>
      </c>
      <c r="DM116" s="77"/>
      <c r="DN116" s="63">
        <f t="array" ref="DN116:DN132">TRANSPOSE(СЧЁТ!AM186:BC186)</f>
        <v>1.3249159206294971</v>
      </c>
      <c r="ED116" s="332">
        <v>2016</v>
      </c>
      <c r="EE116" s="55">
        <v>15728.49</v>
      </c>
      <c r="EF116" s="333">
        <v>86014.2</v>
      </c>
      <c r="EU116" s="62">
        <v>2018</v>
      </c>
      <c r="EV116" s="57">
        <f t="shared" si="31"/>
        <v>27.120680464307846</v>
      </c>
      <c r="EW116" s="326">
        <f t="shared" si="32"/>
        <v>52.23526550148644</v>
      </c>
      <c r="EX116" s="57">
        <f t="shared" si="33"/>
        <v>27.181442967904612</v>
      </c>
      <c r="EY116" s="57">
        <f t="shared" si="34"/>
        <v>16.237654558609506</v>
      </c>
      <c r="EZ116" s="57">
        <f t="shared" si="35"/>
        <v>28.98429850585516</v>
      </c>
      <c r="FA116" s="57">
        <f t="shared" si="36"/>
        <v>29.48966481725577</v>
      </c>
      <c r="FB116" s="57">
        <f t="shared" si="37"/>
        <v>57.6</v>
      </c>
      <c r="FC116" s="57"/>
      <c r="FD116" s="57">
        <f t="shared" si="38"/>
        <v>72.93</v>
      </c>
      <c r="FE116" s="75">
        <f t="shared" si="28"/>
        <v>22.02392812898368</v>
      </c>
    </row>
    <row r="117" ht="18" customHeight="1" spans="5:161" x14ac:dyDescent="0.25">
      <c r="E117" s="369" t="s">
        <v>461</v>
      </c>
      <c r="F117" s="287"/>
      <c r="I117" s="195" t="s">
        <v>292</v>
      </c>
      <c r="J117" s="217" t="s">
        <v>462</v>
      </c>
      <c r="K117" s="31" t="s">
        <v>463</v>
      </c>
      <c r="O117" s="218" t="s">
        <v>299</v>
      </c>
      <c r="P117" s="275"/>
      <c r="U117" s="320">
        <f t="shared" ref="U117:AI117" si="53">U111*U79/U102</f>
        <v>0.20650529520674757</v>
      </c>
      <c r="V117" s="270">
        <f t="shared" si="53"/>
        <v>0.18662538991879885</v>
      </c>
      <c r="W117" s="270">
        <f t="shared" si="53"/>
        <v>0.14559893150684933</v>
      </c>
      <c r="X117" s="270">
        <f t="shared" si="53"/>
        <v>0.13535694098088116</v>
      </c>
      <c r="Y117" s="270">
        <f t="shared" si="53"/>
        <v>0.14655860492845788</v>
      </c>
      <c r="Z117" s="320">
        <f t="shared" si="53"/>
        <v>0.16883141472373858</v>
      </c>
      <c r="AA117" s="270">
        <f t="shared" si="53"/>
        <v>0.1679213854674713</v>
      </c>
      <c r="AB117" s="270">
        <f t="shared" si="53"/>
        <v>0.12822885194167666</v>
      </c>
      <c r="AC117" s="270">
        <f t="shared" si="53"/>
        <v>0.13951403566294232</v>
      </c>
      <c r="AD117" s="270">
        <f t="shared" si="53"/>
        <v>0.13006831273957645</v>
      </c>
      <c r="AE117" s="320">
        <f t="shared" si="53"/>
        <v>0.11965349089522916</v>
      </c>
      <c r="AF117" s="271">
        <f t="shared" si="53"/>
        <v>0.1225534912599102</v>
      </c>
      <c r="AG117" s="271">
        <f t="shared" si="53"/>
        <v>0.1251333043549027</v>
      </c>
      <c r="AH117" s="271">
        <f t="shared" si="53"/>
        <v>0.12991867172372823</v>
      </c>
      <c r="AI117" s="271">
        <f t="shared" si="53"/>
        <v>0.10188510091411551</v>
      </c>
      <c r="AJ117" s="226"/>
      <c r="AK117" s="270"/>
      <c r="AL117" s="270"/>
      <c r="AM117" s="276"/>
      <c r="AO117" s="226"/>
      <c r="AT117" s="226"/>
      <c r="BO117" s="281" t="str">
        <f t="shared" si="52"/>
        <v>h2</v>
      </c>
      <c r="CQ117" s="62">
        <v>2020</v>
      </c>
      <c r="CR117" s="167"/>
      <c r="CS117" s="167"/>
      <c r="CT117" s="167"/>
      <c r="CU117" s="167"/>
      <c r="CV117" s="57">
        <f t="shared" si="49"/>
        <v>56.05173073278681</v>
      </c>
      <c r="CW117" s="75">
        <f>НАСТРОЙКА!DR161</f>
        <v>23.807704211320324</v>
      </c>
      <c r="DI117" s="316">
        <f t="shared" ref="DI117:DI132" si="54">CV117</f>
        <v>56.05173073278681</v>
      </c>
      <c r="DL117" s="62">
        <v>2020</v>
      </c>
      <c r="DM117" s="77"/>
      <c r="DN117" s="63">
        <v>1.342524810257228</v>
      </c>
      <c r="ED117" s="332">
        <v>2017</v>
      </c>
      <c r="EE117" s="333">
        <v>16649.19</v>
      </c>
      <c r="EF117" s="333">
        <v>92101.34</v>
      </c>
      <c r="EU117" s="62">
        <v>2019</v>
      </c>
      <c r="EV117" s="371">
        <f t="shared" ref="EV117:EV133" si="55">1.2605*FE117-0.4897</f>
        <v>28.11540071334408</v>
      </c>
      <c r="EW117" s="326">
        <f t="shared" si="32"/>
        <v>53.174963523769726</v>
      </c>
      <c r="EX117" s="57">
        <f t="shared" si="33"/>
        <v>28.30469088773622</v>
      </c>
      <c r="EY117" s="371">
        <f>FG251</f>
        <v>18.438060398142703</v>
      </c>
      <c r="EZ117" s="57">
        <f t="shared" si="35"/>
        <v>28.28794120598946</v>
      </c>
      <c r="FA117" s="57">
        <f t="shared" ref="FA117:FA133" si="56">1.661*FE117-7.124</f>
        <v>30.56982965875805</v>
      </c>
      <c r="FB117" s="57">
        <f t="shared" si="37"/>
        <v>69.47</v>
      </c>
      <c r="FC117" s="57"/>
      <c r="FD117" s="57">
        <f t="shared" si="38"/>
        <v>63.33</v>
      </c>
      <c r="FE117" s="75">
        <f t="shared" si="28"/>
        <v>22.693455544104783</v>
      </c>
    </row>
    <row r="118" ht="18" customHeight="1" spans="5:161" x14ac:dyDescent="0.25">
      <c r="E118" s="287" t="s">
        <v>464</v>
      </c>
      <c r="F118" s="287"/>
      <c r="G118" s="287"/>
      <c r="H118" s="287"/>
      <c r="I118" s="287"/>
      <c r="J118" s="217" t="s">
        <v>465</v>
      </c>
      <c r="K118" s="31" t="s">
        <v>466</v>
      </c>
      <c r="O118" s="218" t="s">
        <v>299</v>
      </c>
      <c r="P118" s="275"/>
      <c r="U118" s="320">
        <f t="shared" ref="U118:AO118" si="57">(U89-U88)/U65</f>
        <v>0.18412751259012028</v>
      </c>
      <c r="V118" s="270">
        <f t="shared" si="57"/>
        <v>0.16657824595487686</v>
      </c>
      <c r="W118" s="270">
        <f t="shared" si="57"/>
        <v>0.19359545261144048</v>
      </c>
      <c r="X118" s="270">
        <f t="shared" si="57"/>
        <v>0.19506713300983194</v>
      </c>
      <c r="Y118" s="270">
        <f t="shared" si="57"/>
        <v>0.20204166379774025</v>
      </c>
      <c r="Z118" s="320">
        <f t="shared" si="57"/>
        <v>0.14326863278604252</v>
      </c>
      <c r="AA118" s="270">
        <f t="shared" si="57"/>
        <v>0.16519107231144708</v>
      </c>
      <c r="AB118" s="270">
        <f t="shared" si="57"/>
        <v>0.16321890642630238</v>
      </c>
      <c r="AC118" s="270">
        <f t="shared" si="57"/>
        <v>0.202079478635516</v>
      </c>
      <c r="AD118" s="270">
        <f t="shared" si="57"/>
        <v>0.1838978031308734</v>
      </c>
      <c r="AE118" s="320">
        <f t="shared" si="57"/>
        <v>0.20264787232420456</v>
      </c>
      <c r="AF118" s="271">
        <f t="shared" si="57"/>
        <v>0.1970559613972349</v>
      </c>
      <c r="AG118" s="271">
        <f t="shared" si="57"/>
        <v>0.1740097060853261</v>
      </c>
      <c r="AH118" s="271">
        <f t="shared" si="57"/>
        <v>0.1377101234752192</v>
      </c>
      <c r="AI118" s="271">
        <f t="shared" si="57"/>
        <v>0.21351414024282442</v>
      </c>
      <c r="AJ118" s="372">
        <f t="shared" si="57"/>
        <v>0.20520339865598441</v>
      </c>
      <c r="AK118" s="271">
        <f t="shared" si="57"/>
        <v>0.1536435680802861</v>
      </c>
      <c r="AL118" s="271">
        <f t="shared" si="57"/>
        <v>0.1423457417436948</v>
      </c>
      <c r="AM118" s="271">
        <f t="shared" si="57"/>
        <v>0.1484635514784717</v>
      </c>
      <c r="AN118" s="271">
        <f t="shared" si="57"/>
        <v>0.13269341884640334</v>
      </c>
      <c r="AO118" s="363">
        <f t="shared" si="57"/>
        <v>0.18991086031171814</v>
      </c>
      <c r="AT118" s="226"/>
      <c r="BO118" s="281" t="str">
        <f t="shared" si="52"/>
        <v>h3</v>
      </c>
      <c r="CQ118" s="62">
        <v>2021</v>
      </c>
      <c r="CR118" s="167"/>
      <c r="CS118" s="167"/>
      <c r="CT118" s="167"/>
      <c r="CU118" s="167"/>
      <c r="CV118" s="57">
        <f t="shared" si="49"/>
        <v>59.12506726942615</v>
      </c>
      <c r="CW118" s="75">
        <f>НАСТРОЙКА!DR162</f>
        <v>24.99808942188634</v>
      </c>
      <c r="DI118" s="316">
        <f t="shared" si="54"/>
        <v>59.12506726942615</v>
      </c>
      <c r="DL118" s="62">
        <v>2021</v>
      </c>
      <c r="DM118" s="77"/>
      <c r="DN118" s="63">
        <v>1.442031647242126</v>
      </c>
      <c r="ED118" s="332">
        <v>2018</v>
      </c>
      <c r="EE118" s="333">
        <v>18049.3</v>
      </c>
      <c r="EF118" s="333">
        <v>103875.8</v>
      </c>
      <c r="EU118" s="62">
        <v>2020</v>
      </c>
      <c r="EV118" s="371">
        <f t="shared" si="55"/>
        <v>29.51991115836927</v>
      </c>
      <c r="EW118" s="326">
        <f t="shared" si="32"/>
        <v>56.05173073278681</v>
      </c>
      <c r="EX118" s="57">
        <f t="shared" si="33"/>
        <v>29.498051210324068</v>
      </c>
      <c r="EY118" s="371">
        <f t="shared" ref="EY118:EY133" si="58">FG252</f>
        <v>17.799322318991504</v>
      </c>
      <c r="EZ118" s="57">
        <f t="shared" si="35"/>
        <v>30.295292486376674</v>
      </c>
      <c r="FA118" s="57">
        <f t="shared" si="56"/>
        <v>32.420596695003056</v>
      </c>
      <c r="FB118" s="57">
        <f t="shared" si="37"/>
        <v>61.9</v>
      </c>
      <c r="FC118" s="57"/>
      <c r="FD118" s="57">
        <f t="shared" si="38"/>
        <v>40</v>
      </c>
      <c r="FE118" s="75">
        <f t="shared" si="28"/>
        <v>23.807704211320324</v>
      </c>
    </row>
    <row r="119" ht="18" customHeight="1" spans="5:161" x14ac:dyDescent="0.25">
      <c r="E119" s="287" t="s">
        <v>467</v>
      </c>
      <c r="F119" s="287"/>
      <c r="G119" s="187"/>
      <c r="H119" s="187"/>
      <c r="I119" s="195" t="s">
        <v>292</v>
      </c>
      <c r="J119" s="217" t="s">
        <v>468</v>
      </c>
      <c r="K119" s="31" t="s">
        <v>469</v>
      </c>
      <c r="O119" s="218" t="s">
        <v>299</v>
      </c>
      <c r="P119" s="275"/>
      <c r="U119" s="320">
        <f t="shared" ref="U119:AO119" si="59">U69/U89</f>
        <v>0.7902003513009112</v>
      </c>
      <c r="V119" s="270">
        <f t="shared" si="59"/>
        <v>0.742632819983789</v>
      </c>
      <c r="W119" s="270">
        <f t="shared" si="59"/>
        <v>0.745721866698865</v>
      </c>
      <c r="X119" s="270">
        <f t="shared" si="59"/>
        <v>0.8233581081081082</v>
      </c>
      <c r="Y119" s="270">
        <f t="shared" si="59"/>
        <v>0.8686661050170215</v>
      </c>
      <c r="Z119" s="320">
        <f t="shared" si="59"/>
        <v>0.8271385576947212</v>
      </c>
      <c r="AA119" s="270">
        <f t="shared" si="59"/>
        <v>0.8107929512937024</v>
      </c>
      <c r="AB119" s="270">
        <f t="shared" si="59"/>
        <v>0.7918544429805299</v>
      </c>
      <c r="AC119" s="270">
        <f t="shared" si="59"/>
        <v>0.7344982304364923</v>
      </c>
      <c r="AD119" s="270">
        <f t="shared" si="59"/>
        <v>0.7687913140129188</v>
      </c>
      <c r="AE119" s="320">
        <f t="shared" si="59"/>
        <v>0.7708848541862653</v>
      </c>
      <c r="AF119" s="271">
        <f t="shared" si="59"/>
        <v>0.7504145956356528</v>
      </c>
      <c r="AG119" s="271">
        <f t="shared" si="59"/>
        <v>0.7522576918565094</v>
      </c>
      <c r="AH119" s="271">
        <f t="shared" si="59"/>
        <v>0.7909584336872127</v>
      </c>
      <c r="AI119" s="271">
        <f t="shared" si="59"/>
        <v>0.7312844672880913</v>
      </c>
      <c r="AJ119" s="372">
        <f t="shared" si="59"/>
        <v>0.7267341060917033</v>
      </c>
      <c r="AK119" s="271">
        <f t="shared" si="59"/>
        <v>0.8398472735331163</v>
      </c>
      <c r="AL119" s="271">
        <f t="shared" si="59"/>
        <v>0.8643835630513232</v>
      </c>
      <c r="AM119" s="271">
        <f t="shared" si="59"/>
        <v>0.8614813169092944</v>
      </c>
      <c r="AN119" s="271">
        <f t="shared" si="59"/>
        <v>0.8754998852277708</v>
      </c>
      <c r="AO119" s="363">
        <f t="shared" si="59"/>
        <v>0.807875051376901</v>
      </c>
      <c r="AT119" s="226"/>
      <c r="BO119" s="281" t="str">
        <f t="shared" si="52"/>
        <v>h4</v>
      </c>
      <c r="CQ119" s="62">
        <v>2022</v>
      </c>
      <c r="CR119" s="167"/>
      <c r="CS119" s="167"/>
      <c r="CT119" s="167"/>
      <c r="CU119" s="167"/>
      <c r="CV119" s="57">
        <f t="shared" si="49"/>
        <v>62.35207063289746</v>
      </c>
      <c r="CW119" s="75">
        <f>НАСТРОЙКА!DR163</f>
        <v>26.24799389298066</v>
      </c>
      <c r="DI119" s="316">
        <f t="shared" si="54"/>
        <v>62.35207063289746</v>
      </c>
      <c r="DL119" s="62">
        <v>2022</v>
      </c>
      <c r="DM119" s="77"/>
      <c r="DN119" s="63">
        <v>1.5056835404483333</v>
      </c>
      <c r="ED119" s="332">
        <v>2019</v>
      </c>
      <c r="EE119" s="164"/>
      <c r="EF119" s="373"/>
      <c r="EU119" s="62">
        <v>2021</v>
      </c>
      <c r="EV119" s="371">
        <f t="shared" si="55"/>
        <v>31.020391716287733</v>
      </c>
      <c r="EW119" s="326">
        <f t="shared" si="32"/>
        <v>59.12506726942615</v>
      </c>
      <c r="EX119" s="57">
        <f t="shared" si="33"/>
        <v>30.77295377084027</v>
      </c>
      <c r="EY119" s="371">
        <f t="shared" si="58"/>
        <v>20.147590934941082</v>
      </c>
      <c r="EZ119" s="57">
        <f t="shared" si="35"/>
        <v>32.50839100920102</v>
      </c>
      <c r="FA119" s="57">
        <f t="shared" si="56"/>
        <v>34.39782652975321</v>
      </c>
      <c r="FB119" s="57">
        <f t="shared" si="37"/>
        <v>73.87</v>
      </c>
      <c r="FC119" s="57"/>
      <c r="FD119" s="57">
        <f t="shared" si="38"/>
        <v>50</v>
      </c>
      <c r="FE119" s="75">
        <f t="shared" si="28"/>
        <v>24.99808942188634</v>
      </c>
    </row>
    <row r="120" ht="18" customHeight="1" spans="5:161" x14ac:dyDescent="0.25">
      <c r="E120" s="369" t="s">
        <v>470</v>
      </c>
      <c r="F120" s="287"/>
      <c r="I120" s="195" t="s">
        <v>292</v>
      </c>
      <c r="J120" s="217" t="s">
        <v>471</v>
      </c>
      <c r="K120" s="31" t="s">
        <v>472</v>
      </c>
      <c r="O120" s="218" t="s">
        <v>299</v>
      </c>
      <c r="P120" s="275"/>
      <c r="U120" s="320">
        <f t="shared" ref="U120:AI120" si="60">U113*U79/U89</f>
        <v>0.13540672741244922</v>
      </c>
      <c r="V120" s="270">
        <f t="shared" si="60"/>
        <v>0.13435975978188786</v>
      </c>
      <c r="W120" s="270">
        <f t="shared" si="60"/>
        <v>0.10612334581019077</v>
      </c>
      <c r="X120" s="270">
        <f t="shared" si="60"/>
        <v>0.07999606644144144</v>
      </c>
      <c r="Y120" s="270">
        <f t="shared" si="60"/>
        <v>0.08460888999690519</v>
      </c>
      <c r="Z120" s="320">
        <f t="shared" si="60"/>
        <v>0.08160352569090587</v>
      </c>
      <c r="AA120" s="270">
        <f t="shared" si="60"/>
        <v>0.061309080325960406</v>
      </c>
      <c r="AB120" s="270">
        <f t="shared" si="60"/>
        <v>0.04824605475040258</v>
      </c>
      <c r="AC120" s="270">
        <f t="shared" si="60"/>
        <v>0.04298859614628392</v>
      </c>
      <c r="AD120" s="270">
        <f t="shared" si="60"/>
        <v>0.04071863925002048</v>
      </c>
      <c r="AE120" s="320">
        <f t="shared" si="60"/>
        <v>0.033970837253057384</v>
      </c>
      <c r="AF120" s="271">
        <f t="shared" si="60"/>
        <v>0.03364873540349679</v>
      </c>
      <c r="AG120" s="271">
        <f t="shared" si="60"/>
        <v>0.03277512554254743</v>
      </c>
      <c r="AH120" s="271">
        <f t="shared" si="60"/>
        <v>0.03478694343210268</v>
      </c>
      <c r="AI120" s="271">
        <f t="shared" si="60"/>
        <v>0.02779340709121004</v>
      </c>
      <c r="AJ120" s="226"/>
      <c r="AK120" s="270"/>
      <c r="AL120" s="270"/>
      <c r="AM120" s="276"/>
      <c r="AO120" s="374"/>
      <c r="AT120" s="226"/>
      <c r="BO120" s="281" t="str">
        <f t="shared" si="52"/>
        <v>h5</v>
      </c>
      <c r="CQ120" s="62">
        <v>2023</v>
      </c>
      <c r="CR120" s="167"/>
      <c r="CS120" s="167"/>
      <c r="CT120" s="167"/>
      <c r="CU120" s="167"/>
      <c r="CV120" s="57">
        <f t="shared" si="49"/>
        <v>65.74042416454233</v>
      </c>
      <c r="CW120" s="75">
        <f>НАСТРОЙКА!DR164</f>
        <v>27.560393587629694</v>
      </c>
      <c r="DI120" s="316">
        <f t="shared" si="54"/>
        <v>65.74042416454233</v>
      </c>
      <c r="DL120" s="62">
        <v>2023</v>
      </c>
      <c r="DM120" s="77"/>
      <c r="DN120" s="63">
        <v>1.5695274698488424</v>
      </c>
      <c r="ED120" s="332">
        <v>2020</v>
      </c>
      <c r="EE120" s="164"/>
      <c r="EF120" s="373"/>
      <c r="EU120" s="62">
        <v>2022</v>
      </c>
      <c r="EV120" s="371">
        <f t="shared" si="55"/>
        <v>32.59589630210212</v>
      </c>
      <c r="EW120" s="326">
        <f t="shared" si="32"/>
        <v>62.35207063289746</v>
      </c>
      <c r="EX120" s="57">
        <f t="shared" si="33"/>
        <v>32.111601459382285</v>
      </c>
      <c r="EY120" s="371">
        <f t="shared" si="58"/>
        <v>20.910602631688135</v>
      </c>
      <c r="EZ120" s="57">
        <f t="shared" si="35"/>
        <v>34.90839768276339</v>
      </c>
      <c r="FA120" s="57">
        <f t="shared" si="56"/>
        <v>36.473917856240874</v>
      </c>
      <c r="FB120" s="57">
        <f t="shared" si="37"/>
        <v>75.17</v>
      </c>
      <c r="FC120" s="57"/>
      <c r="FD120" s="57">
        <f t="shared" si="38"/>
        <v>57</v>
      </c>
      <c r="FE120" s="75">
        <f t="shared" si="28"/>
        <v>26.24799389298066</v>
      </c>
    </row>
    <row r="121" ht="18" customHeight="1" spans="5:161" x14ac:dyDescent="0.25">
      <c r="E121" s="369" t="s">
        <v>473</v>
      </c>
      <c r="F121" s="287"/>
      <c r="I121" s="195" t="s">
        <v>292</v>
      </c>
      <c r="J121" s="217" t="s">
        <v>474</v>
      </c>
      <c r="K121" s="31" t="s">
        <v>475</v>
      </c>
      <c r="O121" s="218" t="s">
        <v>299</v>
      </c>
      <c r="P121" s="275"/>
      <c r="U121" s="320">
        <f t="shared" ref="U121:AI121" si="61">U112*U79/U101</f>
        <v>0.05900779643479286</v>
      </c>
      <c r="V121" s="270">
        <f t="shared" si="61"/>
        <v>0.08654860466679155</v>
      </c>
      <c r="W121" s="270">
        <f t="shared" si="61"/>
        <v>0.1189844457803133</v>
      </c>
      <c r="X121" s="270">
        <f t="shared" si="61"/>
        <v>0.12986318623952717</v>
      </c>
      <c r="Y121" s="270">
        <f t="shared" si="61"/>
        <v>0.07706152379444844</v>
      </c>
      <c r="Z121" s="320">
        <f t="shared" si="61"/>
        <v>0.11204415839266259</v>
      </c>
      <c r="AA121" s="270">
        <f t="shared" si="61"/>
        <v>0.14995650491818585</v>
      </c>
      <c r="AB121" s="270">
        <f t="shared" si="61"/>
        <v>0.18991438128737345</v>
      </c>
      <c r="AC121" s="270">
        <f t="shared" si="61"/>
        <v>0.18563368759464693</v>
      </c>
      <c r="AD121" s="270">
        <f t="shared" si="61"/>
        <v>0.21169378862685434</v>
      </c>
      <c r="AE121" s="320">
        <f t="shared" si="61"/>
        <v>0.2060309723953909</v>
      </c>
      <c r="AF121" s="271">
        <f t="shared" si="61"/>
        <v>0.23589083916415302</v>
      </c>
      <c r="AG121" s="271">
        <f t="shared" si="61"/>
        <v>0.30906078059544245</v>
      </c>
      <c r="AH121" s="271">
        <f t="shared" si="61"/>
        <v>0.35325012690110896</v>
      </c>
      <c r="AI121" s="271">
        <f t="shared" si="61"/>
        <v>0.3713325459609972</v>
      </c>
      <c r="AJ121" s="226"/>
      <c r="AK121" s="270"/>
      <c r="AL121" s="270"/>
      <c r="AM121" s="276"/>
      <c r="AO121" s="374"/>
      <c r="AT121" s="226"/>
      <c r="BO121" s="281" t="str">
        <f t="shared" si="52"/>
        <v>h6</v>
      </c>
      <c r="CQ121" s="62">
        <v>2024</v>
      </c>
      <c r="CR121" s="167"/>
      <c r="CS121" s="167"/>
      <c r="CT121" s="167"/>
      <c r="CU121" s="167"/>
      <c r="CV121" s="57">
        <f t="shared" si="49"/>
        <v>69.29819537276946</v>
      </c>
      <c r="CW121" s="75">
        <f>НАСТРОЙКА!DR165</f>
        <v>28.938413267011178</v>
      </c>
      <c r="DI121" s="316">
        <f t="shared" si="54"/>
        <v>69.29819537276946</v>
      </c>
      <c r="DL121" s="62">
        <v>2024</v>
      </c>
      <c r="DM121" s="77"/>
      <c r="DN121" s="63">
        <v>1.6347565687736516</v>
      </c>
      <c r="ED121" s="332">
        <v>2021</v>
      </c>
      <c r="EE121" s="164"/>
      <c r="EF121" s="373"/>
      <c r="EU121" s="62">
        <v>2023</v>
      </c>
      <c r="EV121" s="371">
        <f t="shared" si="55"/>
        <v>34.250176117207225</v>
      </c>
      <c r="EW121" s="326">
        <f t="shared" si="32"/>
        <v>65.74042416454233</v>
      </c>
      <c r="EX121" s="57">
        <f t="shared" si="33"/>
        <v>33.5171815323514</v>
      </c>
      <c r="EY121" s="371">
        <f t="shared" si="58"/>
        <v>21.70194341327254</v>
      </c>
      <c r="EZ121" s="57">
        <f t="shared" si="35"/>
        <v>37.51247387012187</v>
      </c>
      <c r="FA121" s="57">
        <f t="shared" si="56"/>
        <v>38.65381374905292</v>
      </c>
      <c r="FB121" s="57">
        <f t="shared" si="37"/>
        <v>76.47</v>
      </c>
      <c r="FC121" s="57"/>
      <c r="FD121" s="57">
        <f t="shared" si="38"/>
        <v>61.9</v>
      </c>
      <c r="FE121" s="75">
        <f t="shared" si="28"/>
        <v>27.560393587629694</v>
      </c>
    </row>
    <row r="122" ht="18" customHeight="1" spans="5:161" x14ac:dyDescent="0.25">
      <c r="E122" s="369" t="s">
        <v>476</v>
      </c>
      <c r="F122" s="287"/>
      <c r="I122" s="195" t="s">
        <v>292</v>
      </c>
      <c r="J122" s="217" t="s">
        <v>477</v>
      </c>
      <c r="K122" s="31" t="s">
        <v>478</v>
      </c>
      <c r="O122" s="218" t="s">
        <v>299</v>
      </c>
      <c r="P122" s="275"/>
      <c r="U122" s="320">
        <f>U114</f>
        <v>0.027000000000000024</v>
      </c>
      <c r="V122" s="270">
        <f>V114</f>
        <v>0.03</v>
      </c>
      <c r="W122" s="270">
        <f t="shared" ref="W122:AI122" si="62">W114</f>
        <v>0.04300000000000004</v>
      </c>
      <c r="X122" s="270">
        <f t="shared" si="62"/>
        <v>0.06899999999999995</v>
      </c>
      <c r="Y122" s="270">
        <f t="shared" si="62"/>
        <v>0.11299999999999999</v>
      </c>
      <c r="Z122" s="320">
        <f t="shared" si="62"/>
        <v>0.137</v>
      </c>
      <c r="AA122" s="270">
        <f t="shared" si="62"/>
        <v>0.145</v>
      </c>
      <c r="AB122" s="270">
        <f t="shared" si="62"/>
        <v>0.14300000000000002</v>
      </c>
      <c r="AC122" s="270">
        <f t="shared" si="62"/>
        <v>0.15900000000000003</v>
      </c>
      <c r="AD122" s="270">
        <f t="shared" si="62"/>
        <v>0.16600000000000004</v>
      </c>
      <c r="AE122" s="320">
        <f t="shared" si="62"/>
        <v>0.19399999999999995</v>
      </c>
      <c r="AF122" s="271">
        <f t="shared" si="62"/>
        <v>0.18400000000000005</v>
      </c>
      <c r="AG122" s="271">
        <f t="shared" si="62"/>
        <v>0.16</v>
      </c>
      <c r="AH122" s="271">
        <f t="shared" si="62"/>
        <v>0.15</v>
      </c>
      <c r="AI122" s="271">
        <f t="shared" si="62"/>
        <v>0.14</v>
      </c>
      <c r="AJ122" s="226"/>
      <c r="AK122" s="270"/>
      <c r="AL122" s="270"/>
      <c r="AM122" s="276"/>
      <c r="AO122" s="374"/>
      <c r="AT122" s="226"/>
      <c r="BO122" s="281" t="str">
        <f t="shared" si="52"/>
        <v>h7</v>
      </c>
      <c r="CQ122" s="62">
        <v>2025</v>
      </c>
      <c r="CR122" s="167"/>
      <c r="CS122" s="167"/>
      <c r="CT122" s="167"/>
      <c r="CU122" s="167"/>
      <c r="CV122" s="57">
        <f t="shared" si="49"/>
        <v>73.03385514140793</v>
      </c>
      <c r="CW122" s="75">
        <f>НАСТРОЙКА!DR166</f>
        <v>30.38533393036174</v>
      </c>
      <c r="DI122" s="316">
        <f t="shared" si="54"/>
        <v>73.03385514140793</v>
      </c>
      <c r="DL122" s="62">
        <v>2025</v>
      </c>
      <c r="DM122" s="77"/>
      <c r="DN122" s="63">
        <v>1.7021685764197234</v>
      </c>
      <c r="ED122" s="332">
        <v>2022</v>
      </c>
      <c r="EE122" s="164"/>
      <c r="EF122" s="373"/>
      <c r="EU122" s="62">
        <v>2024</v>
      </c>
      <c r="EV122" s="371">
        <f t="shared" si="55"/>
        <v>35.98716992306759</v>
      </c>
      <c r="EW122" s="326">
        <f t="shared" si="32"/>
        <v>69.29819537276946</v>
      </c>
      <c r="EX122" s="57">
        <f t="shared" si="33"/>
        <v>34.99304060896897</v>
      </c>
      <c r="EY122" s="371">
        <f t="shared" si="58"/>
        <v>22.52302973393617</v>
      </c>
      <c r="EZ122" s="57">
        <f t="shared" si="35"/>
        <v>40.33944013792836</v>
      </c>
      <c r="FA122" s="57">
        <f t="shared" si="56"/>
        <v>40.942704436505565</v>
      </c>
      <c r="FB122" s="57">
        <f t="shared" si="37"/>
        <v>77.77</v>
      </c>
      <c r="FC122" s="57"/>
      <c r="FD122" s="57">
        <f t="shared" si="38"/>
        <v>65.33</v>
      </c>
      <c r="FE122" s="75">
        <f t="shared" si="28"/>
        <v>28.938413267011178</v>
      </c>
    </row>
    <row r="123" ht="18" customHeight="1" spans="5:161" x14ac:dyDescent="0.25">
      <c r="E123" s="369"/>
      <c r="F123" s="287"/>
      <c r="G123" s="187"/>
      <c r="I123" s="195"/>
      <c r="J123" s="217"/>
      <c r="O123" s="218"/>
      <c r="P123" s="275"/>
      <c r="U123" s="320"/>
      <c r="V123" s="270"/>
      <c r="W123" s="270"/>
      <c r="X123" s="270"/>
      <c r="Y123" s="270"/>
      <c r="Z123" s="320"/>
      <c r="AA123" s="270"/>
      <c r="AB123" s="270"/>
      <c r="AC123" s="270"/>
      <c r="AD123" s="270"/>
      <c r="AE123" s="320"/>
      <c r="AF123" s="271"/>
      <c r="AG123" s="271"/>
      <c r="AH123" s="271"/>
      <c r="AI123" s="271"/>
      <c r="AJ123" s="372"/>
      <c r="AK123" s="271"/>
      <c r="AL123" s="271"/>
      <c r="AM123" s="271"/>
      <c r="AN123" s="271"/>
      <c r="AO123" s="363"/>
      <c r="AT123" s="226"/>
      <c r="BO123" s="281"/>
      <c r="CQ123" s="62">
        <v>2026</v>
      </c>
      <c r="CR123" s="167"/>
      <c r="CS123" s="167"/>
      <c r="CT123" s="167"/>
      <c r="CU123" s="167"/>
      <c r="CV123" s="57">
        <f t="shared" si="49"/>
        <v>76.95629789847833</v>
      </c>
      <c r="CW123" s="75">
        <f>НАСТРОЙКА!DR167</f>
        <v>31.904600626879827</v>
      </c>
      <c r="DI123" s="316">
        <f t="shared" si="54"/>
        <v>76.95629789847833</v>
      </c>
      <c r="DL123" s="62">
        <v>2026</v>
      </c>
      <c r="DM123" s="77"/>
      <c r="DN123" s="63">
        <v>1.7723199006893267</v>
      </c>
      <c r="ED123" s="332">
        <v>2023</v>
      </c>
      <c r="EE123" s="164"/>
      <c r="EF123" s="373"/>
      <c r="EU123" s="62">
        <v>2025</v>
      </c>
      <c r="EV123" s="371">
        <f t="shared" si="55"/>
        <v>37.81101341922097</v>
      </c>
      <c r="EW123" s="326">
        <f t="shared" si="32"/>
        <v>73.03385514140793</v>
      </c>
      <c r="EX123" s="57">
        <f t="shared" si="33"/>
        <v>36.54269263941742</v>
      </c>
      <c r="EY123" s="371">
        <f t="shared" si="58"/>
        <v>23.375348870632976</v>
      </c>
      <c r="EZ123" s="57">
        <f t="shared" si="35"/>
        <v>43.40994133299096</v>
      </c>
      <c r="FA123" s="57">
        <f t="shared" si="56"/>
        <v>43.346039658330845</v>
      </c>
      <c r="FB123" s="57">
        <f t="shared" si="37"/>
        <v>79.07</v>
      </c>
      <c r="FC123" s="57"/>
      <c r="FD123" s="57">
        <f t="shared" si="38"/>
        <v>67.731</v>
      </c>
      <c r="FE123" s="75">
        <f t="shared" si="28"/>
        <v>30.38533393036174</v>
      </c>
    </row>
    <row r="124" ht="18" customHeight="1" spans="7:161" x14ac:dyDescent="0.25">
      <c r="G124" s="287" t="s">
        <v>479</v>
      </c>
      <c r="H124" s="327"/>
      <c r="I124" s="195" t="s">
        <v>292</v>
      </c>
      <c r="J124" s="217" t="s">
        <v>480</v>
      </c>
      <c r="K124" s="31" t="s">
        <v>481</v>
      </c>
      <c r="O124" s="218" t="s">
        <v>299</v>
      </c>
      <c r="P124" s="275"/>
      <c r="U124" s="375">
        <f t="shared" ref="U124:AR124" si="63">U66/U51</f>
        <v>0.039346290432521365</v>
      </c>
      <c r="V124" s="376">
        <f t="shared" si="63"/>
        <v>0.04727824241680851</v>
      </c>
      <c r="W124" s="376">
        <f t="shared" si="63"/>
        <v>0.04958825251627314</v>
      </c>
      <c r="X124" s="376">
        <f t="shared" si="63"/>
        <v>0.053861945523556415</v>
      </c>
      <c r="Y124" s="376">
        <f t="shared" si="63"/>
        <v>0.05965893639586271</v>
      </c>
      <c r="Z124" s="375">
        <f t="shared" si="63"/>
        <v>0.06639845630395663</v>
      </c>
      <c r="AA124" s="376">
        <f t="shared" si="63"/>
        <v>0.06892569944409233</v>
      </c>
      <c r="AB124" s="376">
        <f t="shared" si="63"/>
        <v>0.06584386483806699</v>
      </c>
      <c r="AC124" s="376">
        <f t="shared" si="63"/>
        <v>0.06825479702641113</v>
      </c>
      <c r="AD124" s="376">
        <f t="shared" si="63"/>
        <v>0.07352845782238589</v>
      </c>
      <c r="AE124" s="375">
        <f t="shared" si="63"/>
        <v>0.08352376333588525</v>
      </c>
      <c r="AF124" s="271">
        <f t="shared" si="63"/>
        <v>0.08523432370158822</v>
      </c>
      <c r="AG124" s="271">
        <f t="shared" si="63"/>
        <v>0.08247387228514894</v>
      </c>
      <c r="AH124" s="271">
        <f t="shared" si="63"/>
        <v>0.0851118671022953</v>
      </c>
      <c r="AI124" s="377">
        <f t="shared" si="63"/>
        <v>0.07304977354972729</v>
      </c>
      <c r="AJ124" s="378">
        <f t="shared" si="63"/>
        <v>0.07639386457310132</v>
      </c>
      <c r="AK124" s="377">
        <f t="shared" si="63"/>
        <v>0.0812042182400152</v>
      </c>
      <c r="AL124" s="377">
        <f t="shared" si="63"/>
        <v>0.08106352276502601</v>
      </c>
      <c r="AM124" s="377">
        <f t="shared" si="63"/>
        <v>0.07521949182823459</v>
      </c>
      <c r="AN124" s="377">
        <f t="shared" si="63"/>
        <v>0.07747490494554175</v>
      </c>
      <c r="AO124" s="379">
        <f t="shared" si="63"/>
        <v>0.05800963166321928</v>
      </c>
      <c r="AP124" s="380">
        <f t="shared" si="63"/>
        <v>0.05549924767559382</v>
      </c>
      <c r="AQ124" s="380">
        <f t="shared" si="63"/>
        <v>0.053783428415799264</v>
      </c>
      <c r="AR124" s="380">
        <f t="shared" si="63"/>
        <v>0.0596993438406504</v>
      </c>
      <c r="AT124" s="226"/>
      <c r="BO124" s="281" t="str">
        <f>J124</f>
        <v>n1</v>
      </c>
      <c r="CQ124" s="62">
        <v>2027</v>
      </c>
      <c r="CR124" s="167"/>
      <c r="CS124" s="167"/>
      <c r="CT124" s="167"/>
      <c r="CU124" s="167"/>
      <c r="CV124" s="57">
        <f t="shared" si="49"/>
        <v>81.07486279340225</v>
      </c>
      <c r="CW124" s="75">
        <f>НАСТРОЙКА!DR168</f>
        <v>33.49983065822382</v>
      </c>
      <c r="DI124" s="316">
        <f t="shared" si="54"/>
        <v>81.07486279340225</v>
      </c>
      <c r="DL124" s="62">
        <v>2027</v>
      </c>
      <c r="DM124" s="77"/>
      <c r="DN124" s="63">
        <v>1.8456209985557013</v>
      </c>
      <c r="ED124" s="332">
        <v>2024</v>
      </c>
      <c r="EE124" s="164"/>
      <c r="EF124" s="373"/>
      <c r="EU124" s="62">
        <v>2026</v>
      </c>
      <c r="EV124" s="371">
        <f t="shared" si="55"/>
        <v>39.72604909018202</v>
      </c>
      <c r="EW124" s="326">
        <f t="shared" si="32"/>
        <v>76.95629789847833</v>
      </c>
      <c r="EX124" s="57">
        <f t="shared" si="33"/>
        <v>38.16982727138829</v>
      </c>
      <c r="EY124" s="371">
        <f t="shared" si="58"/>
        <v>24.260462464164625</v>
      </c>
      <c r="EZ124" s="57">
        <f t="shared" si="35"/>
        <v>46.746628329593726</v>
      </c>
      <c r="FA124" s="57">
        <f t="shared" si="56"/>
        <v>45.86954164124739</v>
      </c>
      <c r="FB124" s="57">
        <f t="shared" si="37"/>
        <v>80.36999999999999</v>
      </c>
      <c r="FC124" s="57"/>
      <c r="FD124" s="57">
        <f t="shared" si="38"/>
        <v>69.4117</v>
      </c>
      <c r="FE124" s="75">
        <f t="shared" si="28"/>
        <v>31.904600626879827</v>
      </c>
    </row>
    <row r="125" ht="18" customHeight="1" spans="7:161" x14ac:dyDescent="0.25">
      <c r="G125" s="287" t="s">
        <v>482</v>
      </c>
      <c r="H125" s="327"/>
      <c r="I125" s="195" t="s">
        <v>292</v>
      </c>
      <c r="J125" s="217" t="s">
        <v>483</v>
      </c>
      <c r="K125" s="31" t="s">
        <v>484</v>
      </c>
      <c r="O125" s="218" t="s">
        <v>299</v>
      </c>
      <c r="P125" s="275"/>
      <c r="U125" s="375">
        <f t="shared" ref="U125:AR125" si="64">U100/(U51+U52)</f>
        <v>0.05413642837764514</v>
      </c>
      <c r="V125" s="376">
        <f t="shared" si="64"/>
        <v>0.06744382725080347</v>
      </c>
      <c r="W125" s="376">
        <f t="shared" si="64"/>
        <v>0.07337842274391265</v>
      </c>
      <c r="X125" s="376">
        <f t="shared" si="64"/>
        <v>0.08044425149690274</v>
      </c>
      <c r="Y125" s="376">
        <f t="shared" si="64"/>
        <v>0.0792547653553883</v>
      </c>
      <c r="Z125" s="376">
        <f t="shared" si="64"/>
        <v>0.08725766032131918</v>
      </c>
      <c r="AA125" s="376">
        <f t="shared" si="64"/>
        <v>0.0775390856929812</v>
      </c>
      <c r="AB125" s="376">
        <f t="shared" si="64"/>
        <v>0.08544188057752926</v>
      </c>
      <c r="AC125" s="376">
        <f t="shared" si="64"/>
        <v>0.07993808753736403</v>
      </c>
      <c r="AD125" s="376">
        <f t="shared" si="64"/>
        <v>0.08644196204397055</v>
      </c>
      <c r="AE125" s="376">
        <f t="shared" si="64"/>
        <v>0.10195514871018198</v>
      </c>
      <c r="AF125" s="376">
        <f t="shared" si="64"/>
        <v>0.10383564125667144</v>
      </c>
      <c r="AG125" s="376">
        <f t="shared" si="64"/>
        <v>0.09757961920258694</v>
      </c>
      <c r="AH125" s="376">
        <f t="shared" si="64"/>
        <v>0.10182322919675864</v>
      </c>
      <c r="AI125" s="376">
        <f t="shared" si="64"/>
        <v>0.08511143557685862</v>
      </c>
      <c r="AJ125" s="376">
        <f t="shared" si="64"/>
        <v>0.08949031890021944</v>
      </c>
      <c r="AK125" s="376">
        <f t="shared" si="64"/>
        <v>0.07742687832977277</v>
      </c>
      <c r="AL125" s="376">
        <f t="shared" si="64"/>
        <v>0.07748079174133626</v>
      </c>
      <c r="AM125" s="376">
        <f t="shared" si="64"/>
        <v>0.07287041882190425</v>
      </c>
      <c r="AN125" s="376">
        <f t="shared" si="64"/>
        <v>0.0737567232294903</v>
      </c>
      <c r="AO125" s="376">
        <f t="shared" si="64"/>
        <v>0.05683924089777224</v>
      </c>
      <c r="AP125" s="376">
        <f t="shared" si="64"/>
        <v>0.054905885518075605</v>
      </c>
      <c r="AQ125" s="376">
        <f t="shared" si="64"/>
        <v>0.0538590011717765</v>
      </c>
      <c r="AR125" s="376">
        <f t="shared" si="64"/>
        <v>0.059026548886211824</v>
      </c>
      <c r="AT125" s="226"/>
      <c r="BO125" s="281" t="str">
        <f>J125</f>
        <v>n2</v>
      </c>
      <c r="CQ125" s="62">
        <v>2028</v>
      </c>
      <c r="CR125" s="167"/>
      <c r="CS125" s="167"/>
      <c r="CT125" s="167"/>
      <c r="CU125" s="167"/>
      <c r="CV125" s="57">
        <f t="shared" si="49"/>
        <v>85.39935593307237</v>
      </c>
      <c r="CW125" s="75">
        <f>НАСТРОЙКА!DR169</f>
        <v>35.174822191135014</v>
      </c>
      <c r="DI125" s="316">
        <f t="shared" si="54"/>
        <v>85.39935593307237</v>
      </c>
      <c r="DL125" s="62">
        <v>2028</v>
      </c>
      <c r="DM125" s="77"/>
      <c r="DN125" s="63">
        <v>1.9223955088928635</v>
      </c>
      <c r="ED125" s="332">
        <v>2025</v>
      </c>
      <c r="EE125" s="164"/>
      <c r="EF125" s="373"/>
      <c r="EU125" s="62">
        <v>2027</v>
      </c>
      <c r="EV125" s="371">
        <f t="shared" si="55"/>
        <v>41.73683654469112</v>
      </c>
      <c r="EW125" s="326">
        <f t="shared" si="32"/>
        <v>81.07486279340225</v>
      </c>
      <c r="EX125" s="57">
        <f t="shared" si="33"/>
        <v>39.87831863495771</v>
      </c>
      <c r="EY125" s="371">
        <f t="shared" si="58"/>
        <v>25.18001023737286</v>
      </c>
      <c r="EZ125" s="57">
        <f t="shared" si="35"/>
        <v>50.37435814384684</v>
      </c>
      <c r="FA125" s="57">
        <f t="shared" si="56"/>
        <v>48.51921872330976</v>
      </c>
      <c r="FB125" s="57">
        <f t="shared" si="37"/>
        <v>81.66999999999999</v>
      </c>
      <c r="FC125" s="57"/>
      <c r="FD125" s="57">
        <f t="shared" si="38"/>
        <v>70.58819</v>
      </c>
      <c r="FE125" s="75">
        <f t="shared" si="28"/>
        <v>33.49983065822382</v>
      </c>
    </row>
    <row r="126" ht="18" customHeight="1" spans="9:161" x14ac:dyDescent="0.25">
      <c r="I126" s="31" t="s">
        <v>485</v>
      </c>
      <c r="J126" s="217" t="s">
        <v>486</v>
      </c>
      <c r="K126" s="121" t="s">
        <v>487</v>
      </c>
      <c r="L126" s="121"/>
      <c r="M126" s="121"/>
      <c r="N126" s="121"/>
      <c r="O126" s="218" t="s">
        <v>299</v>
      </c>
      <c r="P126" s="275"/>
      <c r="U126" s="277">
        <v>2.313</v>
      </c>
      <c r="V126" s="276">
        <v>1.218</v>
      </c>
      <c r="W126" s="276">
        <v>1.11</v>
      </c>
      <c r="X126" s="276">
        <v>1.844</v>
      </c>
      <c r="Y126" s="276">
        <v>1.365</v>
      </c>
      <c r="Z126" s="277">
        <v>1.202</v>
      </c>
      <c r="AA126" s="276">
        <v>1.186</v>
      </c>
      <c r="AB126" s="276">
        <v>1.151</v>
      </c>
      <c r="AC126" s="276">
        <v>1.12</v>
      </c>
      <c r="AD126" s="276">
        <v>1.117</v>
      </c>
      <c r="AE126" s="277">
        <v>1.109</v>
      </c>
      <c r="AF126" s="276">
        <v>1.09</v>
      </c>
      <c r="AG126" s="276">
        <v>1.1187</v>
      </c>
      <c r="AH126" s="276">
        <v>1.1328</v>
      </c>
      <c r="AI126" s="254">
        <v>1.088</v>
      </c>
      <c r="AJ126" s="226">
        <v>1.0878</v>
      </c>
      <c r="AK126" s="123">
        <v>1.061</v>
      </c>
      <c r="AL126" s="123">
        <v>1.0658</v>
      </c>
      <c r="AM126" s="123">
        <v>1.0645</v>
      </c>
      <c r="AN126" s="123">
        <v>1.136</v>
      </c>
      <c r="AO126" s="363">
        <v>1.129</v>
      </c>
      <c r="AP126" s="265">
        <v>1.054</v>
      </c>
      <c r="AQ126" s="265">
        <v>1.025</v>
      </c>
      <c r="AR126" s="265">
        <v>1.043</v>
      </c>
      <c r="AS126" s="265">
        <v>1.03</v>
      </c>
      <c r="AT126" s="226">
        <v>1.036</v>
      </c>
      <c r="BJ126" s="31">
        <v>1.052</v>
      </c>
      <c r="BO126" s="281" t="str">
        <f>J126</f>
        <v>ip  (д/д)</v>
      </c>
      <c r="BP126" s="31" t="s">
        <v>353</v>
      </c>
      <c r="CQ126" s="62">
        <v>2029</v>
      </c>
      <c r="CR126" s="167"/>
      <c r="CS126" s="167"/>
      <c r="CT126" s="167"/>
      <c r="CU126" s="167"/>
      <c r="CV126" s="57">
        <f t="shared" si="49"/>
        <v>89.940073729726</v>
      </c>
      <c r="CW126" s="75">
        <f>НАСТРОЙКА!DR170</f>
        <v>36.933563300691766</v>
      </c>
      <c r="DI126" s="316">
        <f t="shared" si="54"/>
        <v>89.940073729726</v>
      </c>
      <c r="DL126" s="62">
        <v>2029</v>
      </c>
      <c r="DM126" s="77"/>
      <c r="DN126" s="63">
        <v>2.002916988458954</v>
      </c>
      <c r="ED126" s="332">
        <v>2026</v>
      </c>
      <c r="EE126" s="164"/>
      <c r="EF126" s="373"/>
      <c r="EU126" s="62">
        <v>2028</v>
      </c>
      <c r="EV126" s="371">
        <f t="shared" si="55"/>
        <v>43.848163371925686</v>
      </c>
      <c r="EW126" s="326">
        <f t="shared" si="32"/>
        <v>85.39935593307237</v>
      </c>
      <c r="EX126" s="57">
        <f t="shared" si="33"/>
        <v>41.6722345667056</v>
      </c>
      <c r="EY126" s="371">
        <f t="shared" si="58"/>
        <v>26.1357138992415</v>
      </c>
      <c r="EZ126" s="57">
        <f t="shared" si="35"/>
        <v>54.32041428458438</v>
      </c>
      <c r="FA126" s="57">
        <f t="shared" si="56"/>
        <v>51.30137965947526</v>
      </c>
      <c r="FB126" s="57">
        <f t="shared" si="37"/>
        <v>82.96999999999998</v>
      </c>
      <c r="FC126" s="57"/>
      <c r="FD126" s="57">
        <f t="shared" si="38"/>
        <v>71.411733</v>
      </c>
      <c r="FE126" s="75">
        <f t="shared" si="28"/>
        <v>35.174822191135014</v>
      </c>
    </row>
    <row r="127" ht="18" customHeight="1" spans="5:161" x14ac:dyDescent="0.25">
      <c r="E127" s="31" t="s">
        <v>488</v>
      </c>
      <c r="I127" s="31" t="s">
        <v>489</v>
      </c>
      <c r="J127" s="217" t="s">
        <v>490</v>
      </c>
      <c r="K127" s="121" t="s">
        <v>491</v>
      </c>
      <c r="L127" s="121"/>
      <c r="M127" s="121"/>
      <c r="N127" s="121"/>
      <c r="O127" s="218" t="s">
        <v>299</v>
      </c>
      <c r="P127" s="275">
        <v>0.97</v>
      </c>
      <c r="Q127" s="31">
        <v>0.95</v>
      </c>
      <c r="R127" s="31">
        <v>0.855</v>
      </c>
      <c r="S127" s="31">
        <v>0.913</v>
      </c>
      <c r="T127" s="31">
        <v>0.873</v>
      </c>
      <c r="U127" s="277">
        <v>0.959</v>
      </c>
      <c r="V127" s="276">
        <v>0.964</v>
      </c>
      <c r="W127" s="276">
        <v>1.014</v>
      </c>
      <c r="X127" s="276">
        <v>0.947</v>
      </c>
      <c r="Y127" s="276">
        <v>1.064</v>
      </c>
      <c r="Z127" s="320">
        <v>1.1</v>
      </c>
      <c r="AA127" s="276">
        <v>1.051</v>
      </c>
      <c r="AB127" s="276">
        <v>1.047</v>
      </c>
      <c r="AC127" s="276">
        <v>1.073</v>
      </c>
      <c r="AD127" s="276">
        <v>1.072</v>
      </c>
      <c r="AE127" s="277">
        <v>1.064</v>
      </c>
      <c r="AF127" s="276">
        <v>1.082</v>
      </c>
      <c r="AG127" s="276">
        <v>1.085</v>
      </c>
      <c r="AH127" s="276">
        <v>1.052</v>
      </c>
      <c r="AI127" s="254">
        <v>0.921</v>
      </c>
      <c r="AJ127" s="226">
        <v>1.045</v>
      </c>
      <c r="AK127" s="254">
        <v>1.043</v>
      </c>
      <c r="AL127" s="265">
        <v>1.0365590157306384</v>
      </c>
      <c r="AM127" s="265">
        <v>1.0178535450091057</v>
      </c>
      <c r="AN127" s="265">
        <v>1.0073860077330101</v>
      </c>
      <c r="AO127" s="363">
        <v>0.977</v>
      </c>
      <c r="AP127" s="265">
        <v>1.002</v>
      </c>
      <c r="AQ127" s="265">
        <v>1.018</v>
      </c>
      <c r="AR127" s="265">
        <v>1.028</v>
      </c>
      <c r="AS127" s="265">
        <v>1.02</v>
      </c>
      <c r="AT127" s="381">
        <v>0.97</v>
      </c>
      <c r="BO127" s="281" t="str">
        <f>J127</f>
        <v>p^WWP</v>
      </c>
      <c r="BP127" s="31" t="s">
        <v>492</v>
      </c>
      <c r="CQ127" s="62">
        <v>2030</v>
      </c>
      <c r="CV127" s="57">
        <f t="shared" si="49"/>
        <v>94.7078274162123</v>
      </c>
      <c r="CW127" s="75">
        <f>НАСТРОЙКА!DR171</f>
        <v>38.780241465726355</v>
      </c>
      <c r="DI127" s="316">
        <f t="shared" si="54"/>
        <v>94.7078274162123</v>
      </c>
      <c r="DL127" s="62">
        <v>2030</v>
      </c>
      <c r="DM127" s="77"/>
      <c r="DN127" s="63">
        <v>2.087431806337864</v>
      </c>
      <c r="ED127" s="332">
        <v>2027</v>
      </c>
      <c r="EE127" s="164"/>
      <c r="EF127" s="373"/>
      <c r="EU127" s="62">
        <v>2029</v>
      </c>
      <c r="EV127" s="371">
        <f t="shared" si="55"/>
        <v>46.06505654052197</v>
      </c>
      <c r="EW127" s="326">
        <f t="shared" si="32"/>
        <v>89.940073729726</v>
      </c>
      <c r="EX127" s="57">
        <f t="shared" si="33"/>
        <v>43.55584629504088</v>
      </c>
      <c r="EY127" s="371">
        <f t="shared" si="58"/>
        <v>27.12938124420358</v>
      </c>
      <c r="EZ127" s="57">
        <f t="shared" si="35"/>
        <v>58.61474940129718</v>
      </c>
      <c r="FA127" s="57">
        <f t="shared" si="56"/>
        <v>54.22264864244902</v>
      </c>
      <c r="FB127" s="57">
        <f t="shared" si="37"/>
        <v>84.26999999999998</v>
      </c>
      <c r="FC127" s="57"/>
      <c r="FD127" s="57">
        <f t="shared" si="38"/>
        <v>71.9882131</v>
      </c>
      <c r="FE127" s="75">
        <f t="shared" si="28"/>
        <v>36.933563300691766</v>
      </c>
    </row>
    <row r="128" ht="18" customHeight="1" spans="5:161" x14ac:dyDescent="0.25">
      <c r="E128" s="31" t="s">
        <v>493</v>
      </c>
      <c r="I128" s="195" t="s">
        <v>292</v>
      </c>
      <c r="J128" s="217" t="s">
        <v>494</v>
      </c>
      <c r="K128" s="121" t="s">
        <v>491</v>
      </c>
      <c r="L128" s="121"/>
      <c r="M128" s="121"/>
      <c r="N128" s="121"/>
      <c r="O128" s="218" t="s">
        <v>299</v>
      </c>
      <c r="P128" s="275"/>
      <c r="U128" s="277"/>
      <c r="V128" s="276"/>
      <c r="W128" s="276"/>
      <c r="X128" s="276"/>
      <c r="Y128" s="276"/>
      <c r="Z128" s="277"/>
      <c r="AA128" s="276"/>
      <c r="AB128" s="276"/>
      <c r="AC128" s="270"/>
      <c r="AD128" s="270"/>
      <c r="AE128" s="277"/>
      <c r="AF128" s="276"/>
      <c r="AG128" s="254"/>
      <c r="AH128" s="254"/>
      <c r="AI128" s="254"/>
      <c r="AJ128" s="226"/>
      <c r="AK128" s="276"/>
      <c r="AL128" s="265"/>
      <c r="AM128" s="265"/>
      <c r="AN128" s="265"/>
      <c r="AO128" s="363"/>
      <c r="AP128" s="265"/>
      <c r="AT128" s="226"/>
      <c r="BO128" s="281" t="s">
        <v>495</v>
      </c>
      <c r="BP128" s="31" t="s">
        <v>492</v>
      </c>
      <c r="CQ128" s="62">
        <v>2031</v>
      </c>
      <c r="CV128" s="57">
        <f t="shared" si="49"/>
        <v>99.71396878702292</v>
      </c>
      <c r="CW128" s="75">
        <f>НАСТРОЙКА!DR172</f>
        <v>40.719253539012676</v>
      </c>
      <c r="DI128" s="316">
        <f t="shared" si="54"/>
        <v>99.71396878702292</v>
      </c>
      <c r="DL128" s="62">
        <v>2031</v>
      </c>
      <c r="DM128" s="77"/>
      <c r="DN128" s="63">
        <v>2.1761734838733555</v>
      </c>
      <c r="ED128" s="332">
        <v>2028</v>
      </c>
      <c r="EE128" s="164"/>
      <c r="EF128" s="373"/>
      <c r="EU128" s="62">
        <v>2030</v>
      </c>
      <c r="EV128" s="371">
        <f t="shared" si="55"/>
        <v>48.39279436754807</v>
      </c>
      <c r="EW128" s="326">
        <f t="shared" si="32"/>
        <v>94.7078274162123</v>
      </c>
      <c r="EX128" s="57">
        <f t="shared" si="33"/>
        <v>45.53363860979292</v>
      </c>
      <c r="EY128" s="371">
        <f t="shared" si="58"/>
        <v>28.16291045641375</v>
      </c>
      <c r="EZ128" s="57">
        <f t="shared" si="35"/>
        <v>63.29025250010019</v>
      </c>
      <c r="FA128" s="57">
        <f t="shared" si="56"/>
        <v>57.28998107457148</v>
      </c>
      <c r="FB128" s="57">
        <f t="shared" si="37"/>
        <v>85.56999999999998</v>
      </c>
      <c r="FC128" s="57"/>
      <c r="FD128" s="57">
        <f t="shared" si="38"/>
        <v>72.39174917</v>
      </c>
      <c r="FE128" s="75">
        <f t="shared" si="28"/>
        <v>38.780241465726355</v>
      </c>
    </row>
    <row r="129" ht="18" customHeight="1" spans="9:161" x14ac:dyDescent="0.25">
      <c r="I129" s="31" t="s">
        <v>489</v>
      </c>
      <c r="J129" s="217" t="s">
        <v>496</v>
      </c>
      <c r="K129" s="121" t="s">
        <v>497</v>
      </c>
      <c r="L129" s="121"/>
      <c r="M129" s="121"/>
      <c r="N129" s="121"/>
      <c r="O129" s="218" t="s">
        <v>299</v>
      </c>
      <c r="P129" s="275"/>
      <c r="U129" s="277">
        <v>0.959</v>
      </c>
      <c r="V129" s="270">
        <v>0.972</v>
      </c>
      <c r="W129" s="270">
        <f>W127</f>
        <v>1.014</v>
      </c>
      <c r="X129" s="270">
        <v>0.949</v>
      </c>
      <c r="Y129" s="270">
        <f>1.058</f>
        <v>1.058</v>
      </c>
      <c r="Z129" s="277">
        <v>1.094</v>
      </c>
      <c r="AA129" s="270">
        <v>1.049</v>
      </c>
      <c r="AB129" s="270">
        <v>1.044</v>
      </c>
      <c r="AC129" s="270">
        <v>1.076</v>
      </c>
      <c r="AD129" s="270">
        <v>1.08</v>
      </c>
      <c r="AE129" s="320">
        <v>1.057</v>
      </c>
      <c r="AF129" s="270">
        <v>1.089</v>
      </c>
      <c r="AG129" s="271">
        <v>1.088</v>
      </c>
      <c r="AH129" s="271">
        <v>1.05</v>
      </c>
      <c r="AI129" s="271">
        <v>0.926</v>
      </c>
      <c r="AJ129" s="226">
        <v>1.05</v>
      </c>
      <c r="AK129" s="271">
        <v>1.043</v>
      </c>
      <c r="AL129" s="123">
        <v>1.0390000000000001</v>
      </c>
      <c r="AM129" s="123">
        <v>1.021</v>
      </c>
      <c r="AN129" s="123">
        <v>1.008</v>
      </c>
      <c r="AO129" s="363">
        <v>0.987</v>
      </c>
      <c r="AP129" s="123">
        <v>1.012</v>
      </c>
      <c r="AQ129" s="31">
        <v>1.025</v>
      </c>
      <c r="AR129" s="31">
        <v>1.025</v>
      </c>
      <c r="AT129" s="226"/>
      <c r="BO129" s="281" t="str">
        <f t="shared" ref="BO129:BO149" si="65">J129</f>
        <v>pХО</v>
      </c>
      <c r="BP129" s="31" t="s">
        <v>498</v>
      </c>
      <c r="CQ129" s="62">
        <v>2032</v>
      </c>
      <c r="CV129" s="57">
        <f t="shared" si="49"/>
        <v>104.97041722637408</v>
      </c>
      <c r="CW129" s="75">
        <f>НАСТРОЙКА!DR173</f>
        <v>42.755216215963316</v>
      </c>
      <c r="DI129" s="316">
        <f t="shared" si="54"/>
        <v>104.97041722637408</v>
      </c>
      <c r="DL129" s="62">
        <v>2032</v>
      </c>
      <c r="DM129" s="77"/>
      <c r="DN129" s="63">
        <v>2.269371748988845</v>
      </c>
      <c r="ED129" s="332">
        <v>2029</v>
      </c>
      <c r="EE129" s="164"/>
      <c r="EF129" s="373"/>
      <c r="EU129" s="62">
        <v>2031</v>
      </c>
      <c r="EV129" s="371">
        <f t="shared" si="55"/>
        <v>50.83691908592548</v>
      </c>
      <c r="EW129" s="326">
        <f t="shared" si="32"/>
        <v>99.71396878702292</v>
      </c>
      <c r="EX129" s="57">
        <f t="shared" si="33"/>
        <v>47.61032054028257</v>
      </c>
      <c r="EY129" s="371">
        <f t="shared" si="58"/>
        <v>29.238294629234446</v>
      </c>
      <c r="EZ129" s="57">
        <f t="shared" si="35"/>
        <v>68.38304323078901</v>
      </c>
      <c r="FA129" s="57">
        <f t="shared" si="56"/>
        <v>60.51068012830006</v>
      </c>
      <c r="FB129" s="57">
        <f t="shared" si="37"/>
        <v>86.86999999999998</v>
      </c>
      <c r="FC129" s="57"/>
      <c r="FD129" s="57">
        <f t="shared" si="38"/>
        <v>0</v>
      </c>
      <c r="FE129" s="75">
        <f t="shared" si="28"/>
        <v>40.719253539012676</v>
      </c>
    </row>
    <row r="130" ht="18.5" customHeight="1" spans="9:161" x14ac:dyDescent="0.25">
      <c r="I130" s="195" t="s">
        <v>292</v>
      </c>
      <c r="J130" s="217" t="s">
        <v>499</v>
      </c>
      <c r="K130" s="121" t="s">
        <v>500</v>
      </c>
      <c r="L130" s="121"/>
      <c r="M130" s="121"/>
      <c r="N130" s="121"/>
      <c r="O130" s="218" t="s">
        <v>299</v>
      </c>
      <c r="P130" s="275"/>
      <c r="T130" s="382" t="s">
        <v>437</v>
      </c>
      <c r="U130" s="277">
        <v>0.959</v>
      </c>
      <c r="V130" s="270">
        <f t="shared" ref="V130:AK130" si="66">V129</f>
        <v>0.972</v>
      </c>
      <c r="W130" s="270">
        <f t="shared" si="66"/>
        <v>1.014</v>
      </c>
      <c r="X130" s="270">
        <f t="shared" si="66"/>
        <v>0.949</v>
      </c>
      <c r="Y130" s="270">
        <f t="shared" si="66"/>
        <v>1.058</v>
      </c>
      <c r="Z130" s="270">
        <f t="shared" si="66"/>
        <v>1.094</v>
      </c>
      <c r="AA130" s="270">
        <f t="shared" si="66"/>
        <v>1.049</v>
      </c>
      <c r="AB130" s="270">
        <f t="shared" si="66"/>
        <v>1.044</v>
      </c>
      <c r="AC130" s="270">
        <f t="shared" si="66"/>
        <v>1.076</v>
      </c>
      <c r="AD130" s="270">
        <f t="shared" si="66"/>
        <v>1.08</v>
      </c>
      <c r="AE130" s="270">
        <f t="shared" si="66"/>
        <v>1.057</v>
      </c>
      <c r="AF130" s="270">
        <f t="shared" si="66"/>
        <v>1.089</v>
      </c>
      <c r="AG130" s="271">
        <f t="shared" si="66"/>
        <v>1.088</v>
      </c>
      <c r="AH130" s="271">
        <f t="shared" si="66"/>
        <v>1.05</v>
      </c>
      <c r="AI130" s="271">
        <f t="shared" si="66"/>
        <v>0.926</v>
      </c>
      <c r="AJ130" s="226">
        <f t="shared" si="66"/>
        <v>1.05</v>
      </c>
      <c r="AK130" s="271">
        <f t="shared" si="66"/>
        <v>1.043</v>
      </c>
      <c r="AL130" s="271">
        <f t="shared" ref="AL130:AR130" si="67">AL129</f>
        <v>1.0390000000000001</v>
      </c>
      <c r="AM130" s="271">
        <f t="shared" si="67"/>
        <v>1.021</v>
      </c>
      <c r="AN130" s="271">
        <f t="shared" si="67"/>
        <v>1.008</v>
      </c>
      <c r="AO130" s="363">
        <f t="shared" si="67"/>
        <v>0.987</v>
      </c>
      <c r="AP130" s="271">
        <f t="shared" si="67"/>
        <v>1.012</v>
      </c>
      <c r="AQ130" s="271">
        <f t="shared" si="67"/>
        <v>1.025</v>
      </c>
      <c r="AR130" s="271">
        <f t="shared" si="67"/>
        <v>1.025</v>
      </c>
      <c r="AT130" s="226"/>
      <c r="BJ130" s="271"/>
      <c r="BK130" s="271"/>
      <c r="BN130" s="271"/>
      <c r="BO130" s="281" t="str">
        <f t="shared" si="65"/>
        <v>pХ</v>
      </c>
      <c r="BP130" s="123" t="s">
        <v>437</v>
      </c>
      <c r="CQ130" s="62">
        <v>2033</v>
      </c>
      <c r="CV130" s="57">
        <f t="shared" si="49"/>
        <v>110.4896880876928</v>
      </c>
      <c r="CW130" s="75">
        <f>НАСТРОЙКА!DR174</f>
        <v>44.892977026761486</v>
      </c>
      <c r="DI130" s="316">
        <f t="shared" si="54"/>
        <v>110.4896880876928</v>
      </c>
      <c r="DL130" s="62">
        <v>2033</v>
      </c>
      <c r="DM130" s="77"/>
      <c r="DN130" s="63">
        <v>2.367258327015262</v>
      </c>
      <c r="ED130" s="383">
        <v>2030</v>
      </c>
      <c r="EE130" s="384"/>
      <c r="EF130" s="385"/>
      <c r="EU130" s="62">
        <v>2032</v>
      </c>
      <c r="EV130" s="371">
        <f t="shared" si="55"/>
        <v>53.40325004022176</v>
      </c>
      <c r="EW130" s="326">
        <f t="shared" si="32"/>
        <v>104.97041722637408</v>
      </c>
      <c r="EX130" s="57">
        <f t="shared" si="33"/>
        <v>49.79083656729671</v>
      </c>
      <c r="EY130" s="371">
        <f t="shared" si="58"/>
        <v>30.357626510696168</v>
      </c>
      <c r="EZ130" s="57">
        <f t="shared" si="35"/>
        <v>73.93279600384489</v>
      </c>
      <c r="FA130" s="57">
        <f t="shared" si="56"/>
        <v>63.89241413471506</v>
      </c>
      <c r="FB130" s="57">
        <f t="shared" si="37"/>
        <v>88.16999999999997</v>
      </c>
      <c r="FC130" s="57"/>
      <c r="FD130" s="57">
        <f t="shared" si="38"/>
        <v>0</v>
      </c>
      <c r="FE130" s="75">
        <f t="shared" si="28"/>
        <v>42.755216215963316</v>
      </c>
    </row>
    <row r="131" ht="18" customHeight="1" spans="9:161" x14ac:dyDescent="0.25">
      <c r="I131" s="31" t="s">
        <v>501</v>
      </c>
      <c r="J131" s="217" t="s">
        <v>502</v>
      </c>
      <c r="K131" s="121" t="s">
        <v>503</v>
      </c>
      <c r="L131" s="121"/>
      <c r="M131" s="121"/>
      <c r="N131" s="121"/>
      <c r="O131" s="218" t="s">
        <v>299</v>
      </c>
      <c r="P131" s="275"/>
      <c r="R131" s="31">
        <v>0.631</v>
      </c>
      <c r="S131" s="31">
        <v>0.706</v>
      </c>
      <c r="T131" s="31">
        <v>0.688</v>
      </c>
      <c r="U131" s="277">
        <v>0.892</v>
      </c>
      <c r="V131" s="276">
        <v>0.86</v>
      </c>
      <c r="W131" s="276">
        <v>0.959</v>
      </c>
      <c r="X131" s="276">
        <v>0.548</v>
      </c>
      <c r="Y131" s="276">
        <v>0.934</v>
      </c>
      <c r="Z131" s="277">
        <v>1.752</v>
      </c>
      <c r="AA131" s="276">
        <v>1.167</v>
      </c>
      <c r="AB131" s="276">
        <v>0.978</v>
      </c>
      <c r="AC131" s="276">
        <v>1.143</v>
      </c>
      <c r="AD131" s="270">
        <v>1.122</v>
      </c>
      <c r="AE131" s="320">
        <f>122.9/112.2</f>
        <v>1.0953654188948307</v>
      </c>
      <c r="AF131" s="270">
        <v>1.177</v>
      </c>
      <c r="AG131" s="271">
        <v>1.22</v>
      </c>
      <c r="AH131" s="271">
        <v>1.105</v>
      </c>
      <c r="AI131" s="271">
        <v>0.59</v>
      </c>
      <c r="AJ131" s="226">
        <v>1.285</v>
      </c>
      <c r="AK131" s="254">
        <v>1.21</v>
      </c>
      <c r="AL131" s="123">
        <v>1.044</v>
      </c>
      <c r="AM131" s="123">
        <v>0.9440000000000001</v>
      </c>
      <c r="AN131" s="123">
        <v>0.9390000000000001</v>
      </c>
      <c r="AO131" s="363">
        <v>0.882</v>
      </c>
      <c r="AP131" s="123">
        <v>0.988</v>
      </c>
      <c r="AQ131" s="123">
        <v>1.06</v>
      </c>
      <c r="AR131" s="123">
        <v>1.008</v>
      </c>
      <c r="AS131" s="123"/>
      <c r="AT131" s="226"/>
      <c r="BO131" s="281" t="str">
        <f t="shared" si="65"/>
        <v>pWN</v>
      </c>
      <c r="BP131" s="31" t="s">
        <v>504</v>
      </c>
      <c r="CQ131" s="62">
        <v>2034</v>
      </c>
      <c r="CV131" s="57">
        <f t="shared" si="49"/>
        <v>116.28492249207744</v>
      </c>
      <c r="CW131" s="75">
        <f>НАСТРОЙКА!DR175</f>
        <v>47.13762587809956</v>
      </c>
      <c r="DI131" s="316">
        <f t="shared" si="54"/>
        <v>116.28492249207744</v>
      </c>
      <c r="DL131" s="62">
        <v>2034</v>
      </c>
      <c r="DM131" s="77"/>
      <c r="DN131" s="63">
        <v>2.470070719579961</v>
      </c>
      <c r="EU131" s="62">
        <v>2033</v>
      </c>
      <c r="EV131" s="371">
        <f t="shared" si="55"/>
        <v>56.09789754223285</v>
      </c>
      <c r="EW131" s="326">
        <f t="shared" si="32"/>
        <v>110.4896880876928</v>
      </c>
      <c r="EX131" s="57">
        <f t="shared" si="33"/>
        <v>52.08037839566155</v>
      </c>
      <c r="EY131" s="371">
        <f t="shared" si="58"/>
        <v>31.523103486230976</v>
      </c>
      <c r="EZ131" s="57">
        <f t="shared" si="35"/>
        <v>79.98309697823396</v>
      </c>
      <c r="FA131" s="57">
        <f t="shared" si="56"/>
        <v>67.44323484145083</v>
      </c>
      <c r="FB131" s="57">
        <f t="shared" si="37"/>
        <v>89.46999999999997</v>
      </c>
      <c r="FC131" s="57"/>
      <c r="FD131" s="57">
        <f t="shared" si="38"/>
        <v>0</v>
      </c>
      <c r="FE131" s="75">
        <f t="shared" si="28"/>
        <v>44.892977026761486</v>
      </c>
    </row>
    <row r="132" ht="18" customHeight="1" spans="9:161" x14ac:dyDescent="0.25">
      <c r="I132" s="31" t="s">
        <v>501</v>
      </c>
      <c r="J132" s="217" t="s">
        <v>505</v>
      </c>
      <c r="K132" s="121" t="s">
        <v>506</v>
      </c>
      <c r="L132" s="121"/>
      <c r="M132" s="121"/>
      <c r="N132" s="121"/>
      <c r="O132" s="218" t="s">
        <v>299</v>
      </c>
      <c r="P132" s="275"/>
      <c r="U132" s="277">
        <v>0.81</v>
      </c>
      <c r="V132" s="276">
        <v>0.788</v>
      </c>
      <c r="W132" s="276">
        <v>0.921</v>
      </c>
      <c r="X132" s="276">
        <v>0.876</v>
      </c>
      <c r="Y132" s="276">
        <v>1.064</v>
      </c>
      <c r="Z132" s="277">
        <v>1.181</v>
      </c>
      <c r="AA132" s="276">
        <v>1.102</v>
      </c>
      <c r="AB132" s="270">
        <v>1.028</v>
      </c>
      <c r="AC132" s="276">
        <v>1.139</v>
      </c>
      <c r="AD132" s="270">
        <v>1.126</v>
      </c>
      <c r="AE132" s="320">
        <f>124.5/112.6</f>
        <v>1.1056838365896982</v>
      </c>
      <c r="AF132" s="270">
        <v>1.18</v>
      </c>
      <c r="AG132" s="271">
        <v>1.21</v>
      </c>
      <c r="AH132" s="271">
        <v>1.106</v>
      </c>
      <c r="AI132" s="254">
        <v>0.856</v>
      </c>
      <c r="AJ132" s="226">
        <v>1.0590000000000002</v>
      </c>
      <c r="AK132" s="254">
        <v>1.091</v>
      </c>
      <c r="AL132" s="123">
        <v>1.05</v>
      </c>
      <c r="AM132" s="123">
        <v>1.013</v>
      </c>
      <c r="AN132" s="123">
        <v>0.982</v>
      </c>
      <c r="AO132" s="363">
        <v>0.893</v>
      </c>
      <c r="AP132" s="123">
        <v>1.01</v>
      </c>
      <c r="AQ132" s="123">
        <v>1.052</v>
      </c>
      <c r="AR132" s="123">
        <v>1.029</v>
      </c>
      <c r="AS132" s="123"/>
      <c r="AT132" s="226"/>
      <c r="BO132" s="281" t="str">
        <f t="shared" si="65"/>
        <v>pWNOK</v>
      </c>
      <c r="BP132" s="31" t="s">
        <v>504</v>
      </c>
      <c r="CQ132" s="34">
        <v>2035</v>
      </c>
      <c r="CR132" s="179"/>
      <c r="CS132" s="179"/>
      <c r="CT132" s="179"/>
      <c r="CU132" s="179"/>
      <c r="CV132" s="57">
        <f t="shared" si="49"/>
        <v>122.36991861668132</v>
      </c>
      <c r="CW132" s="36">
        <f>НАСТРОЙКА!DR176</f>
        <v>49.494507172004546</v>
      </c>
      <c r="DI132" s="386">
        <f t="shared" si="54"/>
        <v>122.36991861668132</v>
      </c>
      <c r="DL132" s="34">
        <v>2035</v>
      </c>
      <c r="DM132" s="86"/>
      <c r="DN132" s="87">
        <v>2.578054746661583</v>
      </c>
      <c r="EU132" s="62">
        <v>2034</v>
      </c>
      <c r="EV132" s="371">
        <f t="shared" si="55"/>
        <v>58.9272774193445</v>
      </c>
      <c r="EW132" s="326">
        <f t="shared" si="32"/>
        <v>116.28492249207744</v>
      </c>
      <c r="EX132" s="57">
        <f t="shared" si="33"/>
        <v>54.48439731544463</v>
      </c>
      <c r="EY132" s="371">
        <f t="shared" si="58"/>
        <v>32.73703281054254</v>
      </c>
      <c r="EZ132" s="57">
        <f t="shared" si="35"/>
        <v>86.58183727169767</v>
      </c>
      <c r="FA132" s="57">
        <f t="shared" si="56"/>
        <v>71.17159658352338</v>
      </c>
      <c r="FB132" s="57">
        <f t="shared" si="37"/>
        <v>90.76999999999997</v>
      </c>
      <c r="FC132" s="57"/>
      <c r="FD132" s="57">
        <f t="shared" si="38"/>
        <v>0</v>
      </c>
      <c r="FE132" s="75">
        <f t="shared" si="28"/>
        <v>47.13762587809956</v>
      </c>
    </row>
    <row r="133" ht="18.5" customHeight="1" spans="10:161" x14ac:dyDescent="0.25">
      <c r="J133" s="217" t="s">
        <v>507</v>
      </c>
      <c r="K133" s="121" t="s">
        <v>508</v>
      </c>
      <c r="L133" s="121"/>
      <c r="M133" s="121"/>
      <c r="N133" s="121"/>
      <c r="O133" s="218" t="s">
        <v>299</v>
      </c>
      <c r="P133" s="275"/>
      <c r="U133" s="277">
        <v>1</v>
      </c>
      <c r="V133" s="354">
        <f>U133*V132</f>
        <v>0.788</v>
      </c>
      <c r="W133" s="354">
        <f t="shared" ref="W133:AK133" si="68">V133*W132</f>
        <v>0.7257480000000001</v>
      </c>
      <c r="X133" s="354">
        <f t="shared" si="68"/>
        <v>0.635755248</v>
      </c>
      <c r="Y133" s="354">
        <f t="shared" si="68"/>
        <v>0.6764435838720001</v>
      </c>
      <c r="Z133" s="354">
        <f t="shared" si="68"/>
        <v>0.7988798725528321</v>
      </c>
      <c r="AA133" s="354">
        <f t="shared" si="68"/>
        <v>0.880365619553221</v>
      </c>
      <c r="AB133" s="354">
        <f t="shared" si="68"/>
        <v>0.9050158569007112</v>
      </c>
      <c r="AC133" s="354">
        <f t="shared" si="68"/>
        <v>1.03081306100991</v>
      </c>
      <c r="AD133" s="354">
        <f t="shared" si="68"/>
        <v>1.1606955066971585</v>
      </c>
      <c r="AE133" s="354">
        <f t="shared" si="68"/>
        <v>1.2833622609573379</v>
      </c>
      <c r="AF133" s="354">
        <f t="shared" si="68"/>
        <v>1.5143674679296586</v>
      </c>
      <c r="AG133" s="313">
        <f t="shared" si="68"/>
        <v>1.8323846361948868</v>
      </c>
      <c r="AH133" s="313">
        <f t="shared" si="68"/>
        <v>2.026617407631545</v>
      </c>
      <c r="AI133" s="354">
        <f t="shared" si="68"/>
        <v>1.7347845009326024</v>
      </c>
      <c r="AJ133" s="372">
        <f t="shared" si="68"/>
        <v>1.8371367864876262</v>
      </c>
      <c r="AK133" s="354">
        <f t="shared" si="68"/>
        <v>2.0043162340580003</v>
      </c>
      <c r="AL133" s="354">
        <f t="shared" ref="AL133:AR133" si="69">AK133*AL132</f>
        <v>2.1045320457609002</v>
      </c>
      <c r="AM133" s="354">
        <f t="shared" si="69"/>
        <v>2.131890962355792</v>
      </c>
      <c r="AN133" s="354">
        <f t="shared" si="69"/>
        <v>2.0935169250333874</v>
      </c>
      <c r="AO133" s="363">
        <f t="shared" si="69"/>
        <v>1.869510614054815</v>
      </c>
      <c r="AP133" s="265">
        <f t="shared" si="69"/>
        <v>1.8882057201953633</v>
      </c>
      <c r="AQ133" s="265">
        <f t="shared" si="69"/>
        <v>1.9863924176455223</v>
      </c>
      <c r="AR133" s="265">
        <f t="shared" si="69"/>
        <v>2.043997797757242</v>
      </c>
      <c r="AT133" s="226"/>
      <c r="BO133" s="281" t="str">
        <f t="shared" si="65"/>
        <v>PОk</v>
      </c>
      <c r="EU133" s="34">
        <v>2035</v>
      </c>
      <c r="EV133" s="387">
        <f t="shared" si="55"/>
        <v>61.89812629031173</v>
      </c>
      <c r="EW133" s="388">
        <f t="shared" si="32"/>
        <v>122.36991861668132</v>
      </c>
      <c r="EX133" s="57">
        <f t="shared" si="33"/>
        <v>57.00861718121687</v>
      </c>
      <c r="EY133" s="389">
        <f t="shared" si="58"/>
        <v>34.00183710106966</v>
      </c>
      <c r="EZ133" s="94">
        <f t="shared" si="35"/>
        <v>93.78164608790115</v>
      </c>
      <c r="FA133" s="94">
        <f t="shared" si="56"/>
        <v>75.08637641269955</v>
      </c>
      <c r="FB133" s="94">
        <f t="shared" si="37"/>
        <v>92.06999999999996</v>
      </c>
      <c r="FC133" s="94"/>
      <c r="FD133" s="94">
        <f t="shared" si="38"/>
        <v>0</v>
      </c>
      <c r="FE133" s="36">
        <f t="shared" si="28"/>
        <v>49.494507172004546</v>
      </c>
    </row>
    <row r="134" ht="17.5" customHeight="1" spans="10:154" x14ac:dyDescent="0.25">
      <c r="J134" s="217" t="s">
        <v>509</v>
      </c>
      <c r="K134" s="121" t="s">
        <v>510</v>
      </c>
      <c r="L134" s="121"/>
      <c r="M134" s="121"/>
      <c r="N134" s="121"/>
      <c r="O134" s="218" t="s">
        <v>299</v>
      </c>
      <c r="P134" s="275"/>
      <c r="R134" s="31">
        <v>0.948</v>
      </c>
      <c r="S134" s="31">
        <v>0.99</v>
      </c>
      <c r="T134" s="31">
        <v>0.969</v>
      </c>
      <c r="U134" s="277">
        <v>0.973</v>
      </c>
      <c r="V134" s="276">
        <v>0.974</v>
      </c>
      <c r="W134" s="276">
        <v>1.028</v>
      </c>
      <c r="X134" s="276">
        <v>0.979</v>
      </c>
      <c r="Y134" s="276">
        <v>0.988</v>
      </c>
      <c r="Z134" s="277">
        <v>1.056</v>
      </c>
      <c r="AA134" s="276">
        <v>1.068</v>
      </c>
      <c r="AB134" s="276">
        <v>1.073</v>
      </c>
      <c r="AC134" s="270">
        <v>1.061</v>
      </c>
      <c r="AD134" s="270">
        <v>1.094</v>
      </c>
      <c r="AE134" s="320">
        <v>1.091</v>
      </c>
      <c r="AF134" s="270">
        <v>1.095</v>
      </c>
      <c r="AG134" s="271">
        <v>1.112</v>
      </c>
      <c r="AH134" s="271">
        <v>1.086</v>
      </c>
      <c r="AI134" s="271">
        <v>0.961</v>
      </c>
      <c r="AJ134" s="226">
        <v>1.035</v>
      </c>
      <c r="AK134" s="254">
        <v>1.053</v>
      </c>
      <c r="AL134" s="123">
        <v>1.065</v>
      </c>
      <c r="AM134" s="123">
        <v>1.041</v>
      </c>
      <c r="AN134" s="123">
        <v>1.0090000000000001</v>
      </c>
      <c r="AO134" s="363">
        <v>0.921</v>
      </c>
      <c r="AP134" s="123">
        <v>0.99</v>
      </c>
      <c r="AQ134" s="123">
        <v>1.031</v>
      </c>
      <c r="AR134" s="123">
        <v>1.018</v>
      </c>
      <c r="AS134" s="123"/>
      <c r="AT134" s="226"/>
      <c r="BO134" s="281" t="str">
        <f t="shared" si="65"/>
        <v>pY</v>
      </c>
      <c r="BP134" s="31" t="s">
        <v>504</v>
      </c>
      <c r="CQ134" s="390" t="s">
        <v>13</v>
      </c>
      <c r="CR134" s="391" t="s">
        <v>511</v>
      </c>
      <c r="CS134" s="392" t="s">
        <v>512</v>
      </c>
      <c r="CT134" s="391" t="s">
        <v>513</v>
      </c>
      <c r="CU134" s="391" t="s">
        <v>389</v>
      </c>
      <c r="CV134" s="393" t="s">
        <v>514</v>
      </c>
      <c r="CW134" s="393" t="s">
        <v>515</v>
      </c>
      <c r="CX134" s="394" t="s">
        <v>41</v>
      </c>
      <c r="DL134" s="302" t="s">
        <v>389</v>
      </c>
      <c r="EF134" s="28" t="s">
        <v>13</v>
      </c>
      <c r="EG134" s="32" t="s">
        <v>51</v>
      </c>
      <c r="EH134" s="30" t="s">
        <v>386</v>
      </c>
      <c r="EX134" s="30" t="s">
        <v>386</v>
      </c>
    </row>
    <row r="135" ht="16.25" customHeight="1" spans="9:154" x14ac:dyDescent="0.25">
      <c r="I135" s="31" t="s">
        <v>501</v>
      </c>
      <c r="J135" s="217" t="s">
        <v>516</v>
      </c>
      <c r="K135" s="121" t="s">
        <v>517</v>
      </c>
      <c r="L135" s="121"/>
      <c r="M135" s="121"/>
      <c r="N135" s="121"/>
      <c r="O135" s="218" t="s">
        <v>299</v>
      </c>
      <c r="P135" s="275"/>
      <c r="R135" s="31">
        <v>0.97</v>
      </c>
      <c r="S135" s="31">
        <v>1.012</v>
      </c>
      <c r="T135" s="31">
        <v>1.012</v>
      </c>
      <c r="U135" s="277">
        <v>0.972</v>
      </c>
      <c r="V135" s="276">
        <v>0.951</v>
      </c>
      <c r="W135" s="276">
        <v>1.05</v>
      </c>
      <c r="X135" s="276">
        <v>0.966</v>
      </c>
      <c r="Y135" s="276">
        <v>0.976</v>
      </c>
      <c r="Z135" s="277">
        <v>1.059</v>
      </c>
      <c r="AA135" s="276">
        <v>1.082</v>
      </c>
      <c r="AB135" s="276">
        <v>1.077</v>
      </c>
      <c r="AC135" s="276">
        <v>1.077</v>
      </c>
      <c r="AD135" s="276">
        <v>1.125</v>
      </c>
      <c r="AE135" s="277">
        <v>1.122</v>
      </c>
      <c r="AF135" s="276">
        <v>1.122</v>
      </c>
      <c r="AG135" s="254">
        <v>1.143</v>
      </c>
      <c r="AH135" s="254">
        <v>1.106</v>
      </c>
      <c r="AI135" s="254">
        <v>0.949</v>
      </c>
      <c r="AJ135" s="226">
        <v>1.055</v>
      </c>
      <c r="AK135" s="254">
        <v>1.068</v>
      </c>
      <c r="AL135" s="123">
        <v>1.079</v>
      </c>
      <c r="AM135" s="123">
        <v>1.052</v>
      </c>
      <c r="AN135" s="123">
        <v>1.02</v>
      </c>
      <c r="AO135" s="363">
        <v>0.906</v>
      </c>
      <c r="AP135" s="123">
        <v>0.981</v>
      </c>
      <c r="AQ135" s="123">
        <v>1.033</v>
      </c>
      <c r="AR135" s="123">
        <v>1.023</v>
      </c>
      <c r="AS135" s="123"/>
      <c r="AT135" s="226"/>
      <c r="BO135" s="281" t="str">
        <f t="shared" si="65"/>
        <v>pYD</v>
      </c>
      <c r="BP135" s="31" t="s">
        <v>504</v>
      </c>
      <c r="CQ135" s="395">
        <v>43925</v>
      </c>
      <c r="CR135" s="130" t="s">
        <v>55</v>
      </c>
      <c r="CS135" s="130" t="s">
        <v>55</v>
      </c>
      <c r="CT135" s="130" t="s">
        <v>56</v>
      </c>
      <c r="CU135" s="130" t="s">
        <v>55</v>
      </c>
      <c r="CV135" s="130" t="s">
        <v>55</v>
      </c>
      <c r="CW135" s="130" t="s">
        <v>55</v>
      </c>
      <c r="CX135" s="396" t="s">
        <v>55</v>
      </c>
      <c r="DL135" s="307" t="s">
        <v>386</v>
      </c>
      <c r="EF135" s="38">
        <v>44340</v>
      </c>
      <c r="EG135" s="40" t="s">
        <v>127</v>
      </c>
      <c r="EH135" s="40" t="s">
        <v>55</v>
      </c>
      <c r="EX135" s="40" t="s">
        <v>55</v>
      </c>
    </row>
    <row r="136" ht="17.5" customHeight="1" spans="9:176" x14ac:dyDescent="0.25">
      <c r="I136" s="31" t="s">
        <v>501</v>
      </c>
      <c r="J136" s="217" t="s">
        <v>518</v>
      </c>
      <c r="K136" s="121" t="s">
        <v>519</v>
      </c>
      <c r="L136" s="121"/>
      <c r="M136" s="121"/>
      <c r="N136" s="121"/>
      <c r="O136" s="218" t="s">
        <v>299</v>
      </c>
      <c r="P136" s="275"/>
      <c r="R136" s="31">
        <v>0.882</v>
      </c>
      <c r="S136" s="31">
        <v>0.936</v>
      </c>
      <c r="T136" s="31">
        <v>0.971</v>
      </c>
      <c r="U136" s="277">
        <v>1.011</v>
      </c>
      <c r="V136" s="276">
        <v>1.031</v>
      </c>
      <c r="W136" s="276">
        <v>0.976</v>
      </c>
      <c r="X136" s="276">
        <v>1.01</v>
      </c>
      <c r="Y136" s="276">
        <v>1.031</v>
      </c>
      <c r="Z136" s="277">
        <v>1.02</v>
      </c>
      <c r="AA136" s="276">
        <v>0.992</v>
      </c>
      <c r="AB136" s="276">
        <v>1.026</v>
      </c>
      <c r="AC136" s="276">
        <v>1.024</v>
      </c>
      <c r="AD136" s="270">
        <v>1.021</v>
      </c>
      <c r="AE136" s="277">
        <v>1.014</v>
      </c>
      <c r="AF136" s="276">
        <v>1.023</v>
      </c>
      <c r="AG136" s="254">
        <v>1.027</v>
      </c>
      <c r="AH136" s="254">
        <v>1.034</v>
      </c>
      <c r="AI136" s="271">
        <v>0.994</v>
      </c>
      <c r="AJ136" s="226">
        <v>0.985</v>
      </c>
      <c r="AK136" s="254">
        <v>1.014</v>
      </c>
      <c r="AL136" s="123">
        <v>1.026</v>
      </c>
      <c r="AM136" s="123">
        <v>1.0090000000000001</v>
      </c>
      <c r="AN136" s="123">
        <v>0.9790000000000001</v>
      </c>
      <c r="AO136" s="363">
        <v>0.964</v>
      </c>
      <c r="AP136" s="123">
        <v>1.015</v>
      </c>
      <c r="AQ136" s="123">
        <v>1.025</v>
      </c>
      <c r="AR136" s="123">
        <v>1.003</v>
      </c>
      <c r="AS136" s="123"/>
      <c r="AT136" s="226"/>
      <c r="BO136" s="281" t="str">
        <f t="shared" si="65"/>
        <v>pYG</v>
      </c>
      <c r="BP136" s="31" t="s">
        <v>504</v>
      </c>
      <c r="CQ136" s="43">
        <v>1995</v>
      </c>
      <c r="CR136" s="322">
        <f>CT136</f>
        <v>24.2993</v>
      </c>
      <c r="CS136" s="315">
        <f t="array" ref="CS136:CS159">TRANSPOSE(U161:AR161)</f>
        <v>1</v>
      </c>
      <c r="CT136" s="140">
        <f t="array" ref="CT136:CT159">TRANSPOSE(U71:AR71)</f>
        <v>24.2993</v>
      </c>
      <c r="CU136" s="315">
        <v>1</v>
      </c>
      <c r="CV136" s="315"/>
      <c r="CW136" s="315"/>
      <c r="CX136" s="56">
        <v>1</v>
      </c>
      <c r="DL136" s="316">
        <f t="shared" ref="DL136:DL159" si="70">CU136</f>
        <v>1</v>
      </c>
      <c r="DN136" s="28" t="s">
        <v>13</v>
      </c>
      <c r="DO136" s="32" t="s">
        <v>513</v>
      </c>
      <c r="DP136" s="32" t="s">
        <v>279</v>
      </c>
      <c r="DQ136" s="32" t="s">
        <v>513</v>
      </c>
      <c r="EF136" s="43">
        <v>1995</v>
      </c>
      <c r="EG136" s="139">
        <f t="array" ref="EG136:EG159">TRANSPOSE(U161:AR161)</f>
        <v>1</v>
      </c>
      <c r="EH136" s="47"/>
      <c r="EX136" s="47">
        <f>1</f>
        <v>1</v>
      </c>
      <c r="EZ136" s="397" t="s">
        <v>520</v>
      </c>
      <c r="FA136" s="104" t="s">
        <v>521</v>
      </c>
      <c r="FB136" s="105" t="s">
        <v>522</v>
      </c>
      <c r="FC136" s="105" t="s">
        <v>523</v>
      </c>
      <c r="FS136" s="398" t="s">
        <v>520</v>
      </c>
      <c r="FT136" s="399" t="s">
        <v>395</v>
      </c>
    </row>
    <row r="137" ht="18" customHeight="1" spans="9:176" x14ac:dyDescent="0.25">
      <c r="I137" s="31" t="s">
        <v>501</v>
      </c>
      <c r="J137" s="217" t="s">
        <v>524</v>
      </c>
      <c r="K137" s="121" t="s">
        <v>525</v>
      </c>
      <c r="L137" s="121"/>
      <c r="M137" s="121"/>
      <c r="N137" s="121"/>
      <c r="O137" s="218" t="s">
        <v>299</v>
      </c>
      <c r="P137" s="275"/>
      <c r="R137" s="31">
        <v>0.99</v>
      </c>
      <c r="S137" s="31">
        <v>1.002</v>
      </c>
      <c r="T137" s="31">
        <v>0.641</v>
      </c>
      <c r="U137" s="277">
        <v>0.695</v>
      </c>
      <c r="V137" s="276">
        <v>1.006</v>
      </c>
      <c r="W137" s="276">
        <v>0.992</v>
      </c>
      <c r="X137" s="276">
        <v>1.005</v>
      </c>
      <c r="Y137" s="276">
        <v>0.986</v>
      </c>
      <c r="Z137" s="277">
        <v>1.016</v>
      </c>
      <c r="AA137" s="276">
        <v>1.019</v>
      </c>
      <c r="AB137" s="276">
        <v>1.008</v>
      </c>
      <c r="AC137" s="270">
        <v>1.001</v>
      </c>
      <c r="AD137" s="270">
        <v>0.889</v>
      </c>
      <c r="AE137" s="277">
        <v>0.817</v>
      </c>
      <c r="AF137" s="276">
        <v>0.983</v>
      </c>
      <c r="AG137" s="254">
        <v>1.027</v>
      </c>
      <c r="AH137" s="254">
        <v>0.986</v>
      </c>
      <c r="AI137" s="271">
        <v>0.92</v>
      </c>
      <c r="AJ137" s="226">
        <v>0.995</v>
      </c>
      <c r="AK137" s="254">
        <v>0.951</v>
      </c>
      <c r="AL137" s="123">
        <v>0.99</v>
      </c>
      <c r="AM137" s="123">
        <v>0.988</v>
      </c>
      <c r="AN137" s="123">
        <v>1</v>
      </c>
      <c r="AO137" s="363">
        <v>0.971</v>
      </c>
      <c r="AP137" s="123">
        <v>1.01</v>
      </c>
      <c r="AQ137" s="123">
        <v>1.005</v>
      </c>
      <c r="AR137" s="123">
        <v>1.045</v>
      </c>
      <c r="AS137" s="123"/>
      <c r="AT137" s="226"/>
      <c r="BO137" s="281" t="str">
        <f t="shared" si="65"/>
        <v>pYNK</v>
      </c>
      <c r="BP137" s="31" t="s">
        <v>504</v>
      </c>
      <c r="CQ137" s="62">
        <v>1996</v>
      </c>
      <c r="CR137" s="326">
        <f t="shared" ref="CR137:CR159" si="71">CR$136*CS137</f>
        <v>24.445095799999997</v>
      </c>
      <c r="CS137" s="272">
        <v>1.006</v>
      </c>
      <c r="CT137" s="55">
        <v>36.6615</v>
      </c>
      <c r="CU137" s="57">
        <f>CT137/CR137</f>
        <v>1.4997486735151189</v>
      </c>
      <c r="CV137" s="57"/>
      <c r="CW137" s="57"/>
      <c r="CX137" s="75">
        <f>НАСТРОЙКА!DR137</f>
        <v>1.218</v>
      </c>
      <c r="DL137" s="316">
        <f t="shared" si="70"/>
        <v>1.4997486735151189</v>
      </c>
      <c r="DN137" s="41">
        <v>43926</v>
      </c>
      <c r="DO137" s="40" t="s">
        <v>56</v>
      </c>
      <c r="DP137" s="40" t="s">
        <v>56</v>
      </c>
      <c r="DQ137" s="40" t="s">
        <v>117</v>
      </c>
      <c r="EF137" s="62">
        <v>1996</v>
      </c>
      <c r="EG137" s="143">
        <v>1.006</v>
      </c>
      <c r="EH137" s="63"/>
      <c r="EX137" s="63">
        <f>EG137</f>
        <v>1.006</v>
      </c>
      <c r="EZ137" s="400">
        <v>44340</v>
      </c>
      <c r="FA137" s="401" t="s">
        <v>399</v>
      </c>
      <c r="FB137" s="173" t="s">
        <v>399</v>
      </c>
      <c r="FC137" s="186" t="s">
        <v>399</v>
      </c>
      <c r="FS137" s="400">
        <v>42014</v>
      </c>
      <c r="FT137" s="402" t="s">
        <v>399</v>
      </c>
    </row>
    <row r="138" ht="18" customHeight="1" spans="10:176" x14ac:dyDescent="0.25">
      <c r="J138" s="217"/>
      <c r="K138" s="121"/>
      <c r="L138" s="121"/>
      <c r="M138" s="121"/>
      <c r="N138" s="121"/>
      <c r="O138" s="218"/>
      <c r="P138" s="275"/>
      <c r="U138" s="403"/>
      <c r="V138" s="276"/>
      <c r="W138" s="276"/>
      <c r="X138" s="276"/>
      <c r="Y138" s="276"/>
      <c r="Z138" s="277"/>
      <c r="AA138" s="276"/>
      <c r="AB138" s="276"/>
      <c r="AC138" s="270"/>
      <c r="AD138" s="270"/>
      <c r="AE138" s="277"/>
      <c r="AF138" s="276"/>
      <c r="AG138" s="254"/>
      <c r="AH138" s="254"/>
      <c r="AI138" s="254"/>
      <c r="AJ138" s="226"/>
      <c r="AK138" s="254"/>
      <c r="AL138" s="254"/>
      <c r="AO138" s="363"/>
      <c r="AT138" s="226"/>
      <c r="BO138" s="281">
        <f t="shared" si="65"/>
        <v>0</v>
      </c>
      <c r="CQ138" s="62">
        <v>1997</v>
      </c>
      <c r="CR138" s="326">
        <f t="shared" si="71"/>
        <v>24.249535033599997</v>
      </c>
      <c r="CS138" s="46">
        <v>0.997952</v>
      </c>
      <c r="CT138" s="55">
        <v>47.3504</v>
      </c>
      <c r="CU138" s="57">
        <f t="shared" ref="CU138:CU159" si="72">CT138/CR138</f>
        <v>1.9526312539350381</v>
      </c>
      <c r="CV138" s="57"/>
      <c r="CW138" s="57"/>
      <c r="CX138" s="75">
        <f>НАСТРОЙКА!DR138</f>
        <v>1.3519800000000002</v>
      </c>
      <c r="DL138" s="316">
        <f t="shared" si="70"/>
        <v>1.9526312539350381</v>
      </c>
      <c r="DN138" s="43">
        <v>1995</v>
      </c>
      <c r="DO138" s="404">
        <f>CT136</f>
        <v>24.2993</v>
      </c>
      <c r="DP138" s="140">
        <f>DK52</f>
        <v>1428.5209</v>
      </c>
      <c r="DQ138" s="405"/>
      <c r="EF138" s="62">
        <v>1997</v>
      </c>
      <c r="EG138" s="143">
        <v>0.997952</v>
      </c>
      <c r="EH138" s="63"/>
      <c r="EX138" s="63">
        <f t="shared" ref="EX138:EX157" si="73">EG138</f>
        <v>0.997952</v>
      </c>
      <c r="EZ138" s="406">
        <v>1995</v>
      </c>
      <c r="FA138" s="123">
        <v>17.1</v>
      </c>
      <c r="FB138" s="123"/>
      <c r="FC138" s="407"/>
      <c r="FS138" s="408">
        <v>1995</v>
      </c>
      <c r="FT138" s="409">
        <f>FA138</f>
        <v>17.1</v>
      </c>
    </row>
    <row r="139" ht="18" customHeight="1" spans="9:176" x14ac:dyDescent="0.25">
      <c r="I139" s="31" t="s">
        <v>501</v>
      </c>
      <c r="J139" s="217" t="s">
        <v>526</v>
      </c>
      <c r="K139" s="121" t="s">
        <v>527</v>
      </c>
      <c r="L139" s="121"/>
      <c r="M139" s="121"/>
      <c r="N139" s="121"/>
      <c r="O139" s="218" t="s">
        <v>299</v>
      </c>
      <c r="P139" s="275"/>
      <c r="U139" s="277">
        <v>1.05</v>
      </c>
      <c r="V139" s="231">
        <v>1.037</v>
      </c>
      <c r="W139" s="231">
        <v>0.995</v>
      </c>
      <c r="X139" s="231">
        <v>1.019</v>
      </c>
      <c r="Y139" s="231">
        <v>1.112</v>
      </c>
      <c r="Z139" s="223">
        <v>1.095</v>
      </c>
      <c r="AA139" s="231">
        <v>1.042</v>
      </c>
      <c r="AB139" s="231">
        <v>1.103</v>
      </c>
      <c r="AC139" s="231">
        <v>1.126</v>
      </c>
      <c r="AD139" s="231">
        <v>1.118</v>
      </c>
      <c r="AE139" s="223">
        <v>1.065</v>
      </c>
      <c r="AF139" s="231">
        <v>1.073</v>
      </c>
      <c r="AG139" s="187">
        <v>1.063</v>
      </c>
      <c r="AH139" s="254">
        <v>1.006</v>
      </c>
      <c r="AI139" s="254">
        <v>0.953</v>
      </c>
      <c r="AJ139" s="226">
        <v>1.07</v>
      </c>
      <c r="AK139" s="187">
        <v>1.003</v>
      </c>
      <c r="AL139" s="123">
        <v>1.014</v>
      </c>
      <c r="AM139" s="123">
        <v>1.046</v>
      </c>
      <c r="AN139" s="123">
        <v>1.005</v>
      </c>
      <c r="AO139" s="363">
        <v>1.037</v>
      </c>
      <c r="AP139" s="254">
        <v>1.032</v>
      </c>
      <c r="AQ139" s="254">
        <v>1.05</v>
      </c>
      <c r="AR139" s="254">
        <v>1.055</v>
      </c>
      <c r="AS139" s="254"/>
      <c r="AT139" s="226"/>
      <c r="BO139" s="281" t="str">
        <f t="shared" si="65"/>
        <v>pEX</v>
      </c>
      <c r="BP139" s="31" t="s">
        <v>504</v>
      </c>
      <c r="CQ139" s="62">
        <v>1998</v>
      </c>
      <c r="CR139" s="326">
        <f t="shared" si="71"/>
        <v>24.370782708767997</v>
      </c>
      <c r="CS139" s="46">
        <v>1.00294176</v>
      </c>
      <c r="CT139" s="55">
        <v>48.8855</v>
      </c>
      <c r="CU139" s="57">
        <f t="shared" si="72"/>
        <v>2.005906030355448</v>
      </c>
      <c r="CV139" s="57"/>
      <c r="CW139" s="57"/>
      <c r="CX139" s="75">
        <f>НАСТРОЙКА!DR139</f>
        <v>2.4930511200000005</v>
      </c>
      <c r="DL139" s="316">
        <f t="shared" si="70"/>
        <v>2.005906030355448</v>
      </c>
      <c r="DN139" s="62">
        <v>1996</v>
      </c>
      <c r="DO139" s="410">
        <f>CT137</f>
        <v>36.6615</v>
      </c>
      <c r="DP139" s="55">
        <f>DK53</f>
        <v>2007.8252000000002</v>
      </c>
      <c r="DQ139" s="72"/>
      <c r="EF139" s="62">
        <v>1998</v>
      </c>
      <c r="EG139" s="143">
        <v>1.00294176</v>
      </c>
      <c r="EH139" s="63"/>
      <c r="EX139" s="63">
        <f t="shared" si="73"/>
        <v>1.00294176</v>
      </c>
      <c r="EZ139" s="411">
        <v>1996</v>
      </c>
      <c r="FA139" s="123">
        <v>20.5</v>
      </c>
      <c r="FB139" s="123"/>
      <c r="FC139" s="407"/>
      <c r="FS139" s="412">
        <v>1996</v>
      </c>
      <c r="FT139" s="409">
        <f>FA139</f>
        <v>20.5</v>
      </c>
    </row>
    <row r="140" ht="18" customHeight="1" spans="9:176" x14ac:dyDescent="0.25">
      <c r="I140" s="31" t="s">
        <v>501</v>
      </c>
      <c r="J140" s="217" t="s">
        <v>528</v>
      </c>
      <c r="K140" s="121" t="s">
        <v>529</v>
      </c>
      <c r="L140" s="121"/>
      <c r="M140" s="121"/>
      <c r="N140" s="121"/>
      <c r="O140" s="218" t="s">
        <v>299</v>
      </c>
      <c r="P140" s="275"/>
      <c r="U140" s="277">
        <v>1.07</v>
      </c>
      <c r="V140" s="276">
        <v>1.013</v>
      </c>
      <c r="W140" s="276">
        <v>1.004</v>
      </c>
      <c r="X140" s="276">
        <v>0.826</v>
      </c>
      <c r="Y140" s="270">
        <v>0.83</v>
      </c>
      <c r="Z140" s="277">
        <v>1.324</v>
      </c>
      <c r="AA140" s="276">
        <v>1.187</v>
      </c>
      <c r="AB140" s="276">
        <v>1.146</v>
      </c>
      <c r="AC140" s="276">
        <v>1.173</v>
      </c>
      <c r="AD140" s="270">
        <v>1.233</v>
      </c>
      <c r="AE140" s="277">
        <v>1.166</v>
      </c>
      <c r="AF140" s="276">
        <v>1.213</v>
      </c>
      <c r="AG140" s="254">
        <v>1.262</v>
      </c>
      <c r="AH140" s="271">
        <v>1.148</v>
      </c>
      <c r="AI140" s="254">
        <v>0.696</v>
      </c>
      <c r="AJ140" s="226">
        <v>1.258</v>
      </c>
      <c r="AK140" s="254">
        <v>1.203</v>
      </c>
      <c r="AL140" s="123">
        <v>1.097</v>
      </c>
      <c r="AM140" s="123">
        <v>1.035</v>
      </c>
      <c r="AN140" s="123">
        <v>0.927</v>
      </c>
      <c r="AO140" s="363">
        <v>0.749</v>
      </c>
      <c r="AP140" s="254">
        <v>0.964</v>
      </c>
      <c r="AQ140" s="254">
        <v>1.174</v>
      </c>
      <c r="AR140" s="254">
        <v>1.027</v>
      </c>
      <c r="AS140" s="254"/>
      <c r="AT140" s="226"/>
      <c r="BO140" s="281" t="str">
        <f t="shared" si="65"/>
        <v>pIM</v>
      </c>
      <c r="BP140" s="31" t="s">
        <v>504</v>
      </c>
      <c r="CQ140" s="62">
        <v>1999</v>
      </c>
      <c r="CR140" s="326">
        <f t="shared" si="71"/>
        <v>24.029591750845242</v>
      </c>
      <c r="CS140" s="46">
        <v>0.9889005753599999</v>
      </c>
      <c r="CT140" s="55">
        <v>56.3011</v>
      </c>
      <c r="CU140" s="57">
        <f t="shared" si="72"/>
        <v>2.3429902839701637</v>
      </c>
      <c r="CV140" s="57"/>
      <c r="CW140" s="57"/>
      <c r="CX140" s="75">
        <f>НАСТРОЙКА!DR140</f>
        <v>3.4030147788000007</v>
      </c>
      <c r="DL140" s="316">
        <f t="shared" si="70"/>
        <v>2.3429902839701637</v>
      </c>
      <c r="DN140" s="62">
        <v>1997</v>
      </c>
      <c r="DO140" s="410">
        <f t="shared" ref="DO140:DO161" si="74">CT138</f>
        <v>47.3504</v>
      </c>
      <c r="DP140" s="55">
        <f t="shared" ref="DP140:DP161" si="75">DK54</f>
        <v>2342.5137</v>
      </c>
      <c r="DQ140" s="72"/>
      <c r="EF140" s="62">
        <v>1999</v>
      </c>
      <c r="EG140" s="143">
        <v>0.9889005753599999</v>
      </c>
      <c r="EH140" s="63"/>
      <c r="EX140" s="63">
        <f t="shared" si="73"/>
        <v>0.9889005753599999</v>
      </c>
      <c r="EZ140" s="411">
        <v>1997</v>
      </c>
      <c r="FA140" s="123">
        <v>19.1</v>
      </c>
      <c r="FB140" s="123"/>
      <c r="FC140" s="407"/>
      <c r="FS140" s="412">
        <v>1997</v>
      </c>
      <c r="FT140" s="409">
        <f t="shared" ref="FT140:FT162" si="76">FA140</f>
        <v>19.1</v>
      </c>
    </row>
    <row r="141" ht="18" customHeight="1" spans="9:178" x14ac:dyDescent="0.25">
      <c r="I141" s="31" t="s">
        <v>530</v>
      </c>
      <c r="J141" s="217" t="s">
        <v>531</v>
      </c>
      <c r="K141" s="121" t="s">
        <v>532</v>
      </c>
      <c r="L141" s="121"/>
      <c r="M141" s="121"/>
      <c r="N141" s="121"/>
      <c r="O141" s="218" t="s">
        <v>299</v>
      </c>
      <c r="P141" s="275">
        <v>1.01</v>
      </c>
      <c r="Q141" s="31">
        <v>0.85</v>
      </c>
      <c r="R141" s="31">
        <v>0.603</v>
      </c>
      <c r="S141" s="31">
        <v>0.883</v>
      </c>
      <c r="T141" s="31">
        <v>0.757</v>
      </c>
      <c r="U141" s="277">
        <v>0.899</v>
      </c>
      <c r="V141" s="276">
        <v>0.819</v>
      </c>
      <c r="W141" s="276">
        <v>0.95</v>
      </c>
      <c r="X141" s="276">
        <v>0.88</v>
      </c>
      <c r="Y141" s="270">
        <v>1.05</v>
      </c>
      <c r="Z141" s="277">
        <v>1.174</v>
      </c>
      <c r="AA141" s="270">
        <v>1.1</v>
      </c>
      <c r="AB141" s="276">
        <v>1.028</v>
      </c>
      <c r="AC141" s="276">
        <v>1.125</v>
      </c>
      <c r="AD141" s="276">
        <v>1.137</v>
      </c>
      <c r="AE141" s="277">
        <v>1.102</v>
      </c>
      <c r="AF141" s="276">
        <v>1.167</v>
      </c>
      <c r="AG141" s="254">
        <v>1.227</v>
      </c>
      <c r="AH141" s="254">
        <v>1.095</v>
      </c>
      <c r="AI141" s="254">
        <v>0.865</v>
      </c>
      <c r="AJ141" s="226">
        <v>1.063</v>
      </c>
      <c r="AK141" s="254">
        <v>1.108</v>
      </c>
      <c r="AL141" s="254">
        <v>1.068</v>
      </c>
      <c r="AM141" s="254">
        <v>1.008</v>
      </c>
      <c r="AN141" s="254">
        <v>0.985</v>
      </c>
      <c r="AO141" s="374">
        <v>0.899</v>
      </c>
      <c r="AP141" s="254">
        <v>0.998</v>
      </c>
      <c r="AQ141" s="254">
        <v>1.048</v>
      </c>
      <c r="AR141" s="254">
        <v>1.043</v>
      </c>
      <c r="AS141" s="254">
        <v>1.063</v>
      </c>
      <c r="AT141" s="226"/>
      <c r="BO141" s="281" t="str">
        <f t="shared" si="65"/>
        <v>pIN</v>
      </c>
      <c r="BP141" s="31" t="s">
        <v>533</v>
      </c>
      <c r="CQ141" s="62">
        <v>2000</v>
      </c>
      <c r="CR141" s="326">
        <f t="shared" si="71"/>
        <v>24.41406521885877</v>
      </c>
      <c r="CS141" s="46">
        <v>1.00472298456576</v>
      </c>
      <c r="CT141" s="55">
        <v>79.1165</v>
      </c>
      <c r="CU141" s="57">
        <f t="shared" si="72"/>
        <v>3.240611479111068</v>
      </c>
      <c r="CV141" s="57"/>
      <c r="CW141" s="57"/>
      <c r="CX141" s="75">
        <f>НАСТРОЙКА!DR141</f>
        <v>4.090423764117601</v>
      </c>
      <c r="DL141" s="316">
        <f t="shared" si="70"/>
        <v>3.240611479111068</v>
      </c>
      <c r="DN141" s="62">
        <v>1998</v>
      </c>
      <c r="DO141" s="410">
        <f t="shared" si="74"/>
        <v>48.8855</v>
      </c>
      <c r="DP141" s="55">
        <f t="shared" si="75"/>
        <v>2629.6229</v>
      </c>
      <c r="DQ141" s="72"/>
      <c r="EF141" s="62">
        <v>2000</v>
      </c>
      <c r="EG141" s="143">
        <v>1.00472298456576</v>
      </c>
      <c r="EH141" s="63"/>
      <c r="EX141" s="63">
        <f t="shared" si="73"/>
        <v>1.00472298456576</v>
      </c>
      <c r="EZ141" s="411">
        <v>1998</v>
      </c>
      <c r="FA141" s="123">
        <v>12.7</v>
      </c>
      <c r="FB141" s="123"/>
      <c r="FC141" s="407"/>
      <c r="FS141" s="412">
        <v>1998</v>
      </c>
      <c r="FT141" s="409">
        <f t="shared" si="76"/>
        <v>12.7</v>
      </c>
      <c r="FV141" s="283"/>
    </row>
    <row r="142" ht="18" customHeight="1" spans="9:178" x14ac:dyDescent="0.25">
      <c r="I142" s="31" t="s">
        <v>353</v>
      </c>
      <c r="J142" s="217" t="s">
        <v>534</v>
      </c>
      <c r="K142" s="121" t="s">
        <v>535</v>
      </c>
      <c r="L142" s="121"/>
      <c r="M142" s="121"/>
      <c r="N142" s="121"/>
      <c r="O142" s="218" t="s">
        <v>299</v>
      </c>
      <c r="P142" s="275">
        <v>1.042</v>
      </c>
      <c r="Q142" s="31">
        <v>1.035</v>
      </c>
      <c r="R142" s="31">
        <v>1.02</v>
      </c>
      <c r="S142" s="31">
        <v>1.006</v>
      </c>
      <c r="T142" s="31">
        <v>0.9990000000000001</v>
      </c>
      <c r="U142" s="277">
        <v>1.001</v>
      </c>
      <c r="V142" s="276">
        <v>0.9990000000000001</v>
      </c>
      <c r="W142" s="276">
        <v>0.996</v>
      </c>
      <c r="X142" s="276">
        <v>0.997</v>
      </c>
      <c r="Y142" s="276">
        <v>1.002</v>
      </c>
      <c r="Z142" s="277">
        <v>1.005</v>
      </c>
      <c r="AA142" s="276">
        <v>1.0090000000000001</v>
      </c>
      <c r="AB142" s="276">
        <v>1.01</v>
      </c>
      <c r="AC142" s="276">
        <v>1.013</v>
      </c>
      <c r="AD142" s="276">
        <v>1.016</v>
      </c>
      <c r="AE142" s="277">
        <v>1.0190000000000001</v>
      </c>
      <c r="AF142" s="276">
        <v>1.024</v>
      </c>
      <c r="AG142" s="271">
        <v>1.031</v>
      </c>
      <c r="AH142" s="254">
        <v>1.036</v>
      </c>
      <c r="AI142" s="254">
        <v>1.032</v>
      </c>
      <c r="AJ142" s="226">
        <v>1.03</v>
      </c>
      <c r="AK142" s="254">
        <v>1.04</v>
      </c>
      <c r="AL142" s="187">
        <v>1.043</v>
      </c>
      <c r="AM142" s="254">
        <v>1.041</v>
      </c>
      <c r="AN142" s="254">
        <v>1.037</v>
      </c>
      <c r="AO142" s="374">
        <v>1.032</v>
      </c>
      <c r="AP142" s="254">
        <v>1.039</v>
      </c>
      <c r="AQ142" s="254">
        <v>1.038</v>
      </c>
      <c r="AR142" s="254">
        <v>1.042</v>
      </c>
      <c r="AS142" s="254"/>
      <c r="AT142" s="226"/>
      <c r="BO142" s="281" t="str">
        <f t="shared" si="65"/>
        <v>pF</v>
      </c>
      <c r="BP142" s="31" t="s">
        <v>536</v>
      </c>
      <c r="CQ142" s="62">
        <v>2001</v>
      </c>
      <c r="CR142" s="326">
        <f t="shared" si="71"/>
        <v>24.87793245801708</v>
      </c>
      <c r="CS142" s="46">
        <v>1.0238127212725092</v>
      </c>
      <c r="CT142" s="55">
        <v>98.7819</v>
      </c>
      <c r="CU142" s="57">
        <f t="shared" si="72"/>
        <v>3.97066356566005</v>
      </c>
      <c r="CV142" s="57"/>
      <c r="CW142" s="57"/>
      <c r="CX142" s="75">
        <f>НАСТРОЙКА!DR142</f>
        <v>4.851242584243474</v>
      </c>
      <c r="DL142" s="316">
        <f t="shared" si="70"/>
        <v>3.97066356566005</v>
      </c>
      <c r="DN142" s="62">
        <v>1999</v>
      </c>
      <c r="DO142" s="410">
        <f t="shared" si="74"/>
        <v>56.3011</v>
      </c>
      <c r="DP142" s="55">
        <f t="shared" si="75"/>
        <v>4823.2329</v>
      </c>
      <c r="DQ142" s="72"/>
      <c r="EF142" s="62">
        <v>2001</v>
      </c>
      <c r="EG142" s="143">
        <v>1.0238127212725092</v>
      </c>
      <c r="EH142" s="63"/>
      <c r="EX142" s="63">
        <f t="shared" si="73"/>
        <v>1.0238127212725092</v>
      </c>
      <c r="EZ142" s="411">
        <v>1999</v>
      </c>
      <c r="FA142" s="123">
        <v>17.7</v>
      </c>
      <c r="FB142" s="123"/>
      <c r="FC142" s="407"/>
      <c r="FS142" s="412">
        <v>1999</v>
      </c>
      <c r="FT142" s="409">
        <f t="shared" si="76"/>
        <v>17.7</v>
      </c>
      <c r="FV142" s="283"/>
    </row>
    <row r="143" ht="18" customHeight="1" spans="10:178" x14ac:dyDescent="0.25">
      <c r="J143" s="217" t="s">
        <v>537</v>
      </c>
      <c r="K143" s="121" t="s">
        <v>538</v>
      </c>
      <c r="L143" s="121"/>
      <c r="M143" s="121"/>
      <c r="N143" s="121"/>
      <c r="O143" s="218" t="s">
        <v>299</v>
      </c>
      <c r="P143" s="275"/>
      <c r="Q143" s="312">
        <v>0.892</v>
      </c>
      <c r="R143" s="312">
        <v>0.6726457399103138</v>
      </c>
      <c r="S143" s="312">
        <v>0.7</v>
      </c>
      <c r="T143" s="312">
        <v>0.819047619047619</v>
      </c>
      <c r="U143" s="320">
        <v>0.9273255813953489</v>
      </c>
      <c r="V143" s="270">
        <v>0.8557993730407524</v>
      </c>
      <c r="W143" s="270">
        <v>0.8534798534798534</v>
      </c>
      <c r="X143" s="270">
        <v>0.9527896995708154</v>
      </c>
      <c r="Y143" s="270">
        <v>1.0675675675675675</v>
      </c>
      <c r="Z143" s="320">
        <v>1.2489451476793252</v>
      </c>
      <c r="AA143" s="270">
        <v>1.189189189189189</v>
      </c>
      <c r="AB143" s="270">
        <v>1.0795454545454544</v>
      </c>
      <c r="AC143" s="270">
        <v>1.1210526315789473</v>
      </c>
      <c r="AD143" s="270">
        <v>1.1173708920187795</v>
      </c>
      <c r="AE143" s="320">
        <v>1.1092436974789917</v>
      </c>
      <c r="AF143" s="270">
        <v>1.1628787878787878</v>
      </c>
      <c r="AG143" s="271">
        <v>1.219869706840391</v>
      </c>
      <c r="AH143" s="271">
        <v>1.1401869158878504</v>
      </c>
      <c r="AI143" s="271">
        <v>0.9660421545667446</v>
      </c>
      <c r="AJ143" s="226">
        <v>0.934</v>
      </c>
      <c r="AK143" s="271">
        <v>1.289234760051881</v>
      </c>
      <c r="AL143" s="187">
        <v>1.0875</v>
      </c>
      <c r="AM143" s="271">
        <v>1.01017</v>
      </c>
      <c r="AN143" s="271">
        <v>0.97</v>
      </c>
      <c r="AO143" s="374">
        <v>0.945</v>
      </c>
      <c r="AP143" s="271">
        <v>1.168</v>
      </c>
      <c r="AQ143" s="271">
        <v>1.001</v>
      </c>
      <c r="AR143" s="271">
        <v>1.146</v>
      </c>
      <c r="AS143" s="271"/>
      <c r="AT143" s="226"/>
      <c r="BO143" s="281" t="str">
        <f t="shared" si="65"/>
        <v>pWW</v>
      </c>
      <c r="BP143" s="123" t="s">
        <v>353</v>
      </c>
      <c r="CQ143" s="62">
        <v>2002</v>
      </c>
      <c r="CR143" s="326">
        <f t="shared" si="71"/>
        <v>25.076955917681218</v>
      </c>
      <c r="CS143" s="46">
        <v>1.0320032230426892</v>
      </c>
      <c r="CT143" s="55">
        <v>132.516</v>
      </c>
      <c r="CU143" s="57">
        <f t="shared" si="72"/>
        <v>5.284373447678545</v>
      </c>
      <c r="CV143" s="57"/>
      <c r="CW143" s="57"/>
      <c r="CX143" s="75">
        <f>НАСТРОЙКА!DR143</f>
        <v>5.583780214464239</v>
      </c>
      <c r="DL143" s="316">
        <f t="shared" si="70"/>
        <v>5.284373447678545</v>
      </c>
      <c r="DN143" s="62">
        <v>2000</v>
      </c>
      <c r="DO143" s="410">
        <f t="shared" si="74"/>
        <v>79.1165</v>
      </c>
      <c r="DP143" s="55">
        <f t="shared" si="75"/>
        <v>7305.6466</v>
      </c>
      <c r="DQ143" s="72"/>
      <c r="EF143" s="62">
        <v>2002</v>
      </c>
      <c r="EG143" s="143">
        <v>1.0320032230426892</v>
      </c>
      <c r="EH143" s="63"/>
      <c r="EX143" s="63">
        <f t="shared" si="73"/>
        <v>1.0320032230426892</v>
      </c>
      <c r="EZ143" s="411">
        <v>2000</v>
      </c>
      <c r="FA143" s="123">
        <v>28.3</v>
      </c>
      <c r="FB143" s="123"/>
      <c r="FC143" s="407"/>
      <c r="FS143" s="412">
        <v>2000</v>
      </c>
      <c r="FT143" s="409">
        <f t="shared" si="76"/>
        <v>28.3</v>
      </c>
      <c r="FV143" s="283"/>
    </row>
    <row r="144" ht="18" customHeight="1" spans="5:178" x14ac:dyDescent="0.25">
      <c r="E144" s="287" t="s">
        <v>539</v>
      </c>
      <c r="F144" s="287"/>
      <c r="G144" s="287"/>
      <c r="I144" s="195" t="s">
        <v>292</v>
      </c>
      <c r="J144" s="217" t="s">
        <v>540</v>
      </c>
      <c r="K144" s="121" t="s">
        <v>541</v>
      </c>
      <c r="L144" s="121"/>
      <c r="M144" s="121"/>
      <c r="N144" s="121"/>
      <c r="O144" s="218" t="s">
        <v>299</v>
      </c>
      <c r="P144" s="275"/>
      <c r="U144" s="320">
        <v>0.033</v>
      </c>
      <c r="V144" s="270">
        <v>0.033561209950998976</v>
      </c>
      <c r="W144" s="270">
        <v>0.03380034910434458</v>
      </c>
      <c r="X144" s="270">
        <v>0.03551985499516597</v>
      </c>
      <c r="Y144" s="270">
        <v>0.03754522720369069</v>
      </c>
      <c r="Z144" s="289">
        <v>0.037133613686563406</v>
      </c>
      <c r="AA144" s="271">
        <v>0.04584762853067042</v>
      </c>
      <c r="AB144" s="271">
        <v>0.04357130596075037</v>
      </c>
      <c r="AC144" s="271">
        <v>0.04645884552673395</v>
      </c>
      <c r="AD144" s="271">
        <v>0.049621904539870115</v>
      </c>
      <c r="AE144" s="289">
        <v>0.052693222479582635</v>
      </c>
      <c r="AF144" s="271">
        <v>0.05768383836976969</v>
      </c>
      <c r="AG144" s="271">
        <v>0.06639840493114152</v>
      </c>
      <c r="AH144" s="271">
        <f t="shared" ref="AH144:AP144" si="77">1-AH142+AH193/AG197</f>
        <v>0.06713197715536502</v>
      </c>
      <c r="AI144" s="271">
        <f t="shared" si="77"/>
        <v>0.06416779673349142</v>
      </c>
      <c r="AJ144" s="372">
        <f t="shared" si="77"/>
        <v>0.057035583477791654</v>
      </c>
      <c r="AK144" s="271">
        <f t="shared" si="77"/>
        <v>0.06894106755433609</v>
      </c>
      <c r="AL144" s="271">
        <f t="shared" si="77"/>
        <v>0.07091674131282749</v>
      </c>
      <c r="AM144" s="271">
        <f t="shared" si="77"/>
        <v>0.06933103985808146</v>
      </c>
      <c r="AN144" s="271">
        <f t="shared" si="77"/>
        <v>0.06580606019436988</v>
      </c>
      <c r="AO144" s="379">
        <f t="shared" si="77"/>
        <v>0.061685368258128676</v>
      </c>
      <c r="AP144" s="380">
        <f t="shared" si="77"/>
        <v>0.06703150205958759</v>
      </c>
      <c r="AQ144" s="380">
        <f>1-AQ142+AQ193/AP197</f>
        <v>0.06415354529513673</v>
      </c>
      <c r="AR144" s="380">
        <f>1-AR142+AR193/AQ197</f>
        <v>0.0707822378691972</v>
      </c>
      <c r="AT144" s="226"/>
      <c r="BO144" s="281" t="str">
        <f t="shared" si="65"/>
        <v>kWB</v>
      </c>
      <c r="BP144" s="413" t="s">
        <v>542</v>
      </c>
      <c r="CQ144" s="62">
        <v>2003</v>
      </c>
      <c r="CR144" s="326">
        <f t="shared" si="71"/>
        <v>25.102032873598898</v>
      </c>
      <c r="CS144" s="46">
        <v>1.0330352262657319</v>
      </c>
      <c r="CT144" s="55">
        <v>154.9174</v>
      </c>
      <c r="CU144" s="57">
        <f t="shared" si="72"/>
        <v>6.171508131635609</v>
      </c>
      <c r="CV144" s="57"/>
      <c r="CW144" s="57"/>
      <c r="CX144" s="75">
        <f>НАСТРОЙКА!DR144</f>
        <v>6.253833840199949</v>
      </c>
      <c r="DL144" s="316">
        <f t="shared" si="70"/>
        <v>6.171508131635609</v>
      </c>
      <c r="DN144" s="62">
        <v>2001</v>
      </c>
      <c r="DO144" s="410">
        <f t="shared" si="74"/>
        <v>98.7819</v>
      </c>
      <c r="DP144" s="55">
        <f t="shared" si="75"/>
        <v>8943.5826</v>
      </c>
      <c r="DQ144" s="72"/>
      <c r="EF144" s="62">
        <v>2003</v>
      </c>
      <c r="EG144" s="143">
        <v>1.0330352262657319</v>
      </c>
      <c r="EH144" s="63"/>
      <c r="EX144" s="63">
        <f t="shared" si="73"/>
        <v>1.0330352262657319</v>
      </c>
      <c r="EZ144" s="411">
        <v>2001</v>
      </c>
      <c r="FA144" s="123">
        <v>24.4</v>
      </c>
      <c r="FB144" s="123"/>
      <c r="FC144" s="407"/>
      <c r="FS144" s="412">
        <v>2001</v>
      </c>
      <c r="FT144" s="409">
        <f t="shared" si="76"/>
        <v>24.4</v>
      </c>
      <c r="FV144" s="283"/>
    </row>
    <row r="145" ht="18" customHeight="1" spans="1:178" x14ac:dyDescent="0.25">
      <c r="A145" s="276" t="s">
        <v>543</v>
      </c>
      <c r="B145" s="276"/>
      <c r="E145" s="414" t="s">
        <v>142</v>
      </c>
      <c r="F145" s="414"/>
      <c r="G145" s="414"/>
      <c r="H145" s="327"/>
      <c r="I145" s="195" t="s">
        <v>292</v>
      </c>
      <c r="J145" s="217" t="s">
        <v>544</v>
      </c>
      <c r="K145" s="288" t="s">
        <v>545</v>
      </c>
      <c r="L145" s="121"/>
      <c r="M145" s="121"/>
      <c r="N145" s="121"/>
      <c r="O145" s="218" t="s">
        <v>283</v>
      </c>
      <c r="P145" s="275"/>
      <c r="U145" s="241">
        <f>U56</f>
        <v>1447.9952</v>
      </c>
      <c r="V145" s="242">
        <f t="shared" ref="V145:AR145" si="78">V149-V199</f>
        <v>1418.8795016000001</v>
      </c>
      <c r="W145" s="242">
        <f t="shared" si="78"/>
        <v>1438.7438146224004</v>
      </c>
      <c r="X145" s="242">
        <f t="shared" si="78"/>
        <v>1368.1606270079908</v>
      </c>
      <c r="Y145" s="242">
        <f t="shared" si="78"/>
        <v>1439.579749342538</v>
      </c>
      <c r="Z145" s="284">
        <f t="shared" si="78"/>
        <v>1566.4582633307773</v>
      </c>
      <c r="AA145" s="242">
        <f t="shared" si="78"/>
        <v>1640.1193246690002</v>
      </c>
      <c r="AB145" s="242">
        <f t="shared" si="78"/>
        <v>1707.4046869992378</v>
      </c>
      <c r="AC145" s="242">
        <f t="shared" si="78"/>
        <v>1842.2766859002736</v>
      </c>
      <c r="AD145" s="242">
        <f t="shared" si="78"/>
        <v>2004.2780671866872</v>
      </c>
      <c r="AE145" s="415">
        <f t="shared" si="78"/>
        <v>2104.809063879628</v>
      </c>
      <c r="AF145" s="242">
        <f t="shared" si="78"/>
        <v>2306.727546302363</v>
      </c>
      <c r="AG145" s="279">
        <f t="shared" si="78"/>
        <v>2516.485382411794</v>
      </c>
      <c r="AH145" s="279">
        <f t="shared" si="78"/>
        <v>2637.4157141605283</v>
      </c>
      <c r="AI145" s="279">
        <f t="shared" si="78"/>
        <v>2455.1180066006277</v>
      </c>
      <c r="AJ145" s="416">
        <f t="shared" si="78"/>
        <v>2589.728148850888</v>
      </c>
      <c r="AK145" s="279">
        <f t="shared" si="78"/>
        <v>2701.0864592514768</v>
      </c>
      <c r="AL145" s="279">
        <f t="shared" si="78"/>
        <v>2812.7365069294915</v>
      </c>
      <c r="AM145" s="279">
        <f t="shared" si="78"/>
        <v>2880.2318845143186</v>
      </c>
      <c r="AN145" s="279">
        <f t="shared" si="78"/>
        <v>2904.9477054983777</v>
      </c>
      <c r="AO145" s="417">
        <f t="shared" si="78"/>
        <v>2894.648386496252</v>
      </c>
      <c r="AP145" s="232">
        <f t="shared" si="78"/>
        <v>2956.2174732766653</v>
      </c>
      <c r="AQ145" s="232">
        <f t="shared" si="78"/>
        <v>3048.9437910369015</v>
      </c>
      <c r="AR145" s="232">
        <f t="shared" si="78"/>
        <v>3116.956104333525</v>
      </c>
      <c r="AT145" s="226"/>
      <c r="BO145" s="281" t="str">
        <f t="shared" si="65"/>
        <v>ZS</v>
      </c>
      <c r="CQ145" s="62">
        <v>2004</v>
      </c>
      <c r="CR145" s="326">
        <f t="shared" si="71"/>
        <v>22.31570722462942</v>
      </c>
      <c r="CS145" s="46">
        <v>0.9183683161502356</v>
      </c>
      <c r="CT145" s="55">
        <v>149.551</v>
      </c>
      <c r="CU145" s="57">
        <f t="shared" si="72"/>
        <v>6.701602530209906</v>
      </c>
      <c r="CV145" s="57"/>
      <c r="CW145" s="57"/>
      <c r="CX145" s="75">
        <f>НАСТРОЙКА!DR145</f>
        <v>6.9855323995033425</v>
      </c>
      <c r="DL145" s="316">
        <f t="shared" si="70"/>
        <v>6.701602530209906</v>
      </c>
      <c r="DN145" s="62">
        <v>2002</v>
      </c>
      <c r="DO145" s="410">
        <f t="shared" si="74"/>
        <v>132.516</v>
      </c>
      <c r="DP145" s="55">
        <f t="shared" si="75"/>
        <v>10819.270899999998</v>
      </c>
      <c r="DQ145" s="418"/>
      <c r="EF145" s="62">
        <v>2004</v>
      </c>
      <c r="EG145" s="143">
        <v>0.9183683161502356</v>
      </c>
      <c r="EH145" s="63"/>
      <c r="EX145" s="63">
        <f t="shared" si="73"/>
        <v>0.9183683161502356</v>
      </c>
      <c r="EZ145" s="411">
        <v>2002</v>
      </c>
      <c r="FA145" s="123">
        <v>25</v>
      </c>
      <c r="FB145" s="123"/>
      <c r="FC145" s="407"/>
      <c r="FS145" s="412">
        <v>2002</v>
      </c>
      <c r="FT145" s="409">
        <f t="shared" si="76"/>
        <v>25</v>
      </c>
      <c r="FV145" s="283"/>
    </row>
    <row r="146" ht="18" customHeight="1" spans="5:178" x14ac:dyDescent="0.25">
      <c r="E146" s="287" t="s">
        <v>546</v>
      </c>
      <c r="F146" s="287"/>
      <c r="G146" s="327"/>
      <c r="H146" s="327"/>
      <c r="I146" s="195" t="s">
        <v>292</v>
      </c>
      <c r="J146" s="217" t="s">
        <v>547</v>
      </c>
      <c r="K146" s="288" t="s">
        <v>548</v>
      </c>
      <c r="L146" s="121"/>
      <c r="M146" s="121"/>
      <c r="N146" s="121"/>
      <c r="O146" s="218" t="s">
        <v>299</v>
      </c>
      <c r="P146" s="275"/>
      <c r="U146" s="237">
        <f>U194/(U195+U78)</f>
        <v>1.3855382921183337</v>
      </c>
      <c r="V146" s="219">
        <f>V194/(V195+V78)</f>
        <v>1.7137366177238973</v>
      </c>
      <c r="W146" s="219">
        <f t="shared" ref="W146:AR146" si="79">W194/(W195+W78)</f>
        <v>1.8111490149418872</v>
      </c>
      <c r="X146" s="219">
        <f t="shared" si="79"/>
        <v>1.700010325388635</v>
      </c>
      <c r="Y146" s="219">
        <f t="shared" si="79"/>
        <v>1.343817685783397</v>
      </c>
      <c r="Z146" s="219">
        <f t="shared" si="79"/>
        <v>1.5155150050913269</v>
      </c>
      <c r="AA146" s="219">
        <f t="shared" si="79"/>
        <v>1.6353784645849134</v>
      </c>
      <c r="AB146" s="219">
        <f t="shared" si="79"/>
        <v>1.8230970042940766</v>
      </c>
      <c r="AC146" s="219">
        <f t="shared" si="79"/>
        <v>1.9008824764772907</v>
      </c>
      <c r="AD146" s="219">
        <f t="shared" si="79"/>
        <v>2.061379149952946</v>
      </c>
      <c r="AE146" s="219">
        <f t="shared" si="79"/>
        <v>2.181096269369451</v>
      </c>
      <c r="AF146" s="219">
        <f t="shared" si="79"/>
        <v>2.2670692157199177</v>
      </c>
      <c r="AG146" s="419">
        <f t="shared" si="79"/>
        <v>2.3317370417591983</v>
      </c>
      <c r="AH146" s="419">
        <f t="shared" si="79"/>
        <v>2.444597373460785</v>
      </c>
      <c r="AI146" s="219">
        <f t="shared" si="79"/>
        <v>1.9669823952933017</v>
      </c>
      <c r="AJ146" s="363">
        <f t="shared" si="79"/>
        <v>2.3278117152201068</v>
      </c>
      <c r="AK146" s="219">
        <f t="shared" si="79"/>
        <v>2.5273984597561263</v>
      </c>
      <c r="AL146" s="219">
        <f t="shared" si="79"/>
        <v>2.5960263205547474</v>
      </c>
      <c r="AM146" s="219">
        <f t="shared" si="79"/>
        <v>2.665562739855321</v>
      </c>
      <c r="AN146" s="219">
        <f t="shared" si="79"/>
        <v>2.5086057460364293</v>
      </c>
      <c r="AO146" s="363">
        <f t="shared" si="79"/>
        <v>2.0900397149958683</v>
      </c>
      <c r="AP146" s="219">
        <f t="shared" si="79"/>
        <v>2.018835957170358</v>
      </c>
      <c r="AQ146" s="219">
        <f t="shared" si="79"/>
        <v>2.261558600875954</v>
      </c>
      <c r="AR146" s="219">
        <f t="shared" si="79"/>
        <v>2.22686546797661</v>
      </c>
      <c r="AT146" s="226"/>
      <c r="BO146" s="281" t="str">
        <f t="shared" si="65"/>
        <v>bS</v>
      </c>
      <c r="CQ146" s="62">
        <v>2005</v>
      </c>
      <c r="CR146" s="326">
        <f t="shared" si="71"/>
        <v>18.231932802522234</v>
      </c>
      <c r="CS146" s="46">
        <v>0.7503069142947425</v>
      </c>
      <c r="CT146" s="55">
        <v>139.3729</v>
      </c>
      <c r="CU146" s="57">
        <f t="shared" si="72"/>
        <v>7.644439100868062</v>
      </c>
      <c r="CV146" s="57"/>
      <c r="CW146" s="57"/>
      <c r="CX146" s="75">
        <f>НАСТРОЙКА!DR146</f>
        <v>7.746955431049207</v>
      </c>
      <c r="DL146" s="316">
        <f t="shared" si="70"/>
        <v>7.644439100868062</v>
      </c>
      <c r="DN146" s="62">
        <v>2003</v>
      </c>
      <c r="DO146" s="410">
        <f t="shared" si="74"/>
        <v>154.9174</v>
      </c>
      <c r="DP146" s="55">
        <f t="shared" si="75"/>
        <v>13208.250299999998</v>
      </c>
      <c r="DQ146" s="418"/>
      <c r="EF146" s="62">
        <v>2005</v>
      </c>
      <c r="EG146" s="143">
        <v>0.7503069142947425</v>
      </c>
      <c r="EH146" s="63"/>
      <c r="EX146" s="63">
        <f t="shared" si="73"/>
        <v>0.7503069142947425</v>
      </c>
      <c r="EZ146" s="411">
        <v>2003</v>
      </c>
      <c r="FA146" s="123">
        <v>28.9</v>
      </c>
      <c r="FB146" s="123"/>
      <c r="FC146" s="407"/>
      <c r="FS146" s="412">
        <v>2003</v>
      </c>
      <c r="FT146" s="409">
        <f t="shared" si="76"/>
        <v>28.9</v>
      </c>
      <c r="FV146" s="283"/>
    </row>
    <row r="147" ht="18" customHeight="1" spans="5:178" x14ac:dyDescent="0.25">
      <c r="E147" s="287" t="s">
        <v>549</v>
      </c>
      <c r="F147" s="287"/>
      <c r="G147" s="327"/>
      <c r="H147" s="327"/>
      <c r="I147" s="195" t="s">
        <v>292</v>
      </c>
      <c r="J147" s="217" t="s">
        <v>550</v>
      </c>
      <c r="K147" s="121" t="s">
        <v>551</v>
      </c>
      <c r="L147" s="121"/>
      <c r="M147" s="121"/>
      <c r="N147" s="121"/>
      <c r="O147" s="218" t="s">
        <v>299</v>
      </c>
      <c r="P147" s="275"/>
      <c r="U147" s="320">
        <f t="shared" ref="U147:AO147" si="80">U102/U65</f>
        <v>0.34028203577560534</v>
      </c>
      <c r="V147" s="270">
        <f t="shared" si="80"/>
        <v>0.3250780994281772</v>
      </c>
      <c r="W147" s="270">
        <f t="shared" si="80"/>
        <v>0.35837570555083637</v>
      </c>
      <c r="X147" s="270">
        <f t="shared" si="80"/>
        <v>0.32023603080122254</v>
      </c>
      <c r="Y147" s="270">
        <f t="shared" si="80"/>
        <v>0.26082091121911194</v>
      </c>
      <c r="Z147" s="320">
        <f t="shared" si="80"/>
        <v>0.26829931795496376</v>
      </c>
      <c r="AA147" s="270">
        <f t="shared" si="80"/>
        <v>0.27051799130250104</v>
      </c>
      <c r="AB147" s="270">
        <f t="shared" si="80"/>
        <v>0.31631692817415186</v>
      </c>
      <c r="AC147" s="270">
        <f t="shared" si="80"/>
        <v>0.3001839655503373</v>
      </c>
      <c r="AD147" s="270">
        <f t="shared" si="80"/>
        <v>0.27424958276588063</v>
      </c>
      <c r="AE147" s="289">
        <f t="shared" si="80"/>
        <v>0.3156258220386519</v>
      </c>
      <c r="AF147" s="271">
        <f t="shared" si="80"/>
        <v>0.3111467598559485</v>
      </c>
      <c r="AG147" s="271">
        <f t="shared" si="80"/>
        <v>0.34223846853003126</v>
      </c>
      <c r="AH147" s="271">
        <f t="shared" si="80"/>
        <v>0.33897422577496544</v>
      </c>
      <c r="AI147" s="271">
        <f t="shared" si="80"/>
        <v>0.4135390376723465</v>
      </c>
      <c r="AJ147" s="372">
        <f t="shared" si="80"/>
        <v>0.3804201043604462</v>
      </c>
      <c r="AK147" s="271">
        <f t="shared" si="80"/>
        <v>0.331688078626494</v>
      </c>
      <c r="AL147" s="271">
        <f t="shared" si="80"/>
        <v>0.33998943349517013</v>
      </c>
      <c r="AM147" s="271">
        <f t="shared" si="80"/>
        <v>0.3458040894091528</v>
      </c>
      <c r="AN147" s="271">
        <f t="shared" si="80"/>
        <v>0.34926044619122454</v>
      </c>
      <c r="AO147" s="363">
        <f t="shared" si="80"/>
        <v>0.357930688386568</v>
      </c>
      <c r="AP147" s="265">
        <f>AP102/AP65</f>
        <v>0.36417242734339217</v>
      </c>
      <c r="AQ147" s="265">
        <f>AQ102/AQ65</f>
        <v>0.3517429822410836</v>
      </c>
      <c r="AR147" s="265">
        <f>AR102/AR65</f>
        <v>0.33005762651166104</v>
      </c>
      <c r="AT147" s="226"/>
      <c r="BO147" s="281" t="str">
        <f t="shared" si="65"/>
        <v>r</v>
      </c>
      <c r="CQ147" s="62">
        <v>2006</v>
      </c>
      <c r="CR147" s="326">
        <f t="shared" si="71"/>
        <v>17.921989944879357</v>
      </c>
      <c r="CS147" s="46">
        <v>0.7375516967517318</v>
      </c>
      <c r="CT147" s="55">
        <v>154.5876</v>
      </c>
      <c r="CU147" s="57">
        <f t="shared" si="72"/>
        <v>8.625582341885453</v>
      </c>
      <c r="CV147" s="57"/>
      <c r="CW147" s="57"/>
      <c r="CX147" s="75">
        <f>НАСТРОЙКА!DR147</f>
        <v>8.444181419843636</v>
      </c>
      <c r="DL147" s="316">
        <f t="shared" si="70"/>
        <v>8.625582341885453</v>
      </c>
      <c r="DN147" s="62">
        <v>2004</v>
      </c>
      <c r="DO147" s="410">
        <f t="shared" si="74"/>
        <v>149.551</v>
      </c>
      <c r="DP147" s="55">
        <f t="shared" si="75"/>
        <v>17027.166999999998</v>
      </c>
      <c r="DQ147" s="418"/>
      <c r="EF147" s="62">
        <v>2006</v>
      </c>
      <c r="EG147" s="143">
        <v>0.7375516967517318</v>
      </c>
      <c r="EH147" s="63"/>
      <c r="EX147" s="63">
        <f t="shared" si="73"/>
        <v>0.7375516967517318</v>
      </c>
      <c r="EZ147" s="411">
        <v>2004</v>
      </c>
      <c r="FA147" s="123">
        <v>38.3</v>
      </c>
      <c r="FB147" s="123"/>
      <c r="FC147" s="407"/>
      <c r="FS147" s="412">
        <v>2004</v>
      </c>
      <c r="FT147" s="409">
        <f t="shared" si="76"/>
        <v>38.3</v>
      </c>
      <c r="FV147" s="283"/>
    </row>
    <row r="148" ht="18" customHeight="1" spans="5:178" x14ac:dyDescent="0.25">
      <c r="E148" s="287" t="s">
        <v>552</v>
      </c>
      <c r="F148" s="287"/>
      <c r="G148" s="327"/>
      <c r="H148" s="327"/>
      <c r="I148" s="195" t="s">
        <v>292</v>
      </c>
      <c r="J148" s="217" t="s">
        <v>553</v>
      </c>
      <c r="K148" s="121" t="s">
        <v>554</v>
      </c>
      <c r="L148" s="121"/>
      <c r="M148" s="121"/>
      <c r="N148" s="121"/>
      <c r="O148" s="218" t="s">
        <v>299</v>
      </c>
      <c r="P148" s="275"/>
      <c r="U148" s="320">
        <f t="shared" ref="U148:AO148" si="81">U103/U65</f>
        <v>0.3059108200657057</v>
      </c>
      <c r="V148" s="270">
        <f t="shared" si="81"/>
        <v>0.2781616646708089</v>
      </c>
      <c r="W148" s="270">
        <f t="shared" si="81"/>
        <v>0.30377623832039924</v>
      </c>
      <c r="X148" s="270">
        <f t="shared" si="81"/>
        <v>0.26117813318403943</v>
      </c>
      <c r="Y148" s="270">
        <f t="shared" si="81"/>
        <v>0.25161546729373147</v>
      </c>
      <c r="Z148" s="320">
        <f t="shared" si="81"/>
        <v>0.28713406421821713</v>
      </c>
      <c r="AA148" s="270">
        <f t="shared" si="81"/>
        <v>0.3000699071085897</v>
      </c>
      <c r="AB148" s="270">
        <f t="shared" si="81"/>
        <v>0.3252732179033034</v>
      </c>
      <c r="AC148" s="270">
        <f t="shared" si="81"/>
        <v>0.31334242432928466</v>
      </c>
      <c r="AD148" s="270">
        <f t="shared" si="81"/>
        <v>0.3188958197444065</v>
      </c>
      <c r="AE148" s="289">
        <f t="shared" si="81"/>
        <v>0.39702420648664605</v>
      </c>
      <c r="AF148" s="271">
        <f t="shared" si="81"/>
        <v>0.3947587210905216</v>
      </c>
      <c r="AG148" s="271">
        <f t="shared" si="81"/>
        <v>0.40208306466662297</v>
      </c>
      <c r="AH148" s="271">
        <f t="shared" si="81"/>
        <v>0.3877200006826103</v>
      </c>
      <c r="AI148" s="271">
        <f t="shared" si="81"/>
        <v>0.35044252977777157</v>
      </c>
      <c r="AJ148" s="363">
        <f t="shared" si="81"/>
        <v>0.346197475752907</v>
      </c>
      <c r="AK148" s="271">
        <f t="shared" si="81"/>
        <v>0.34595423254591307</v>
      </c>
      <c r="AL148" s="271">
        <f t="shared" si="81"/>
        <v>0.3438037701816316</v>
      </c>
      <c r="AM148" s="271">
        <f t="shared" si="81"/>
        <v>0.3342089186768886</v>
      </c>
      <c r="AN148" s="271">
        <f t="shared" si="81"/>
        <v>0.3385595068359523</v>
      </c>
      <c r="AO148" s="363">
        <f t="shared" si="81"/>
        <v>0.3239933425036374</v>
      </c>
      <c r="AP148" s="265">
        <f>AP103/AP65</f>
        <v>0.327643575130618</v>
      </c>
      <c r="AQ148" s="265">
        <f>AQ103/AQ65</f>
        <v>0.33709607265214603</v>
      </c>
      <c r="AR148" s="265">
        <f>AR103/AR65</f>
        <v>0.35927521135817964</v>
      </c>
      <c r="AT148" s="226"/>
      <c r="BO148" s="281" t="str">
        <f t="shared" si="65"/>
        <v>d</v>
      </c>
      <c r="CQ148" s="62">
        <v>2007</v>
      </c>
      <c r="CR148" s="326">
        <f t="shared" si="71"/>
        <v>18.4058836733911</v>
      </c>
      <c r="CS148" s="46">
        <v>0.7574655925640286</v>
      </c>
      <c r="CT148" s="55">
        <v>185.8756</v>
      </c>
      <c r="CU148" s="57">
        <f t="shared" si="72"/>
        <v>10.098705571453516</v>
      </c>
      <c r="CV148" s="57"/>
      <c r="CW148" s="57"/>
      <c r="CX148" s="75">
        <f>НАСТРОЙКА!DR148</f>
        <v>9.446505754379075</v>
      </c>
      <c r="DL148" s="316">
        <f t="shared" si="70"/>
        <v>10.098705571453516</v>
      </c>
      <c r="DN148" s="62">
        <v>2005</v>
      </c>
      <c r="DO148" s="410">
        <f t="shared" si="74"/>
        <v>139.3729</v>
      </c>
      <c r="DP148" s="55">
        <f t="shared" si="75"/>
        <v>21609.765799999997</v>
      </c>
      <c r="DQ148" s="418"/>
      <c r="EF148" s="62">
        <v>2007</v>
      </c>
      <c r="EG148" s="143">
        <v>0.7574655925640286</v>
      </c>
      <c r="EH148" s="63"/>
      <c r="EX148" s="63">
        <f t="shared" si="73"/>
        <v>0.7574655925640286</v>
      </c>
      <c r="EZ148" s="411">
        <v>2005</v>
      </c>
      <c r="FA148" s="123">
        <v>54.4</v>
      </c>
      <c r="FB148" s="232">
        <v>54.4</v>
      </c>
      <c r="FC148" s="407"/>
      <c r="FS148" s="412">
        <v>2005</v>
      </c>
      <c r="FT148" s="409">
        <f t="shared" si="76"/>
        <v>54.4</v>
      </c>
      <c r="FV148" s="283"/>
    </row>
    <row r="149" ht="18" customHeight="1" spans="5:178" x14ac:dyDescent="0.25">
      <c r="E149" s="287" t="s">
        <v>555</v>
      </c>
      <c r="F149" s="287"/>
      <c r="G149" s="287"/>
      <c r="H149" s="327"/>
      <c r="I149" s="382" t="s">
        <v>437</v>
      </c>
      <c r="J149" s="217" t="s">
        <v>556</v>
      </c>
      <c r="K149" s="121" t="s">
        <v>557</v>
      </c>
      <c r="L149" s="121"/>
      <c r="M149" s="121"/>
      <c r="N149" s="121"/>
      <c r="O149" s="218" t="s">
        <v>283</v>
      </c>
      <c r="P149" s="275"/>
      <c r="U149" s="241">
        <f>U55</f>
        <v>2876.5161000000003</v>
      </c>
      <c r="V149" s="242">
        <f t="shared" ref="V149:AJ149" si="82">$U149*V153</f>
        <v>2795.9736492</v>
      </c>
      <c r="W149" s="242">
        <f t="shared" si="82"/>
        <v>2835.1172802888004</v>
      </c>
      <c r="X149" s="242">
        <f t="shared" si="82"/>
        <v>2690.5262989940716</v>
      </c>
      <c r="Y149" s="242">
        <f t="shared" si="82"/>
        <v>2846.576824335728</v>
      </c>
      <c r="Z149" s="242">
        <f t="shared" si="82"/>
        <v>3114.1550458232864</v>
      </c>
      <c r="AA149" s="242">
        <f t="shared" si="82"/>
        <v>3266.748643068627</v>
      </c>
      <c r="AB149" s="242">
        <f t="shared" si="82"/>
        <v>3410.485583363647</v>
      </c>
      <c r="AC149" s="242">
        <f t="shared" si="82"/>
        <v>3669.6824876992846</v>
      </c>
      <c r="AD149" s="242">
        <f t="shared" si="82"/>
        <v>3963.257086715227</v>
      </c>
      <c r="AE149" s="320">
        <f t="shared" si="82"/>
        <v>4189.162740657995</v>
      </c>
      <c r="AF149" s="242">
        <f t="shared" si="82"/>
        <v>4561.998224576556</v>
      </c>
      <c r="AG149" s="279">
        <f t="shared" si="82"/>
        <v>4963.454068339293</v>
      </c>
      <c r="AH149" s="279">
        <f t="shared" si="82"/>
        <v>5211.626771756258</v>
      </c>
      <c r="AI149" s="279">
        <f t="shared" si="82"/>
        <v>4825.966390646295</v>
      </c>
      <c r="AJ149" s="416">
        <f t="shared" si="82"/>
        <v>5067.26471017861</v>
      </c>
      <c r="AK149" s="279">
        <f t="shared" ref="AK149:AR149" si="83">$U149*AK153</f>
        <v>5285.15709271629</v>
      </c>
      <c r="AL149" s="279">
        <f t="shared" si="83"/>
        <v>5491.2782193322255</v>
      </c>
      <c r="AM149" s="279">
        <f t="shared" si="83"/>
        <v>5606.595061938202</v>
      </c>
      <c r="AN149" s="279">
        <f t="shared" si="83"/>
        <v>5651.447822433708</v>
      </c>
      <c r="AO149" s="417">
        <f t="shared" si="83"/>
        <v>5577.97900074207</v>
      </c>
      <c r="AP149" s="232">
        <f t="shared" si="83"/>
        <v>5644.9147487509745</v>
      </c>
      <c r="AQ149" s="232">
        <f t="shared" si="83"/>
        <v>5786.0376174697485</v>
      </c>
      <c r="AR149" s="232">
        <f t="shared" si="83"/>
        <v>5930.688557906492</v>
      </c>
      <c r="AT149" s="226"/>
      <c r="BO149" s="281" t="str">
        <f t="shared" si="65"/>
        <v>XS</v>
      </c>
      <c r="CQ149" s="62">
        <v>2008</v>
      </c>
      <c r="CR149" s="326">
        <f t="shared" si="71"/>
        <v>18.148201301963624</v>
      </c>
      <c r="CS149" s="46">
        <v>0.7468610742681322</v>
      </c>
      <c r="CT149" s="55">
        <v>216.7125</v>
      </c>
      <c r="CU149" s="57">
        <f t="shared" si="72"/>
        <v>11.941266045828566</v>
      </c>
      <c r="CV149" s="57"/>
      <c r="CW149" s="57"/>
      <c r="CX149" s="75">
        <f>НАСТРОЙКА!DR149</f>
        <v>10.701001718560617</v>
      </c>
      <c r="DL149" s="316">
        <f t="shared" si="70"/>
        <v>11.941266045828566</v>
      </c>
      <c r="DN149" s="62">
        <v>2006</v>
      </c>
      <c r="DO149" s="410">
        <f t="shared" si="74"/>
        <v>154.5876</v>
      </c>
      <c r="DP149" s="55">
        <f t="shared" si="75"/>
        <v>26917.2037</v>
      </c>
      <c r="DQ149" s="418"/>
      <c r="EF149" s="62">
        <v>2008</v>
      </c>
      <c r="EG149" s="143">
        <v>0.7468610742681322</v>
      </c>
      <c r="EH149" s="63"/>
      <c r="EX149" s="63">
        <f t="shared" si="73"/>
        <v>0.7468610742681322</v>
      </c>
      <c r="EZ149" s="411">
        <v>2006</v>
      </c>
      <c r="FA149" s="123">
        <v>65.4</v>
      </c>
      <c r="FB149" s="232">
        <v>65.4</v>
      </c>
      <c r="FC149" s="407"/>
      <c r="FS149" s="412">
        <v>2006</v>
      </c>
      <c r="FT149" s="409">
        <f t="shared" si="76"/>
        <v>65.4</v>
      </c>
      <c r="FV149" s="283"/>
    </row>
    <row r="150" ht="18" customHeight="1" spans="10:178" x14ac:dyDescent="0.25">
      <c r="J150" s="217"/>
      <c r="K150" s="119"/>
      <c r="L150" s="119"/>
      <c r="M150" s="119"/>
      <c r="N150" s="119"/>
      <c r="O150" s="218"/>
      <c r="P150" s="420">
        <v>1990</v>
      </c>
      <c r="Q150" s="184">
        <v>1991</v>
      </c>
      <c r="R150" s="184">
        <v>1992</v>
      </c>
      <c r="S150" s="184">
        <v>1993</v>
      </c>
      <c r="T150" s="184">
        <v>1994</v>
      </c>
      <c r="U150" s="421">
        <v>1995</v>
      </c>
      <c r="V150" s="422">
        <v>1996</v>
      </c>
      <c r="W150" s="422">
        <v>1997</v>
      </c>
      <c r="X150" s="422">
        <v>1998</v>
      </c>
      <c r="Y150" s="422">
        <v>1999</v>
      </c>
      <c r="Z150" s="421">
        <v>2000</v>
      </c>
      <c r="AA150" s="422">
        <v>2001</v>
      </c>
      <c r="AB150" s="422">
        <v>2002</v>
      </c>
      <c r="AC150" s="422">
        <v>2003</v>
      </c>
      <c r="AD150" s="422">
        <v>2004</v>
      </c>
      <c r="AE150" s="423">
        <v>2005</v>
      </c>
      <c r="AF150" s="424">
        <v>2006</v>
      </c>
      <c r="AG150" s="425">
        <v>2007</v>
      </c>
      <c r="AH150" s="426">
        <v>2008</v>
      </c>
      <c r="AI150" s="427">
        <v>2009</v>
      </c>
      <c r="AJ150" s="428">
        <v>2010</v>
      </c>
      <c r="AK150" s="427">
        <v>2011</v>
      </c>
      <c r="AL150" s="429">
        <v>2012</v>
      </c>
      <c r="AM150" s="427">
        <v>2013</v>
      </c>
      <c r="AN150" s="427">
        <v>2014</v>
      </c>
      <c r="AO150" s="430">
        <v>2015</v>
      </c>
      <c r="AP150" s="427">
        <v>2016</v>
      </c>
      <c r="AQ150" s="431">
        <v>2017</v>
      </c>
      <c r="AR150" s="427">
        <v>2018</v>
      </c>
      <c r="AS150" s="427">
        <v>2019</v>
      </c>
      <c r="AT150" s="432">
        <v>2020</v>
      </c>
      <c r="AU150" s="427">
        <v>2021</v>
      </c>
      <c r="AV150" s="427">
        <v>2022</v>
      </c>
      <c r="AW150" s="431">
        <v>2023</v>
      </c>
      <c r="AX150" s="427">
        <v>2024</v>
      </c>
      <c r="AY150" s="427">
        <v>2025</v>
      </c>
      <c r="AZ150" s="431">
        <v>2026</v>
      </c>
      <c r="BA150" s="427">
        <v>2027</v>
      </c>
      <c r="BB150" s="427">
        <v>2028</v>
      </c>
      <c r="BC150" s="431">
        <v>2029</v>
      </c>
      <c r="BD150" s="427">
        <v>2030</v>
      </c>
      <c r="BE150" s="427">
        <v>2031</v>
      </c>
      <c r="BF150" s="431">
        <v>2032</v>
      </c>
      <c r="BG150" s="427">
        <v>2033</v>
      </c>
      <c r="BH150" s="427">
        <v>2034</v>
      </c>
      <c r="BI150" s="431">
        <v>2035</v>
      </c>
      <c r="BJ150" s="427">
        <v>2036</v>
      </c>
      <c r="BK150" s="427">
        <v>2037</v>
      </c>
      <c r="BL150" s="431">
        <v>2038</v>
      </c>
      <c r="BM150" s="427">
        <v>2039</v>
      </c>
      <c r="BN150" s="427">
        <v>2040</v>
      </c>
      <c r="BO150" s="281"/>
      <c r="CQ150" s="62">
        <v>2009</v>
      </c>
      <c r="CR150" s="326">
        <f t="shared" si="71"/>
        <v>16.696345197806533</v>
      </c>
      <c r="CS150" s="46">
        <v>0.6871121883266816</v>
      </c>
      <c r="CT150" s="55">
        <v>216.9964</v>
      </c>
      <c r="CU150" s="57">
        <f t="shared" si="72"/>
        <v>12.996640727607122</v>
      </c>
      <c r="CV150" s="57"/>
      <c r="CW150" s="57"/>
      <c r="CX150" s="75">
        <f>НАСТРОЙКА!DR150</f>
        <v>11.642689869793951</v>
      </c>
      <c r="DL150" s="316">
        <f t="shared" si="70"/>
        <v>12.996640727607122</v>
      </c>
      <c r="DN150" s="62">
        <v>2007</v>
      </c>
      <c r="DO150" s="410">
        <f t="shared" si="74"/>
        <v>185.8756</v>
      </c>
      <c r="DP150" s="55">
        <f t="shared" si="75"/>
        <v>33247.5132</v>
      </c>
      <c r="DQ150" s="418"/>
      <c r="EF150" s="62">
        <v>2009</v>
      </c>
      <c r="EG150" s="143">
        <v>0.6871121883266816</v>
      </c>
      <c r="EH150" s="63"/>
      <c r="EX150" s="63">
        <f t="shared" si="73"/>
        <v>0.6871121883266816</v>
      </c>
      <c r="EZ150" s="411">
        <v>2007</v>
      </c>
      <c r="FA150" s="123">
        <v>72.7</v>
      </c>
      <c r="FB150" s="232">
        <f>FB149+0.87*(FB149-FB148)</f>
        <v>74.97000000000001</v>
      </c>
      <c r="FC150" s="407"/>
      <c r="FS150" s="412">
        <v>2007</v>
      </c>
      <c r="FT150" s="409">
        <f t="shared" si="76"/>
        <v>72.7</v>
      </c>
      <c r="FV150" s="283"/>
    </row>
    <row r="151" ht="18" customHeight="1" spans="9:178" x14ac:dyDescent="0.25">
      <c r="I151" s="195" t="s">
        <v>292</v>
      </c>
      <c r="J151" s="217" t="s">
        <v>381</v>
      </c>
      <c r="K151" s="121" t="s">
        <v>558</v>
      </c>
      <c r="L151" s="121"/>
      <c r="M151" s="121"/>
      <c r="N151" s="121"/>
      <c r="O151" s="218" t="s">
        <v>299</v>
      </c>
      <c r="P151" s="433"/>
      <c r="U151" s="277">
        <v>1</v>
      </c>
      <c r="V151" s="270">
        <f t="shared" ref="V151:AI152" si="84">U151*V126</f>
        <v>1.218</v>
      </c>
      <c r="W151" s="270">
        <f t="shared" si="84"/>
        <v>1.3519800000000002</v>
      </c>
      <c r="X151" s="270">
        <f t="shared" si="84"/>
        <v>2.4930511200000005</v>
      </c>
      <c r="Y151" s="270">
        <f t="shared" si="84"/>
        <v>3.4030147788000007</v>
      </c>
      <c r="Z151" s="289">
        <f t="shared" si="84"/>
        <v>4.090423764117601</v>
      </c>
      <c r="AA151" s="434">
        <f t="shared" si="84"/>
        <v>4.851242584243474</v>
      </c>
      <c r="AB151" s="434">
        <f t="shared" si="84"/>
        <v>5.583780214464239</v>
      </c>
      <c r="AC151" s="434">
        <f t="shared" si="84"/>
        <v>6.253833840199949</v>
      </c>
      <c r="AD151" s="434">
        <f t="shared" si="84"/>
        <v>6.9855323995033425</v>
      </c>
      <c r="AE151" s="320">
        <f t="shared" si="84"/>
        <v>7.746955431049207</v>
      </c>
      <c r="AF151" s="434">
        <f t="shared" si="84"/>
        <v>8.444181419843636</v>
      </c>
      <c r="AG151" s="434">
        <f t="shared" si="84"/>
        <v>9.446505754379075</v>
      </c>
      <c r="AH151" s="434">
        <f t="shared" si="84"/>
        <v>10.701001718560617</v>
      </c>
      <c r="AI151" s="434">
        <f t="shared" si="84"/>
        <v>11.642689869793951</v>
      </c>
      <c r="AJ151" s="363">
        <f t="shared" ref="AJ151:AP152" si="85">AI151*AJ126</f>
        <v>12.664918040361862</v>
      </c>
      <c r="AK151" s="434">
        <f t="shared" si="85"/>
        <v>13.437478040823935</v>
      </c>
      <c r="AL151" s="434">
        <f t="shared" si="85"/>
        <v>14.321664095910151</v>
      </c>
      <c r="AM151" s="434">
        <f t="shared" si="85"/>
        <v>15.245411430096356</v>
      </c>
      <c r="AN151" s="434">
        <f t="shared" si="85"/>
        <v>17.31878738458946</v>
      </c>
      <c r="AO151" s="435">
        <f t="shared" si="85"/>
        <v>19.5529109572015</v>
      </c>
      <c r="AP151" s="434">
        <f t="shared" si="85"/>
        <v>20.608768148890384</v>
      </c>
      <c r="AQ151" s="434">
        <f>AP151*AQ126</f>
        <v>21.12398735261264</v>
      </c>
      <c r="AR151" s="434">
        <f>AQ151*AR126</f>
        <v>22.03231880877498</v>
      </c>
      <c r="AS151" s="434">
        <f>AR151*AS126</f>
        <v>22.693288373038232</v>
      </c>
      <c r="AT151" s="226"/>
      <c r="BO151" s="281" t="str">
        <f t="shared" ref="BO151:BO182" si="86">J151</f>
        <v>IPC</v>
      </c>
      <c r="BP151" s="195" t="s">
        <v>292</v>
      </c>
      <c r="CQ151" s="62">
        <v>2010</v>
      </c>
      <c r="CR151" s="326">
        <f t="shared" si="71"/>
        <v>16.6128634718175</v>
      </c>
      <c r="CS151" s="46">
        <v>0.6836766273850482</v>
      </c>
      <c r="CT151" s="55">
        <v>225.726</v>
      </c>
      <c r="CU151" s="57">
        <f t="shared" si="72"/>
        <v>13.587422805401822</v>
      </c>
      <c r="CV151" s="57">
        <f>CU151</f>
        <v>13.587422805401822</v>
      </c>
      <c r="CW151" s="57"/>
      <c r="CX151" s="75">
        <f>НАСТРОЙКА!DR151</f>
        <v>12.664918040361862</v>
      </c>
      <c r="DL151" s="316">
        <f t="shared" si="70"/>
        <v>13.587422805401822</v>
      </c>
      <c r="DN151" s="62">
        <v>2008</v>
      </c>
      <c r="DO151" s="410">
        <f t="shared" si="74"/>
        <v>216.7125</v>
      </c>
      <c r="DP151" s="55">
        <f t="shared" si="75"/>
        <v>41276.8492</v>
      </c>
      <c r="DQ151" s="418"/>
      <c r="EF151" s="62">
        <v>2010</v>
      </c>
      <c r="EG151" s="143">
        <v>0.6836766273850482</v>
      </c>
      <c r="EH151" s="63"/>
      <c r="EX151" s="63">
        <f t="shared" si="73"/>
        <v>0.6836766273850482</v>
      </c>
      <c r="EZ151" s="411">
        <v>2008</v>
      </c>
      <c r="FA151" s="123">
        <v>97.7</v>
      </c>
      <c r="FB151" s="232">
        <f t="shared" ref="FB151:FB173" si="87">FB150+0.87*(FB150-FB149)</f>
        <v>83.29590000000002</v>
      </c>
      <c r="FC151" s="407"/>
      <c r="FS151" s="412">
        <v>2008</v>
      </c>
      <c r="FT151" s="409">
        <f t="shared" si="76"/>
        <v>97.7</v>
      </c>
      <c r="FV151" s="283"/>
    </row>
    <row r="152" ht="18" customHeight="1" spans="9:178" x14ac:dyDescent="0.25">
      <c r="I152" s="195" t="s">
        <v>292</v>
      </c>
      <c r="J152" s="217" t="s">
        <v>559</v>
      </c>
      <c r="K152" s="121" t="s">
        <v>560</v>
      </c>
      <c r="L152" s="121"/>
      <c r="M152" s="121"/>
      <c r="N152" s="121"/>
      <c r="O152" s="218" t="s">
        <v>299</v>
      </c>
      <c r="P152" s="433"/>
      <c r="U152" s="277">
        <v>1</v>
      </c>
      <c r="V152" s="270">
        <f t="shared" si="84"/>
        <v>0.964</v>
      </c>
      <c r="W152" s="270">
        <f t="shared" si="84"/>
        <v>0.977496</v>
      </c>
      <c r="X152" s="270">
        <f t="shared" si="84"/>
        <v>0.925688712</v>
      </c>
      <c r="Y152" s="270">
        <f t="shared" si="84"/>
        <v>0.9849327895680001</v>
      </c>
      <c r="Z152" s="289">
        <f t="shared" si="84"/>
        <v>1.0834260685248003</v>
      </c>
      <c r="AA152" s="270">
        <f t="shared" si="84"/>
        <v>1.138680798019565</v>
      </c>
      <c r="AB152" s="270">
        <f t="shared" si="84"/>
        <v>1.1921987955264846</v>
      </c>
      <c r="AC152" s="270">
        <f t="shared" si="84"/>
        <v>1.279229307599918</v>
      </c>
      <c r="AD152" s="270">
        <f t="shared" si="84"/>
        <v>1.3713338177471122</v>
      </c>
      <c r="AE152" s="320">
        <f t="shared" si="84"/>
        <v>1.4590991820829273</v>
      </c>
      <c r="AF152" s="270">
        <f t="shared" si="84"/>
        <v>1.5787453150137274</v>
      </c>
      <c r="AG152" s="270">
        <f t="shared" ref="AG152:AN152" si="88">AF152*AG127</f>
        <v>1.7129386667898943</v>
      </c>
      <c r="AH152" s="270">
        <f t="shared" si="88"/>
        <v>1.8020114774629687</v>
      </c>
      <c r="AI152" s="271">
        <f t="shared" si="88"/>
        <v>1.6596525707433942</v>
      </c>
      <c r="AJ152" s="299">
        <f t="shared" si="88"/>
        <v>1.7343369364268468</v>
      </c>
      <c r="AK152" s="434">
        <f t="shared" si="88"/>
        <v>1.808913424693201</v>
      </c>
      <c r="AL152" s="434">
        <f t="shared" si="88"/>
        <v>1.8750455190419226</v>
      </c>
      <c r="AM152" s="434">
        <f t="shared" si="88"/>
        <v>1.9085217286102596</v>
      </c>
      <c r="AN152" s="434">
        <f t="shared" si="88"/>
        <v>1.9226180848563927</v>
      </c>
      <c r="AO152" s="435">
        <f t="shared" si="85"/>
        <v>1.8783978689046956</v>
      </c>
      <c r="AP152" s="434">
        <f t="shared" si="85"/>
        <v>1.882154664642505</v>
      </c>
      <c r="AQ152" s="434">
        <f>AP152*AQ127</f>
        <v>1.91603344860607</v>
      </c>
      <c r="AR152" s="434">
        <f>AQ152*AR127</f>
        <v>1.96968238516704</v>
      </c>
      <c r="AT152" s="226"/>
      <c r="BO152" s="281" t="str">
        <f t="shared" si="86"/>
        <v>Рw</v>
      </c>
      <c r="BP152" s="195" t="s">
        <v>292</v>
      </c>
      <c r="CQ152" s="62">
        <v>2011</v>
      </c>
      <c r="CR152" s="326">
        <f t="shared" si="71"/>
        <v>15.798833161698441</v>
      </c>
      <c r="CS152" s="46">
        <v>0.6501764726431808</v>
      </c>
      <c r="CT152" s="55">
        <v>225.3324</v>
      </c>
      <c r="CU152" s="57">
        <f t="shared" si="72"/>
        <v>14.262597604124318</v>
      </c>
      <c r="CV152" s="57">
        <f t="shared" ref="CV152:CV156" si="89">CU152</f>
        <v>14.262597604124318</v>
      </c>
      <c r="CW152" s="57"/>
      <c r="CX152" s="75">
        <f>НАСТРОЙКА!DR152</f>
        <v>13.437478040823935</v>
      </c>
      <c r="DL152" s="316">
        <f t="shared" si="70"/>
        <v>14.262597604124318</v>
      </c>
      <c r="DN152" s="62">
        <v>2009</v>
      </c>
      <c r="DO152" s="410">
        <f t="shared" si="74"/>
        <v>216.9964</v>
      </c>
      <c r="DP152" s="55">
        <f t="shared" si="75"/>
        <v>38807.270899999996</v>
      </c>
      <c r="DQ152" s="418"/>
      <c r="EF152" s="62">
        <v>2011</v>
      </c>
      <c r="EG152" s="143">
        <v>0.6501764726431808</v>
      </c>
      <c r="EH152" s="63"/>
      <c r="EX152" s="63">
        <f t="shared" si="73"/>
        <v>0.6501764726431808</v>
      </c>
      <c r="EZ152" s="411">
        <v>2009</v>
      </c>
      <c r="FA152" s="123">
        <v>61.9</v>
      </c>
      <c r="FB152" s="232">
        <f t="shared" si="87"/>
        <v>90.53943300000002</v>
      </c>
      <c r="FC152" s="407"/>
      <c r="FS152" s="412">
        <v>2009</v>
      </c>
      <c r="FT152" s="409">
        <f t="shared" si="76"/>
        <v>61.9</v>
      </c>
      <c r="FV152" s="283"/>
    </row>
    <row r="153" ht="18" customHeight="1" spans="9:178" x14ac:dyDescent="0.25">
      <c r="I153" s="195" t="s">
        <v>292</v>
      </c>
      <c r="J153" s="217" t="s">
        <v>561</v>
      </c>
      <c r="K153" s="121" t="s">
        <v>562</v>
      </c>
      <c r="L153" s="121"/>
      <c r="M153" s="121"/>
      <c r="N153" s="121"/>
      <c r="O153" s="218" t="s">
        <v>299</v>
      </c>
      <c r="P153" s="433"/>
      <c r="U153" s="277">
        <v>1</v>
      </c>
      <c r="V153" s="270">
        <f t="shared" ref="V153:AJ153" si="90">U153*V129</f>
        <v>0.972</v>
      </c>
      <c r="W153" s="270">
        <f t="shared" si="90"/>
        <v>0.985608</v>
      </c>
      <c r="X153" s="270">
        <f t="shared" si="90"/>
        <v>0.935341992</v>
      </c>
      <c r="Y153" s="270">
        <f t="shared" si="90"/>
        <v>0.9895918275360001</v>
      </c>
      <c r="Z153" s="289">
        <f t="shared" si="90"/>
        <v>1.0826134593243841</v>
      </c>
      <c r="AA153" s="270">
        <f t="shared" si="90"/>
        <v>1.1356615188312789</v>
      </c>
      <c r="AB153" s="270">
        <f t="shared" si="90"/>
        <v>1.1856306256598552</v>
      </c>
      <c r="AC153" s="270">
        <f t="shared" si="90"/>
        <v>1.2757385532100043</v>
      </c>
      <c r="AD153" s="270">
        <f t="shared" si="90"/>
        <v>1.3777976374668046</v>
      </c>
      <c r="AE153" s="320">
        <f t="shared" si="90"/>
        <v>1.4563321028024123</v>
      </c>
      <c r="AF153" s="270">
        <f t="shared" si="90"/>
        <v>1.585945659951827</v>
      </c>
      <c r="AG153" s="270">
        <f t="shared" si="90"/>
        <v>1.7255088780275878</v>
      </c>
      <c r="AH153" s="270">
        <f t="shared" si="90"/>
        <v>1.8117843219289673</v>
      </c>
      <c r="AI153" s="271">
        <f t="shared" si="90"/>
        <v>1.6777122821062238</v>
      </c>
      <c r="AJ153" s="299">
        <f t="shared" si="90"/>
        <v>1.761597896211535</v>
      </c>
      <c r="AK153" s="434">
        <f t="shared" ref="AK153:AP153" si="91">AJ153*AK129</f>
        <v>1.837346605748631</v>
      </c>
      <c r="AL153" s="434">
        <f t="shared" si="91"/>
        <v>1.9090031233728277</v>
      </c>
      <c r="AM153" s="434">
        <f t="shared" si="91"/>
        <v>1.949092188963657</v>
      </c>
      <c r="AN153" s="434">
        <f t="shared" si="91"/>
        <v>1.9646849264753663</v>
      </c>
      <c r="AO153" s="435">
        <f t="shared" si="91"/>
        <v>1.9391440224311864</v>
      </c>
      <c r="AP153" s="434">
        <f t="shared" si="91"/>
        <v>1.9624137507003607</v>
      </c>
      <c r="AQ153" s="434">
        <f>AP153*AQ129</f>
        <v>2.0114740944678697</v>
      </c>
      <c r="AR153" s="434">
        <f>AQ153*AR129</f>
        <v>2.0617609468295663</v>
      </c>
      <c r="AT153" s="226"/>
      <c r="BO153" s="281" t="str">
        <f t="shared" si="86"/>
        <v>Рх</v>
      </c>
      <c r="BP153" s="195" t="s">
        <v>292</v>
      </c>
      <c r="CQ153" s="62">
        <v>2012</v>
      </c>
      <c r="CR153" s="326">
        <f t="shared" si="71"/>
        <v>15.640844830081457</v>
      </c>
      <c r="CS153" s="46">
        <v>0.643674707916749</v>
      </c>
      <c r="CT153" s="55">
        <v>247.44670000000002</v>
      </c>
      <c r="CU153" s="57">
        <f t="shared" si="72"/>
        <v>15.820545673088896</v>
      </c>
      <c r="CV153" s="57">
        <f t="shared" si="89"/>
        <v>15.820545673088896</v>
      </c>
      <c r="CW153" s="57"/>
      <c r="CX153" s="75">
        <f>НАСТРОЙКА!DR153</f>
        <v>14.321664095910151</v>
      </c>
      <c r="DL153" s="316">
        <f t="shared" si="70"/>
        <v>15.820545673088896</v>
      </c>
      <c r="DN153" s="62">
        <v>2010</v>
      </c>
      <c r="DO153" s="410">
        <f t="shared" si="74"/>
        <v>225.726</v>
      </c>
      <c r="DP153" s="55">
        <f t="shared" si="75"/>
        <v>46308.53100000001</v>
      </c>
      <c r="DQ153" s="418"/>
      <c r="EF153" s="62">
        <v>2012</v>
      </c>
      <c r="EG153" s="143">
        <v>0.643674707916749</v>
      </c>
      <c r="EH153" s="63"/>
      <c r="EX153" s="63">
        <f t="shared" si="73"/>
        <v>0.643674707916749</v>
      </c>
      <c r="EZ153" s="411">
        <v>2010</v>
      </c>
      <c r="FA153" s="123">
        <v>79.6</v>
      </c>
      <c r="FB153" s="232">
        <f t="shared" si="87"/>
        <v>96.84130671000001</v>
      </c>
      <c r="FC153" s="407"/>
      <c r="FS153" s="412">
        <v>2010</v>
      </c>
      <c r="FT153" s="409">
        <f t="shared" si="76"/>
        <v>79.6</v>
      </c>
      <c r="FV153" s="283"/>
    </row>
    <row r="154" ht="18" customHeight="1" spans="9:178" x14ac:dyDescent="0.25">
      <c r="I154" s="195" t="s">
        <v>292</v>
      </c>
      <c r="J154" s="217" t="s">
        <v>563</v>
      </c>
      <c r="K154" s="121" t="s">
        <v>564</v>
      </c>
      <c r="L154" s="121"/>
      <c r="M154" s="121"/>
      <c r="N154" s="121"/>
      <c r="O154" s="218" t="s">
        <v>299</v>
      </c>
      <c r="P154" s="433"/>
      <c r="U154" s="277">
        <v>1</v>
      </c>
      <c r="V154" s="270">
        <f t="shared" ref="V154:AK154" si="92">U154*V129</f>
        <v>0.972</v>
      </c>
      <c r="W154" s="270">
        <f t="shared" si="92"/>
        <v>0.985608</v>
      </c>
      <c r="X154" s="270">
        <f t="shared" si="92"/>
        <v>0.935341992</v>
      </c>
      <c r="Y154" s="270">
        <f t="shared" si="92"/>
        <v>0.9895918275360001</v>
      </c>
      <c r="Z154" s="289">
        <f t="shared" si="92"/>
        <v>1.0826134593243841</v>
      </c>
      <c r="AA154" s="270">
        <f t="shared" si="92"/>
        <v>1.1356615188312789</v>
      </c>
      <c r="AB154" s="270">
        <f t="shared" si="92"/>
        <v>1.1856306256598552</v>
      </c>
      <c r="AC154" s="270">
        <f t="shared" si="92"/>
        <v>1.2757385532100043</v>
      </c>
      <c r="AD154" s="270">
        <f t="shared" si="92"/>
        <v>1.3777976374668046</v>
      </c>
      <c r="AE154" s="320">
        <f t="shared" si="92"/>
        <v>1.4563321028024123</v>
      </c>
      <c r="AF154" s="270">
        <f t="shared" si="92"/>
        <v>1.585945659951827</v>
      </c>
      <c r="AG154" s="270">
        <f t="shared" si="92"/>
        <v>1.7255088780275878</v>
      </c>
      <c r="AH154" s="270">
        <f t="shared" si="92"/>
        <v>1.8117843219289673</v>
      </c>
      <c r="AI154" s="271">
        <f t="shared" si="92"/>
        <v>1.6777122821062238</v>
      </c>
      <c r="AJ154" s="299">
        <f t="shared" si="92"/>
        <v>1.761597896211535</v>
      </c>
      <c r="AK154" s="271">
        <f t="shared" si="92"/>
        <v>1.837346605748631</v>
      </c>
      <c r="AL154" s="271">
        <f t="shared" ref="AL154:AR154" si="93">AK154*AL129</f>
        <v>1.9090031233728277</v>
      </c>
      <c r="AM154" s="271">
        <f t="shared" si="93"/>
        <v>1.949092188963657</v>
      </c>
      <c r="AN154" s="271">
        <f t="shared" si="93"/>
        <v>1.9646849264753663</v>
      </c>
      <c r="AO154" s="299">
        <f t="shared" si="93"/>
        <v>1.9391440224311864</v>
      </c>
      <c r="AP154" s="271">
        <f t="shared" si="93"/>
        <v>1.9624137507003607</v>
      </c>
      <c r="AQ154" s="271">
        <f t="shared" si="93"/>
        <v>2.0114740944678697</v>
      </c>
      <c r="AR154" s="271">
        <f t="shared" si="93"/>
        <v>2.0617609468295663</v>
      </c>
      <c r="AT154" s="226"/>
      <c r="BO154" s="281" t="str">
        <f t="shared" si="86"/>
        <v>РОх</v>
      </c>
      <c r="BP154" s="195" t="s">
        <v>292</v>
      </c>
      <c r="CQ154" s="62">
        <v>2013</v>
      </c>
      <c r="CR154" s="326">
        <f t="shared" si="71"/>
        <v>15.453154692120481</v>
      </c>
      <c r="CS154" s="46">
        <v>0.635950611421748</v>
      </c>
      <c r="CT154" s="55">
        <v>257.1967</v>
      </c>
      <c r="CU154" s="57">
        <f t="shared" si="72"/>
        <v>16.64363718116042</v>
      </c>
      <c r="CV154" s="57">
        <f t="shared" si="89"/>
        <v>16.64363718116042</v>
      </c>
      <c r="CW154" s="57"/>
      <c r="CX154" s="75">
        <f>НАСТРОЙКА!DR154</f>
        <v>15.245411430096356</v>
      </c>
      <c r="DL154" s="316">
        <f t="shared" si="70"/>
        <v>16.64363718116042</v>
      </c>
      <c r="DN154" s="62">
        <v>2011</v>
      </c>
      <c r="DO154" s="410">
        <f t="shared" si="74"/>
        <v>225.3324</v>
      </c>
      <c r="DP154" s="55">
        <f t="shared" si="75"/>
        <v>60282.540400000005</v>
      </c>
      <c r="DQ154" s="418"/>
      <c r="EF154" s="62">
        <v>2013</v>
      </c>
      <c r="EG154" s="143">
        <v>0.635950611421748</v>
      </c>
      <c r="EH154" s="63"/>
      <c r="EX154" s="63">
        <f t="shared" si="73"/>
        <v>0.635950611421748</v>
      </c>
      <c r="EZ154" s="411">
        <v>2011</v>
      </c>
      <c r="FA154" s="123">
        <v>111</v>
      </c>
      <c r="FB154" s="232">
        <f t="shared" si="87"/>
        <v>102.3239368377</v>
      </c>
      <c r="FC154" s="407"/>
      <c r="FS154" s="412">
        <v>2011</v>
      </c>
      <c r="FT154" s="409">
        <f t="shared" si="76"/>
        <v>111</v>
      </c>
      <c r="FV154" s="283"/>
    </row>
    <row r="155" ht="18" customHeight="1" spans="5:178" x14ac:dyDescent="0.25">
      <c r="E155" s="287" t="s">
        <v>565</v>
      </c>
      <c r="F155" s="287"/>
      <c r="G155" s="287"/>
      <c r="H155" s="327"/>
      <c r="I155" s="195" t="s">
        <v>292</v>
      </c>
      <c r="J155" s="217" t="s">
        <v>566</v>
      </c>
      <c r="K155" s="121" t="s">
        <v>567</v>
      </c>
      <c r="L155" s="121"/>
      <c r="M155" s="121"/>
      <c r="N155" s="121"/>
      <c r="O155" s="218" t="s">
        <v>299</v>
      </c>
      <c r="P155" s="433"/>
      <c r="U155" s="277">
        <v>1</v>
      </c>
      <c r="V155" s="270">
        <f t="shared" ref="V155:AK155" si="94">V145/$U145</f>
        <v>0.979892406825658</v>
      </c>
      <c r="W155" s="270">
        <f t="shared" si="94"/>
        <v>0.9936109005212174</v>
      </c>
      <c r="X155" s="270">
        <f t="shared" si="94"/>
        <v>0.9448654436202487</v>
      </c>
      <c r="Y155" s="270">
        <f t="shared" si="94"/>
        <v>0.9941882054184558</v>
      </c>
      <c r="Z155" s="289">
        <f t="shared" si="94"/>
        <v>1.08181177902439</v>
      </c>
      <c r="AA155" s="270">
        <f t="shared" si="94"/>
        <v>1.1326828463720047</v>
      </c>
      <c r="AB155" s="270">
        <f t="shared" si="94"/>
        <v>1.1791507920739224</v>
      </c>
      <c r="AC155" s="270">
        <f t="shared" si="94"/>
        <v>1.2722947464882988</v>
      </c>
      <c r="AD155" s="270">
        <f t="shared" si="94"/>
        <v>1.3841745243262458</v>
      </c>
      <c r="AE155" s="320">
        <f t="shared" si="94"/>
        <v>1.4536022383773288</v>
      </c>
      <c r="AF155" s="270">
        <f t="shared" si="94"/>
        <v>1.5930491663938962</v>
      </c>
      <c r="AG155" s="270">
        <f t="shared" si="94"/>
        <v>1.7379100306491306</v>
      </c>
      <c r="AH155" s="270">
        <f t="shared" si="94"/>
        <v>1.8214257299751602</v>
      </c>
      <c r="AI155" s="271">
        <f t="shared" si="94"/>
        <v>1.6955291057599</v>
      </c>
      <c r="AJ155" s="299">
        <f t="shared" si="94"/>
        <v>1.788492219346368</v>
      </c>
      <c r="AK155" s="434">
        <f t="shared" si="94"/>
        <v>1.8653973847782621</v>
      </c>
      <c r="AL155" s="434">
        <f t="shared" ref="AL155:AR155" si="95">AL145/$U145</f>
        <v>1.9425040268983567</v>
      </c>
      <c r="AM155" s="434">
        <f t="shared" si="95"/>
        <v>1.9891170112403125</v>
      </c>
      <c r="AN155" s="434">
        <f t="shared" si="95"/>
        <v>2.0061860049662994</v>
      </c>
      <c r="AO155" s="435">
        <f t="shared" si="95"/>
        <v>1.999073192021805</v>
      </c>
      <c r="AP155" s="434">
        <f t="shared" si="95"/>
        <v>2.041593420528373</v>
      </c>
      <c r="AQ155" s="434">
        <f t="shared" si="95"/>
        <v>2.1056311450734793</v>
      </c>
      <c r="AR155" s="434">
        <f t="shared" si="95"/>
        <v>2.152601130399828</v>
      </c>
      <c r="AT155" s="226"/>
      <c r="BO155" s="281" t="str">
        <f t="shared" si="86"/>
        <v>Рz</v>
      </c>
      <c r="BP155" s="195" t="s">
        <v>292</v>
      </c>
      <c r="CQ155" s="62">
        <v>2014</v>
      </c>
      <c r="CR155" s="326">
        <f t="shared" si="71"/>
        <v>15.453154692120481</v>
      </c>
      <c r="CS155" s="46">
        <v>0.635950611421748</v>
      </c>
      <c r="CT155" s="55">
        <v>290.191</v>
      </c>
      <c r="CU155" s="57">
        <f t="shared" si="72"/>
        <v>18.778754615584578</v>
      </c>
      <c r="CV155" s="57">
        <f t="shared" si="89"/>
        <v>18.778754615584578</v>
      </c>
      <c r="CW155" s="57"/>
      <c r="CX155" s="75">
        <f>НАСТРОЙКА!DR155</f>
        <v>17.31878738458946</v>
      </c>
      <c r="DL155" s="316">
        <f t="shared" si="70"/>
        <v>18.778754615584578</v>
      </c>
      <c r="DN155" s="62">
        <v>2012</v>
      </c>
      <c r="DO155" s="410">
        <f t="shared" si="74"/>
        <v>247.44670000000002</v>
      </c>
      <c r="DP155" s="55">
        <f t="shared" si="75"/>
        <v>68163.8831</v>
      </c>
      <c r="DQ155" s="418"/>
      <c r="EF155" s="62">
        <v>2014</v>
      </c>
      <c r="EG155" s="143">
        <v>0.635950611421748</v>
      </c>
      <c r="EH155" s="63"/>
      <c r="EX155" s="63">
        <f t="shared" si="73"/>
        <v>0.635950611421748</v>
      </c>
      <c r="EZ155" s="411">
        <v>2012</v>
      </c>
      <c r="FA155" s="123">
        <v>111.4</v>
      </c>
      <c r="FB155" s="232">
        <f t="shared" si="87"/>
        <v>107.09382504879899</v>
      </c>
      <c r="FC155" s="407"/>
      <c r="FS155" s="412">
        <v>2012</v>
      </c>
      <c r="FT155" s="409">
        <f t="shared" si="76"/>
        <v>111.4</v>
      </c>
      <c r="FV155" s="283"/>
    </row>
    <row r="156" ht="18" customHeight="1" spans="9:178" x14ac:dyDescent="0.25">
      <c r="I156" s="195" t="s">
        <v>292</v>
      </c>
      <c r="J156" s="217" t="s">
        <v>568</v>
      </c>
      <c r="K156" s="121" t="s">
        <v>569</v>
      </c>
      <c r="L156" s="121"/>
      <c r="M156" s="121"/>
      <c r="N156" s="121"/>
      <c r="O156" s="218" t="s">
        <v>299</v>
      </c>
      <c r="P156" s="433"/>
      <c r="U156" s="277">
        <v>1</v>
      </c>
      <c r="V156" s="270">
        <f>U156*V132</f>
        <v>0.788</v>
      </c>
      <c r="W156" s="270">
        <f t="shared" ref="W156:AP156" si="96">V156*W132</f>
        <v>0.7257480000000001</v>
      </c>
      <c r="X156" s="270">
        <f t="shared" si="96"/>
        <v>0.635755248</v>
      </c>
      <c r="Y156" s="270">
        <f t="shared" si="96"/>
        <v>0.6764435838720001</v>
      </c>
      <c r="Z156" s="289">
        <f t="shared" si="96"/>
        <v>0.7988798725528321</v>
      </c>
      <c r="AA156" s="270">
        <f t="shared" si="96"/>
        <v>0.880365619553221</v>
      </c>
      <c r="AB156" s="270">
        <f t="shared" si="96"/>
        <v>0.9050158569007112</v>
      </c>
      <c r="AC156" s="270">
        <f t="shared" si="96"/>
        <v>1.03081306100991</v>
      </c>
      <c r="AD156" s="270">
        <f t="shared" si="96"/>
        <v>1.1606955066971585</v>
      </c>
      <c r="AE156" s="289">
        <f t="shared" si="96"/>
        <v>1.2833622609573379</v>
      </c>
      <c r="AF156" s="271">
        <f t="shared" si="96"/>
        <v>1.5143674679296586</v>
      </c>
      <c r="AG156" s="271">
        <f t="shared" si="96"/>
        <v>1.8323846361948868</v>
      </c>
      <c r="AH156" s="271">
        <f t="shared" si="96"/>
        <v>2.026617407631545</v>
      </c>
      <c r="AI156" s="271">
        <f t="shared" si="96"/>
        <v>1.7347845009326024</v>
      </c>
      <c r="AJ156" s="299">
        <f t="shared" si="96"/>
        <v>1.8371367864876262</v>
      </c>
      <c r="AK156" s="271">
        <f t="shared" si="96"/>
        <v>2.0043162340580003</v>
      </c>
      <c r="AL156" s="271">
        <f t="shared" si="96"/>
        <v>2.1045320457609002</v>
      </c>
      <c r="AM156" s="271">
        <f t="shared" si="96"/>
        <v>2.131890962355792</v>
      </c>
      <c r="AN156" s="271">
        <f t="shared" si="96"/>
        <v>2.0935169250333874</v>
      </c>
      <c r="AO156" s="299">
        <f t="shared" si="96"/>
        <v>1.869510614054815</v>
      </c>
      <c r="AP156" s="271">
        <f t="shared" si="96"/>
        <v>1.8882057201953633</v>
      </c>
      <c r="AQ156" s="271">
        <f>AP156*AQ132</f>
        <v>1.9863924176455223</v>
      </c>
      <c r="AR156" s="271">
        <f>AQ156*AR132</f>
        <v>2.043997797757242</v>
      </c>
      <c r="AT156" s="226"/>
      <c r="BO156" s="281" t="str">
        <f t="shared" si="86"/>
        <v>РOk</v>
      </c>
      <c r="BP156" s="195" t="s">
        <v>292</v>
      </c>
      <c r="CQ156" s="62">
        <v>2015</v>
      </c>
      <c r="CR156" s="326">
        <f t="shared" si="71"/>
        <v>15.005013206048986</v>
      </c>
      <c r="CS156" s="46">
        <v>0.6175080436905173</v>
      </c>
      <c r="CT156" s="55">
        <v>314.087</v>
      </c>
      <c r="CU156" s="57">
        <f t="shared" si="72"/>
        <v>20.93213752543595</v>
      </c>
      <c r="CV156" s="57">
        <f t="shared" si="89"/>
        <v>20.93213752543595</v>
      </c>
      <c r="CW156" s="57"/>
      <c r="CX156" s="75">
        <f>НАСТРОЙКА!DR156</f>
        <v>19.5529109572015</v>
      </c>
      <c r="DL156" s="316">
        <f t="shared" si="70"/>
        <v>20.93213752543595</v>
      </c>
      <c r="DN156" s="62">
        <v>2013</v>
      </c>
      <c r="DO156" s="410">
        <f t="shared" si="74"/>
        <v>257.1967</v>
      </c>
      <c r="DP156" s="55">
        <f t="shared" si="75"/>
        <v>73133.89509999998</v>
      </c>
      <c r="DQ156" s="418"/>
      <c r="EF156" s="62">
        <v>2015</v>
      </c>
      <c r="EG156" s="143">
        <v>0.6175080436905173</v>
      </c>
      <c r="EH156" s="63"/>
      <c r="EX156" s="63">
        <f t="shared" si="73"/>
        <v>0.6175080436905173</v>
      </c>
      <c r="EZ156" s="411">
        <v>2013</v>
      </c>
      <c r="FA156" s="123">
        <v>108.8</v>
      </c>
      <c r="FB156" s="232">
        <f t="shared" si="87"/>
        <v>111.24362779245511</v>
      </c>
      <c r="FC156" s="407"/>
      <c r="FS156" s="412">
        <v>2013</v>
      </c>
      <c r="FT156" s="409">
        <f t="shared" si="76"/>
        <v>108.8</v>
      </c>
      <c r="FV156" s="283"/>
    </row>
    <row r="157" ht="18" customHeight="1" spans="9:178" x14ac:dyDescent="0.25">
      <c r="I157" s="195" t="s">
        <v>292</v>
      </c>
      <c r="J157" s="217" t="s">
        <v>570</v>
      </c>
      <c r="K157" s="121" t="s">
        <v>571</v>
      </c>
      <c r="L157" s="121"/>
      <c r="M157" s="121"/>
      <c r="N157" s="121"/>
      <c r="O157" s="218" t="s">
        <v>299</v>
      </c>
      <c r="P157" s="433"/>
      <c r="U157" s="277">
        <v>1</v>
      </c>
      <c r="V157" s="270">
        <f t="shared" ref="V157:AK157" si="97">U157*V141</f>
        <v>0.819</v>
      </c>
      <c r="W157" s="270">
        <f t="shared" si="97"/>
        <v>0.7780499999999999</v>
      </c>
      <c r="X157" s="270">
        <f t="shared" si="97"/>
        <v>0.684684</v>
      </c>
      <c r="Y157" s="270">
        <f t="shared" si="97"/>
        <v>0.7189182</v>
      </c>
      <c r="Z157" s="289">
        <f t="shared" si="97"/>
        <v>0.8440099667999998</v>
      </c>
      <c r="AA157" s="270">
        <f t="shared" si="97"/>
        <v>0.9284109634799999</v>
      </c>
      <c r="AB157" s="270">
        <f t="shared" si="97"/>
        <v>0.9544064704574399</v>
      </c>
      <c r="AC157" s="270">
        <f t="shared" si="97"/>
        <v>1.0737072792646198</v>
      </c>
      <c r="AD157" s="270">
        <f t="shared" si="97"/>
        <v>1.2208051765238728</v>
      </c>
      <c r="AE157" s="320">
        <f t="shared" si="97"/>
        <v>1.345327304529308</v>
      </c>
      <c r="AF157" s="270">
        <f t="shared" si="97"/>
        <v>1.5699969643857024</v>
      </c>
      <c r="AG157" s="270">
        <f t="shared" si="97"/>
        <v>1.9263862753012568</v>
      </c>
      <c r="AH157" s="270">
        <f t="shared" si="97"/>
        <v>2.1093929714548763</v>
      </c>
      <c r="AI157" s="271">
        <f t="shared" si="97"/>
        <v>1.824624920308468</v>
      </c>
      <c r="AJ157" s="299">
        <f t="shared" si="97"/>
        <v>1.9395762902879012</v>
      </c>
      <c r="AK157" s="434">
        <f t="shared" si="97"/>
        <v>2.149050529638995</v>
      </c>
      <c r="AL157" s="434">
        <f t="shared" ref="AL157:AR157" si="98">AK157*AL141</f>
        <v>2.2951859656544467</v>
      </c>
      <c r="AM157" s="434">
        <f t="shared" si="98"/>
        <v>2.313547453379682</v>
      </c>
      <c r="AN157" s="434">
        <f t="shared" si="98"/>
        <v>2.278844241578987</v>
      </c>
      <c r="AO157" s="435">
        <f t="shared" si="98"/>
        <v>2.0486809731795095</v>
      </c>
      <c r="AP157" s="434">
        <f t="shared" si="98"/>
        <v>2.0445836112331506</v>
      </c>
      <c r="AQ157" s="434">
        <f t="shared" si="98"/>
        <v>2.142723624572342</v>
      </c>
      <c r="AR157" s="434">
        <f t="shared" si="98"/>
        <v>2.2348607404289527</v>
      </c>
      <c r="AT157" s="226"/>
      <c r="BO157" s="281" t="str">
        <f t="shared" si="86"/>
        <v>Рn</v>
      </c>
      <c r="BP157" s="195" t="s">
        <v>292</v>
      </c>
      <c r="CQ157" s="62">
        <v>2016</v>
      </c>
      <c r="CR157" s="326">
        <f t="shared" si="71"/>
        <v>15.155063338109475</v>
      </c>
      <c r="CS157" s="46">
        <v>0.6236831241274224</v>
      </c>
      <c r="CT157" s="55">
        <v>344.229</v>
      </c>
      <c r="CU157" s="57">
        <f t="shared" si="72"/>
        <v>22.71379487635589</v>
      </c>
      <c r="CV157" s="57"/>
      <c r="CW157" s="57">
        <f>CU157</f>
        <v>22.71379487635589</v>
      </c>
      <c r="CX157" s="75">
        <f>НАСТРОЙКА!DR157</f>
        <v>20.60681285779466</v>
      </c>
      <c r="DL157" s="316">
        <f t="shared" si="70"/>
        <v>22.71379487635589</v>
      </c>
      <c r="DN157" s="62">
        <v>2014</v>
      </c>
      <c r="DO157" s="410">
        <f t="shared" si="74"/>
        <v>290.191</v>
      </c>
      <c r="DP157" s="55">
        <f t="shared" si="75"/>
        <v>79058</v>
      </c>
      <c r="DQ157" s="418"/>
      <c r="EF157" s="62">
        <v>2016</v>
      </c>
      <c r="EG157" s="143">
        <v>0.6236831241274224</v>
      </c>
      <c r="EH157" s="63"/>
      <c r="EX157" s="63">
        <f t="shared" si="73"/>
        <v>0.6236831241274224</v>
      </c>
      <c r="EZ157" s="411">
        <v>2014</v>
      </c>
      <c r="FA157" s="123">
        <v>98.9</v>
      </c>
      <c r="FB157" s="232">
        <f t="shared" si="87"/>
        <v>114.85395617943594</v>
      </c>
      <c r="FC157" s="407"/>
      <c r="FS157" s="412">
        <v>2014</v>
      </c>
      <c r="FT157" s="409">
        <f t="shared" si="76"/>
        <v>98.9</v>
      </c>
      <c r="FU157" s="283"/>
      <c r="FV157" s="283"/>
    </row>
    <row r="158" ht="18" customHeight="1" spans="9:178" x14ac:dyDescent="0.25">
      <c r="I158" s="195" t="s">
        <v>292</v>
      </c>
      <c r="J158" s="217" t="s">
        <v>572</v>
      </c>
      <c r="K158" s="121" t="s">
        <v>573</v>
      </c>
      <c r="L158" s="121"/>
      <c r="M158" s="121"/>
      <c r="N158" s="121"/>
      <c r="O158" s="218" t="s">
        <v>299</v>
      </c>
      <c r="P158" s="433"/>
      <c r="U158" s="277">
        <v>1</v>
      </c>
      <c r="V158" s="270">
        <f t="shared" ref="V158:AK158" si="99">U158*V131</f>
        <v>0.86</v>
      </c>
      <c r="W158" s="270">
        <f t="shared" si="99"/>
        <v>0.8247399999999999</v>
      </c>
      <c r="X158" s="270">
        <f t="shared" si="99"/>
        <v>0.45195752</v>
      </c>
      <c r="Y158" s="270">
        <f t="shared" si="99"/>
        <v>0.42212832368000003</v>
      </c>
      <c r="Z158" s="289">
        <f t="shared" si="99"/>
        <v>0.73956882308736</v>
      </c>
      <c r="AA158" s="270">
        <f t="shared" si="99"/>
        <v>0.8630768165429492</v>
      </c>
      <c r="AB158" s="270">
        <f t="shared" si="99"/>
        <v>0.8440891265790043</v>
      </c>
      <c r="AC158" s="270">
        <f t="shared" si="99"/>
        <v>0.9647938716798019</v>
      </c>
      <c r="AD158" s="270">
        <f t="shared" si="99"/>
        <v>1.082498724024738</v>
      </c>
      <c r="AE158" s="320">
        <f t="shared" si="99"/>
        <v>1.1857316682944767</v>
      </c>
      <c r="AF158" s="270">
        <f t="shared" si="99"/>
        <v>1.395606173582599</v>
      </c>
      <c r="AG158" s="270">
        <f t="shared" si="99"/>
        <v>1.7026395317707708</v>
      </c>
      <c r="AH158" s="270">
        <f t="shared" si="99"/>
        <v>1.8814166826067016</v>
      </c>
      <c r="AI158" s="271">
        <f t="shared" si="99"/>
        <v>1.110035842737954</v>
      </c>
      <c r="AJ158" s="299">
        <f t="shared" si="99"/>
        <v>1.4263960579182708</v>
      </c>
      <c r="AK158" s="434">
        <f t="shared" si="99"/>
        <v>1.7259392300811076</v>
      </c>
      <c r="AL158" s="434">
        <f t="shared" ref="AL158:AR158" si="100">AK158*AL131</f>
        <v>1.8018805562046765</v>
      </c>
      <c r="AM158" s="434">
        <f t="shared" si="100"/>
        <v>1.7009752450572146</v>
      </c>
      <c r="AN158" s="434">
        <f t="shared" si="100"/>
        <v>1.5972157551087247</v>
      </c>
      <c r="AO158" s="435">
        <f t="shared" si="100"/>
        <v>1.4087442960058951</v>
      </c>
      <c r="AP158" s="434">
        <f t="shared" si="100"/>
        <v>1.3918393644538243</v>
      </c>
      <c r="AQ158" s="434">
        <f t="shared" si="100"/>
        <v>1.4753497263210538</v>
      </c>
      <c r="AR158" s="434">
        <f t="shared" si="100"/>
        <v>1.4871525241316221</v>
      </c>
      <c r="AT158" s="226"/>
      <c r="BO158" s="281" t="str">
        <f t="shared" si="86"/>
        <v>Рk</v>
      </c>
      <c r="BP158" s="195" t="s">
        <v>292</v>
      </c>
      <c r="CQ158" s="62">
        <v>2017</v>
      </c>
      <c r="CR158" s="326">
        <f t="shared" si="71"/>
        <v>15.230838654800023</v>
      </c>
      <c r="CS158" s="272">
        <v>0.6268015397480595</v>
      </c>
      <c r="CT158" s="55">
        <v>380.678</v>
      </c>
      <c r="CU158" s="57">
        <f t="shared" si="72"/>
        <v>24.993896175246313</v>
      </c>
      <c r="CV158" s="57"/>
      <c r="CW158" s="57">
        <f t="shared" ref="CW158:CW159" si="101">CU158</f>
        <v>24.993896175246313</v>
      </c>
      <c r="CX158" s="75">
        <f>НАСТРОЙКА!DR158</f>
        <v>21.124043860525305</v>
      </c>
      <c r="DL158" s="316">
        <f t="shared" si="70"/>
        <v>24.993896175246313</v>
      </c>
      <c r="DN158" s="62">
        <v>2015</v>
      </c>
      <c r="DO158" s="410">
        <f t="shared" si="74"/>
        <v>314.087</v>
      </c>
      <c r="DP158" s="55">
        <f t="shared" si="75"/>
        <v>83094</v>
      </c>
      <c r="DQ158" s="418"/>
      <c r="EF158" s="62">
        <v>2017</v>
      </c>
      <c r="EG158" s="143">
        <v>0.6268015397480595</v>
      </c>
      <c r="EH158" s="436">
        <f>EG158</f>
        <v>0.6268015397480595</v>
      </c>
      <c r="EX158" s="437">
        <v>0.6268015397480595</v>
      </c>
      <c r="EZ158" s="411">
        <v>2015</v>
      </c>
      <c r="FA158" s="123">
        <v>50.2</v>
      </c>
      <c r="FB158" s="232">
        <f t="shared" si="87"/>
        <v>117.99494187610925</v>
      </c>
      <c r="FC158" s="407"/>
      <c r="FS158" s="412">
        <v>2015</v>
      </c>
      <c r="FT158" s="409">
        <f t="shared" si="76"/>
        <v>50.2</v>
      </c>
      <c r="FU158" s="283"/>
      <c r="FV158" s="283"/>
    </row>
    <row r="159" ht="18" customHeight="1" spans="9:178" x14ac:dyDescent="0.25">
      <c r="I159" s="195" t="s">
        <v>292</v>
      </c>
      <c r="J159" s="217" t="s">
        <v>574</v>
      </c>
      <c r="K159" s="121" t="s">
        <v>575</v>
      </c>
      <c r="L159" s="121"/>
      <c r="M159" s="121"/>
      <c r="N159" s="121"/>
      <c r="O159" s="218" t="s">
        <v>299</v>
      </c>
      <c r="P159" s="433"/>
      <c r="U159" s="277">
        <v>1</v>
      </c>
      <c r="V159" s="312">
        <f t="shared" ref="V159:AK161" si="102">U159*V135</f>
        <v>0.951</v>
      </c>
      <c r="W159" s="270">
        <f t="shared" si="102"/>
        <v>0.99855</v>
      </c>
      <c r="X159" s="270">
        <f t="shared" si="102"/>
        <v>0.9645993</v>
      </c>
      <c r="Y159" s="270">
        <f t="shared" si="102"/>
        <v>0.9414489168</v>
      </c>
      <c r="Z159" s="289">
        <f t="shared" si="102"/>
        <v>0.9969944028911999</v>
      </c>
      <c r="AA159" s="270">
        <f t="shared" si="102"/>
        <v>1.0787479439282783</v>
      </c>
      <c r="AB159" s="270">
        <f t="shared" si="102"/>
        <v>1.1618115356107557</v>
      </c>
      <c r="AC159" s="270">
        <f t="shared" si="102"/>
        <v>1.2512710238527838</v>
      </c>
      <c r="AD159" s="270">
        <f t="shared" si="102"/>
        <v>1.4076799018343817</v>
      </c>
      <c r="AE159" s="320">
        <f t="shared" si="102"/>
        <v>1.5794168498581764</v>
      </c>
      <c r="AF159" s="270">
        <f t="shared" si="102"/>
        <v>1.7721057055408742</v>
      </c>
      <c r="AG159" s="270">
        <f t="shared" si="102"/>
        <v>2.0255168214332193</v>
      </c>
      <c r="AH159" s="270">
        <f t="shared" si="102"/>
        <v>2.2402216045051406</v>
      </c>
      <c r="AI159" s="271">
        <f t="shared" si="102"/>
        <v>2.1259703026753782</v>
      </c>
      <c r="AJ159" s="299">
        <f t="shared" si="102"/>
        <v>2.242898669322524</v>
      </c>
      <c r="AK159" s="434">
        <f t="shared" si="102"/>
        <v>2.3954157788364556</v>
      </c>
      <c r="AL159" s="434">
        <f t="shared" ref="AL159:AP161" si="103">AK159*AL135</f>
        <v>2.5846536253645356</v>
      </c>
      <c r="AM159" s="434">
        <f t="shared" si="103"/>
        <v>2.7190556138834916</v>
      </c>
      <c r="AN159" s="434">
        <f t="shared" si="103"/>
        <v>2.7734367261611617</v>
      </c>
      <c r="AO159" s="435">
        <f t="shared" si="103"/>
        <v>2.5127336739020127</v>
      </c>
      <c r="AP159" s="434">
        <f t="shared" si="103"/>
        <v>2.4649917340978744</v>
      </c>
      <c r="AQ159" s="434">
        <f t="shared" ref="AQ159:AR161" si="104">AP159*AQ135</f>
        <v>2.546336461323104</v>
      </c>
      <c r="AR159" s="434">
        <f t="shared" si="104"/>
        <v>2.604902199933535</v>
      </c>
      <c r="AT159" s="226"/>
      <c r="BO159" s="281" t="str">
        <f t="shared" si="86"/>
        <v>Рd</v>
      </c>
      <c r="BP159" s="195" t="s">
        <v>292</v>
      </c>
      <c r="CQ159" s="62">
        <v>2018</v>
      </c>
      <c r="CR159" s="326">
        <f t="shared" si="71"/>
        <v>15.916226394266022</v>
      </c>
      <c r="CS159" s="272">
        <v>0.6550076090367222</v>
      </c>
      <c r="CT159" s="55">
        <v>432.626</v>
      </c>
      <c r="CU159" s="57">
        <f t="shared" si="72"/>
        <v>27.181442967904612</v>
      </c>
      <c r="CV159" s="57"/>
      <c r="CW159" s="57">
        <f t="shared" si="101"/>
        <v>27.181442967904612</v>
      </c>
      <c r="CX159" s="75">
        <f>НАСТРОЙКА!DR159</f>
        <v>22.02392812898368</v>
      </c>
      <c r="DL159" s="316">
        <f t="shared" si="70"/>
        <v>27.181442967904612</v>
      </c>
      <c r="DN159" s="62">
        <v>2016</v>
      </c>
      <c r="DO159" s="410">
        <f t="shared" si="74"/>
        <v>344.229</v>
      </c>
      <c r="DP159" s="55">
        <f t="shared" si="75"/>
        <v>86014</v>
      </c>
      <c r="DQ159" s="418"/>
      <c r="EF159" s="62">
        <v>2018</v>
      </c>
      <c r="EG159" s="143">
        <v>0.6550076090367222</v>
      </c>
      <c r="EH159" s="436">
        <f>EG159</f>
        <v>0.6550076090367222</v>
      </c>
      <c r="EX159" s="437">
        <v>0.6550076090367222</v>
      </c>
      <c r="EZ159" s="411">
        <v>2016</v>
      </c>
      <c r="FA159" s="123">
        <v>44</v>
      </c>
      <c r="FB159" s="232">
        <f t="shared" si="87"/>
        <v>120.72759943221503</v>
      </c>
      <c r="FC159" s="407"/>
      <c r="FS159" s="412">
        <v>2016</v>
      </c>
      <c r="FT159" s="409">
        <f t="shared" si="76"/>
        <v>44</v>
      </c>
      <c r="FU159" s="283"/>
      <c r="FV159" s="283"/>
    </row>
    <row r="160" ht="18" customHeight="1" spans="9:178" x14ac:dyDescent="0.25">
      <c r="I160" s="195" t="s">
        <v>292</v>
      </c>
      <c r="J160" s="217" t="s">
        <v>576</v>
      </c>
      <c r="K160" s="121" t="s">
        <v>577</v>
      </c>
      <c r="L160" s="121"/>
      <c r="M160" s="121"/>
      <c r="N160" s="121"/>
      <c r="O160" s="218" t="s">
        <v>299</v>
      </c>
      <c r="P160" s="433"/>
      <c r="U160" s="277">
        <v>1</v>
      </c>
      <c r="V160" s="312">
        <f t="shared" si="102"/>
        <v>1.031</v>
      </c>
      <c r="W160" s="270">
        <f t="shared" si="102"/>
        <v>1.0062559999999998</v>
      </c>
      <c r="X160" s="270">
        <f t="shared" si="102"/>
        <v>1.0163185599999998</v>
      </c>
      <c r="Y160" s="270">
        <f t="shared" si="102"/>
        <v>1.0478244353599997</v>
      </c>
      <c r="Z160" s="289">
        <f t="shared" si="102"/>
        <v>1.0687809240671997</v>
      </c>
      <c r="AA160" s="270">
        <f t="shared" si="102"/>
        <v>1.060230676674662</v>
      </c>
      <c r="AB160" s="270">
        <f t="shared" si="102"/>
        <v>1.0877966742682033</v>
      </c>
      <c r="AC160" s="270">
        <f t="shared" si="102"/>
        <v>1.1139037944506402</v>
      </c>
      <c r="AD160" s="270">
        <f t="shared" si="102"/>
        <v>1.1372957741341037</v>
      </c>
      <c r="AE160" s="320">
        <f t="shared" si="102"/>
        <v>1.1532179149719812</v>
      </c>
      <c r="AF160" s="270">
        <f t="shared" si="102"/>
        <v>1.1797419270163367</v>
      </c>
      <c r="AG160" s="270">
        <f t="shared" si="102"/>
        <v>1.2115949590457777</v>
      </c>
      <c r="AH160" s="270">
        <f t="shared" si="102"/>
        <v>1.2527891876533341</v>
      </c>
      <c r="AI160" s="271">
        <f t="shared" si="102"/>
        <v>1.2452724525274141</v>
      </c>
      <c r="AJ160" s="299">
        <f t="shared" si="102"/>
        <v>1.226593365739503</v>
      </c>
      <c r="AK160" s="434">
        <f t="shared" si="102"/>
        <v>1.243765672859856</v>
      </c>
      <c r="AL160" s="434">
        <f t="shared" si="103"/>
        <v>1.2761035803542125</v>
      </c>
      <c r="AM160" s="434">
        <f t="shared" si="103"/>
        <v>1.2875885125774005</v>
      </c>
      <c r="AN160" s="434">
        <f t="shared" si="103"/>
        <v>1.2605491538132751</v>
      </c>
      <c r="AO160" s="435">
        <f t="shared" si="103"/>
        <v>1.2151693842759972</v>
      </c>
      <c r="AP160" s="434">
        <f t="shared" si="103"/>
        <v>1.233396925040137</v>
      </c>
      <c r="AQ160" s="434">
        <f t="shared" si="104"/>
        <v>1.2642318481661403</v>
      </c>
      <c r="AR160" s="434">
        <f t="shared" si="104"/>
        <v>1.2680245437106386</v>
      </c>
      <c r="AT160" s="226"/>
      <c r="BO160" s="281" t="str">
        <f t="shared" si="86"/>
        <v>Рg</v>
      </c>
      <c r="BP160" s="195" t="s">
        <v>292</v>
      </c>
      <c r="CQ160" s="62">
        <v>2019</v>
      </c>
      <c r="CR160" s="272"/>
      <c r="CS160" s="272"/>
      <c r="CT160" s="272"/>
      <c r="CU160" s="272"/>
      <c r="CV160" s="272"/>
      <c r="CW160" s="57">
        <f>1.071*CX160+4</f>
        <v>28.30469088773622</v>
      </c>
      <c r="CX160" s="75">
        <f>НАСТРОЙКА!DR160</f>
        <v>22.693455544104783</v>
      </c>
      <c r="DL160" s="316">
        <f>CW160</f>
        <v>28.30469088773622</v>
      </c>
      <c r="DN160" s="62">
        <v>2017</v>
      </c>
      <c r="DO160" s="410">
        <f t="shared" si="74"/>
        <v>380.678</v>
      </c>
      <c r="DP160" s="55">
        <f t="shared" si="75"/>
        <v>92101</v>
      </c>
      <c r="DQ160" s="418"/>
      <c r="EF160" s="62">
        <v>2019</v>
      </c>
      <c r="EG160" s="77"/>
      <c r="EH160" s="437">
        <f>EH159+0.95*(EH159-EH158)</f>
        <v>0.6818033748609517</v>
      </c>
      <c r="EX160" s="437">
        <v>0.6818033748609517</v>
      </c>
      <c r="EZ160" s="411">
        <v>2017</v>
      </c>
      <c r="FA160" s="123">
        <v>54.53</v>
      </c>
      <c r="FB160" s="232">
        <f t="shared" si="87"/>
        <v>123.10501150602705</v>
      </c>
      <c r="FC160" s="407"/>
      <c r="FS160" s="412">
        <v>2017</v>
      </c>
      <c r="FT160" s="409">
        <f t="shared" si="76"/>
        <v>54.53</v>
      </c>
      <c r="FU160" s="283"/>
      <c r="FV160" s="283"/>
    </row>
    <row r="161" ht="18" customHeight="1" spans="9:178" x14ac:dyDescent="0.25">
      <c r="I161" s="195" t="s">
        <v>292</v>
      </c>
      <c r="J161" s="217" t="s">
        <v>578</v>
      </c>
      <c r="K161" s="121" t="s">
        <v>579</v>
      </c>
      <c r="L161" s="121"/>
      <c r="M161" s="121"/>
      <c r="N161" s="121"/>
      <c r="O161" s="218" t="s">
        <v>299</v>
      </c>
      <c r="P161" s="433"/>
      <c r="U161" s="277">
        <v>1</v>
      </c>
      <c r="V161" s="312">
        <f t="shared" si="102"/>
        <v>1.006</v>
      </c>
      <c r="W161" s="270">
        <f t="shared" si="102"/>
        <v>0.997952</v>
      </c>
      <c r="X161" s="270">
        <f t="shared" si="102"/>
        <v>1.00294176</v>
      </c>
      <c r="Y161" s="270">
        <f t="shared" si="102"/>
        <v>0.9889005753599999</v>
      </c>
      <c r="Z161" s="289">
        <f t="shared" si="102"/>
        <v>1.00472298456576</v>
      </c>
      <c r="AA161" s="270">
        <f t="shared" si="102"/>
        <v>1.0238127212725092</v>
      </c>
      <c r="AB161" s="270">
        <f t="shared" si="102"/>
        <v>1.0320032230426892</v>
      </c>
      <c r="AC161" s="270">
        <f t="shared" si="102"/>
        <v>1.0330352262657319</v>
      </c>
      <c r="AD161" s="270">
        <f t="shared" si="102"/>
        <v>0.9183683161502356</v>
      </c>
      <c r="AE161" s="320">
        <f t="shared" si="102"/>
        <v>0.7503069142947425</v>
      </c>
      <c r="AF161" s="270">
        <f t="shared" si="102"/>
        <v>0.7375516967517318</v>
      </c>
      <c r="AG161" s="270">
        <f t="shared" si="102"/>
        <v>0.7574655925640286</v>
      </c>
      <c r="AH161" s="270">
        <f t="shared" si="102"/>
        <v>0.7468610742681322</v>
      </c>
      <c r="AI161" s="271">
        <f>AH161*AI137</f>
        <v>0.6871121883266816</v>
      </c>
      <c r="AJ161" s="299">
        <f>AI161*AJ137</f>
        <v>0.6836766273850482</v>
      </c>
      <c r="AK161" s="434">
        <f>AJ161*AK137</f>
        <v>0.6501764726431808</v>
      </c>
      <c r="AL161" s="434">
        <f t="shared" si="103"/>
        <v>0.643674707916749</v>
      </c>
      <c r="AM161" s="434">
        <f t="shared" si="103"/>
        <v>0.635950611421748</v>
      </c>
      <c r="AN161" s="434">
        <f t="shared" si="103"/>
        <v>0.635950611421748</v>
      </c>
      <c r="AO161" s="435">
        <f t="shared" si="103"/>
        <v>0.6175080436905173</v>
      </c>
      <c r="AP161" s="434">
        <f t="shared" si="103"/>
        <v>0.6236831241274224</v>
      </c>
      <c r="AQ161" s="434">
        <f t="shared" si="104"/>
        <v>0.6268015397480595</v>
      </c>
      <c r="AR161" s="434">
        <f t="shared" si="104"/>
        <v>0.6550076090367222</v>
      </c>
      <c r="AT161" s="226"/>
      <c r="BO161" s="281" t="str">
        <f t="shared" si="86"/>
        <v>Рnk</v>
      </c>
      <c r="BP161" s="195" t="s">
        <v>292</v>
      </c>
      <c r="CQ161" s="62">
        <v>2020</v>
      </c>
      <c r="CR161" s="272"/>
      <c r="CS161" s="272"/>
      <c r="CT161" s="272"/>
      <c r="CU161" s="272"/>
      <c r="CV161" s="272"/>
      <c r="CW161" s="57">
        <f t="shared" ref="CW161:CW176" si="105">1.071*CX161+4</f>
        <v>29.498051210324068</v>
      </c>
      <c r="CX161" s="75">
        <f>НАСТРОЙКА!DR161</f>
        <v>23.807704211320324</v>
      </c>
      <c r="DL161" s="316">
        <f t="shared" ref="DL161:DL176" si="106">CW161</f>
        <v>29.498051210324068</v>
      </c>
      <c r="DN161" s="62">
        <v>2018</v>
      </c>
      <c r="DO161" s="410">
        <f t="shared" si="74"/>
        <v>432.626</v>
      </c>
      <c r="DP161" s="55">
        <f t="shared" si="75"/>
        <v>103876</v>
      </c>
      <c r="DQ161" s="438"/>
      <c r="EF161" s="62">
        <v>2020</v>
      </c>
      <c r="EG161" s="77"/>
      <c r="EH161" s="437">
        <f t="shared" ref="EH161:EH176" si="107">EH160+0.95*(EH160-EH159)</f>
        <v>0.7072593523939696</v>
      </c>
      <c r="EX161" s="437">
        <v>0.7072593523939696</v>
      </c>
      <c r="EZ161" s="411">
        <v>2018</v>
      </c>
      <c r="FA161" s="123">
        <v>72.93</v>
      </c>
      <c r="FB161" s="232">
        <f t="shared" si="87"/>
        <v>125.17336001024351</v>
      </c>
      <c r="FC161" s="407"/>
      <c r="FS161" s="412">
        <v>2018</v>
      </c>
      <c r="FT161" s="409">
        <f t="shared" si="76"/>
        <v>72.93</v>
      </c>
      <c r="FU161" s="283"/>
      <c r="FV161" s="283"/>
    </row>
    <row r="162" ht="18" customHeight="1" spans="9:178" x14ac:dyDescent="0.25">
      <c r="I162" s="195" t="s">
        <v>292</v>
      </c>
      <c r="J162" s="217" t="s">
        <v>580</v>
      </c>
      <c r="K162" s="121" t="s">
        <v>581</v>
      </c>
      <c r="L162" s="121"/>
      <c r="M162" s="121"/>
      <c r="N162" s="121"/>
      <c r="O162" s="218" t="s">
        <v>299</v>
      </c>
      <c r="P162" s="433"/>
      <c r="U162" s="277">
        <v>1</v>
      </c>
      <c r="V162" s="312">
        <f t="shared" ref="V162:AP166" si="108">U162*V139</f>
        <v>1.037</v>
      </c>
      <c r="W162" s="270">
        <f t="shared" si="108"/>
        <v>1.031815</v>
      </c>
      <c r="X162" s="270">
        <f t="shared" si="108"/>
        <v>1.0514194849999998</v>
      </c>
      <c r="Y162" s="270">
        <f t="shared" si="108"/>
        <v>1.1691784673199999</v>
      </c>
      <c r="Z162" s="289">
        <f t="shared" si="108"/>
        <v>1.2802504217153998</v>
      </c>
      <c r="AA162" s="270">
        <f t="shared" si="108"/>
        <v>1.3340209394274467</v>
      </c>
      <c r="AB162" s="270">
        <f t="shared" si="108"/>
        <v>1.4714250961884736</v>
      </c>
      <c r="AC162" s="270">
        <f t="shared" si="108"/>
        <v>1.6568246583082211</v>
      </c>
      <c r="AD162" s="270">
        <f t="shared" si="108"/>
        <v>1.8523299679885914</v>
      </c>
      <c r="AE162" s="320">
        <f t="shared" si="108"/>
        <v>1.9727314159078497</v>
      </c>
      <c r="AF162" s="270">
        <f t="shared" si="108"/>
        <v>2.1167408092691224</v>
      </c>
      <c r="AG162" s="270">
        <f t="shared" si="108"/>
        <v>2.2500954802530773</v>
      </c>
      <c r="AH162" s="270">
        <f t="shared" si="108"/>
        <v>2.2635960531345956</v>
      </c>
      <c r="AI162" s="271">
        <f t="shared" ref="AI162:AK165" si="109">AH162*AI139</f>
        <v>2.1572070386372695</v>
      </c>
      <c r="AJ162" s="299">
        <f t="shared" si="109"/>
        <v>2.3082115313418785</v>
      </c>
      <c r="AK162" s="434">
        <f t="shared" si="109"/>
        <v>2.315136165935904</v>
      </c>
      <c r="AL162" s="434">
        <f t="shared" ref="AL162:AP164" si="110">AK162*AL139</f>
        <v>2.3475480722590065</v>
      </c>
      <c r="AM162" s="434">
        <f t="shared" si="110"/>
        <v>2.455535283582921</v>
      </c>
      <c r="AN162" s="434">
        <f t="shared" si="110"/>
        <v>2.467812960000835</v>
      </c>
      <c r="AO162" s="435">
        <f t="shared" si="110"/>
        <v>2.559122039520866</v>
      </c>
      <c r="AP162" s="434">
        <f t="shared" si="110"/>
        <v>2.641013944785534</v>
      </c>
      <c r="AQ162" s="434">
        <f t="shared" ref="AQ162:AR166" si="111">AP162*AQ139</f>
        <v>2.773064642024811</v>
      </c>
      <c r="AR162" s="434">
        <f t="shared" si="111"/>
        <v>2.9255831973361754</v>
      </c>
      <c r="AT162" s="226"/>
      <c r="BO162" s="281" t="str">
        <f t="shared" si="86"/>
        <v>Рe</v>
      </c>
      <c r="BP162" s="195" t="s">
        <v>292</v>
      </c>
      <c r="CQ162" s="62">
        <v>2021</v>
      </c>
      <c r="CR162" s="272"/>
      <c r="CS162" s="272"/>
      <c r="CT162" s="272"/>
      <c r="CU162" s="272"/>
      <c r="CV162" s="272"/>
      <c r="CW162" s="57">
        <f t="shared" si="105"/>
        <v>30.77295377084027</v>
      </c>
      <c r="CX162" s="75">
        <f>НАСТРОЙКА!DR162</f>
        <v>24.99808942188634</v>
      </c>
      <c r="DL162" s="316">
        <f t="shared" si="106"/>
        <v>30.77295377084027</v>
      </c>
      <c r="DN162" s="62">
        <v>2019</v>
      </c>
      <c r="DO162" s="439"/>
      <c r="DP162" s="440"/>
      <c r="DQ162" s="438"/>
      <c r="EF162" s="62">
        <v>2021</v>
      </c>
      <c r="EG162" s="77"/>
      <c r="EH162" s="437">
        <f t="shared" si="107"/>
        <v>0.7314425310503367</v>
      </c>
      <c r="EX162" s="437">
        <v>0.7314425310503367</v>
      </c>
      <c r="EZ162" s="411">
        <v>2019</v>
      </c>
      <c r="FA162" s="123">
        <v>63.33</v>
      </c>
      <c r="FB162" s="232">
        <f t="shared" si="87"/>
        <v>126.97282320891183</v>
      </c>
      <c r="FC162" s="407"/>
      <c r="FS162" s="412">
        <v>2019</v>
      </c>
      <c r="FT162" s="409">
        <f t="shared" si="76"/>
        <v>63.33</v>
      </c>
      <c r="FU162" s="283"/>
      <c r="FV162" s="283"/>
    </row>
    <row r="163" ht="18" customHeight="1" spans="9:178" x14ac:dyDescent="0.25">
      <c r="I163" s="195" t="s">
        <v>292</v>
      </c>
      <c r="J163" s="217" t="s">
        <v>582</v>
      </c>
      <c r="K163" s="121" t="s">
        <v>583</v>
      </c>
      <c r="L163" s="121"/>
      <c r="M163" s="121"/>
      <c r="N163" s="121"/>
      <c r="O163" s="218" t="s">
        <v>299</v>
      </c>
      <c r="P163" s="433"/>
      <c r="U163" s="277">
        <v>1</v>
      </c>
      <c r="V163" s="312">
        <f t="shared" si="108"/>
        <v>1.013</v>
      </c>
      <c r="W163" s="270">
        <f t="shared" si="108"/>
        <v>1.0170519999999998</v>
      </c>
      <c r="X163" s="270">
        <f t="shared" si="108"/>
        <v>0.8400849519999998</v>
      </c>
      <c r="Y163" s="270">
        <f t="shared" si="108"/>
        <v>0.6972705101599997</v>
      </c>
      <c r="Z163" s="289">
        <f t="shared" si="108"/>
        <v>0.9231861554518397</v>
      </c>
      <c r="AA163" s="270">
        <f t="shared" si="108"/>
        <v>1.0958219665213338</v>
      </c>
      <c r="AB163" s="270">
        <f t="shared" si="108"/>
        <v>1.2558119736334483</v>
      </c>
      <c r="AC163" s="270">
        <f t="shared" si="108"/>
        <v>1.473067445072035</v>
      </c>
      <c r="AD163" s="270">
        <f t="shared" si="108"/>
        <v>1.816292159773819</v>
      </c>
      <c r="AE163" s="320">
        <f t="shared" si="108"/>
        <v>2.117796658296273</v>
      </c>
      <c r="AF163" s="270">
        <f t="shared" si="108"/>
        <v>2.568887346513379</v>
      </c>
      <c r="AG163" s="270">
        <f t="shared" si="108"/>
        <v>3.2419358312998843</v>
      </c>
      <c r="AH163" s="270">
        <f t="shared" si="108"/>
        <v>3.7217423343322666</v>
      </c>
      <c r="AI163" s="271">
        <f t="shared" si="109"/>
        <v>2.5903326646952576</v>
      </c>
      <c r="AJ163" s="299">
        <f t="shared" si="109"/>
        <v>3.258638492186634</v>
      </c>
      <c r="AK163" s="434">
        <f t="shared" si="109"/>
        <v>3.920142106100521</v>
      </c>
      <c r="AL163" s="434">
        <f t="shared" si="110"/>
        <v>4.300395890392272</v>
      </c>
      <c r="AM163" s="434">
        <f>AL163*AM140</f>
        <v>4.450909746556001</v>
      </c>
      <c r="AN163" s="434">
        <f>AM163*AN140</f>
        <v>4.125993335057413</v>
      </c>
      <c r="AO163" s="435">
        <f>AN163*AO140</f>
        <v>3.0903690079580026</v>
      </c>
      <c r="AP163" s="434">
        <f>AO163*AP140</f>
        <v>2.9791157236715144</v>
      </c>
      <c r="AQ163" s="434">
        <f t="shared" si="111"/>
        <v>3.4974818595903576</v>
      </c>
      <c r="AR163" s="434">
        <f t="shared" si="111"/>
        <v>3.591913869799297</v>
      </c>
      <c r="AT163" s="226"/>
      <c r="BO163" s="281" t="str">
        <f t="shared" si="86"/>
        <v>Рm</v>
      </c>
      <c r="BP163" s="195" t="s">
        <v>292</v>
      </c>
      <c r="CQ163" s="62">
        <v>2022</v>
      </c>
      <c r="CR163" s="272"/>
      <c r="CS163" s="272"/>
      <c r="CT163" s="272"/>
      <c r="CU163" s="272"/>
      <c r="CV163" s="272"/>
      <c r="CW163" s="57">
        <f t="shared" si="105"/>
        <v>32.111601459382285</v>
      </c>
      <c r="CX163" s="75">
        <f>НАСТРОЙКА!DR163</f>
        <v>26.24799389298066</v>
      </c>
      <c r="DL163" s="316">
        <f t="shared" si="106"/>
        <v>32.111601459382285</v>
      </c>
      <c r="DN163" s="62">
        <v>2020</v>
      </c>
      <c r="DO163" s="439"/>
      <c r="DP163" s="440"/>
      <c r="DQ163" s="438"/>
      <c r="EF163" s="62">
        <v>2022</v>
      </c>
      <c r="EG163" s="77"/>
      <c r="EH163" s="437">
        <f t="shared" si="107"/>
        <v>0.7544165507738855</v>
      </c>
      <c r="EX163" s="437">
        <v>0.7544165507738855</v>
      </c>
      <c r="EZ163" s="411">
        <v>2020</v>
      </c>
      <c r="FA163" s="123">
        <v>40</v>
      </c>
      <c r="FB163" s="232">
        <f t="shared" si="87"/>
        <v>128.53835619175328</v>
      </c>
      <c r="FC163" s="407">
        <f t="shared" ref="FC163" si="112">FA163</f>
        <v>40</v>
      </c>
      <c r="FS163" s="412">
        <v>2020</v>
      </c>
      <c r="FT163" s="409">
        <f>FA163</f>
        <v>40</v>
      </c>
      <c r="FU163" s="283"/>
      <c r="FV163" s="283"/>
    </row>
    <row r="164" ht="18" customHeight="1" spans="9:178" x14ac:dyDescent="0.25">
      <c r="I164" s="195" t="s">
        <v>292</v>
      </c>
      <c r="J164" s="217" t="s">
        <v>584</v>
      </c>
      <c r="K164" s="121" t="s">
        <v>571</v>
      </c>
      <c r="L164" s="121"/>
      <c r="M164" s="121"/>
      <c r="N164" s="121"/>
      <c r="O164" s="218" t="s">
        <v>299</v>
      </c>
      <c r="P164" s="433"/>
      <c r="U164" s="277">
        <v>1</v>
      </c>
      <c r="V164" s="312">
        <f t="shared" si="108"/>
        <v>0.819</v>
      </c>
      <c r="W164" s="270">
        <f t="shared" si="108"/>
        <v>0.7780499999999999</v>
      </c>
      <c r="X164" s="270">
        <f t="shared" si="108"/>
        <v>0.684684</v>
      </c>
      <c r="Y164" s="270">
        <f t="shared" si="108"/>
        <v>0.7189182</v>
      </c>
      <c r="Z164" s="289">
        <f t="shared" si="108"/>
        <v>0.8440099667999998</v>
      </c>
      <c r="AA164" s="270">
        <f t="shared" si="108"/>
        <v>0.9284109634799999</v>
      </c>
      <c r="AB164" s="270">
        <f t="shared" si="108"/>
        <v>0.9544064704574399</v>
      </c>
      <c r="AC164" s="270">
        <f t="shared" si="108"/>
        <v>1.0737072792646198</v>
      </c>
      <c r="AD164" s="270">
        <f t="shared" si="108"/>
        <v>1.2208051765238728</v>
      </c>
      <c r="AE164" s="320">
        <f t="shared" si="108"/>
        <v>1.345327304529308</v>
      </c>
      <c r="AF164" s="270">
        <f t="shared" si="108"/>
        <v>1.5699969643857024</v>
      </c>
      <c r="AG164" s="270">
        <f>AF164*AG141</f>
        <v>1.9263862753012568</v>
      </c>
      <c r="AH164" s="270">
        <f>AG164*AH141</f>
        <v>2.1093929714548763</v>
      </c>
      <c r="AI164" s="271">
        <f t="shared" si="109"/>
        <v>1.824624920308468</v>
      </c>
      <c r="AJ164" s="299">
        <f t="shared" si="109"/>
        <v>1.9395762902879012</v>
      </c>
      <c r="AK164" s="434">
        <f>AJ164*AK141</f>
        <v>2.149050529638995</v>
      </c>
      <c r="AL164" s="434">
        <f t="shared" si="110"/>
        <v>2.2951859656544467</v>
      </c>
      <c r="AM164" s="434">
        <f t="shared" si="110"/>
        <v>2.313547453379682</v>
      </c>
      <c r="AN164" s="434">
        <f t="shared" si="110"/>
        <v>2.278844241578987</v>
      </c>
      <c r="AO164" s="435">
        <f t="shared" si="110"/>
        <v>2.0486809731795095</v>
      </c>
      <c r="AP164" s="434">
        <f t="shared" si="110"/>
        <v>2.0445836112331506</v>
      </c>
      <c r="AQ164" s="434">
        <f t="shared" si="111"/>
        <v>2.142723624572342</v>
      </c>
      <c r="AR164" s="434">
        <f t="shared" si="111"/>
        <v>2.2348607404289527</v>
      </c>
      <c r="AT164" s="226"/>
      <c r="BO164" s="281" t="str">
        <f t="shared" si="86"/>
        <v>Pn</v>
      </c>
      <c r="BP164" s="195" t="s">
        <v>292</v>
      </c>
      <c r="CQ164" s="62">
        <v>2023</v>
      </c>
      <c r="CR164" s="272"/>
      <c r="CS164" s="272"/>
      <c r="CT164" s="272"/>
      <c r="CU164" s="272"/>
      <c r="CV164" s="272"/>
      <c r="CW164" s="57">
        <f t="shared" si="105"/>
        <v>33.5171815323514</v>
      </c>
      <c r="CX164" s="75">
        <f>НАСТРОЙКА!DR164</f>
        <v>27.560393587629694</v>
      </c>
      <c r="DL164" s="316">
        <f t="shared" si="106"/>
        <v>33.5171815323514</v>
      </c>
      <c r="DN164" s="62">
        <v>2021</v>
      </c>
      <c r="DO164" s="439"/>
      <c r="DP164" s="440"/>
      <c r="DQ164" s="438"/>
      <c r="EF164" s="62">
        <v>2023</v>
      </c>
      <c r="EG164" s="77"/>
      <c r="EH164" s="437">
        <f t="shared" si="107"/>
        <v>0.7762418695112567</v>
      </c>
      <c r="EX164" s="437">
        <v>0.7762418695112567</v>
      </c>
      <c r="EZ164" s="411">
        <v>2021</v>
      </c>
      <c r="FA164" s="123"/>
      <c r="FB164" s="232">
        <f t="shared" si="87"/>
        <v>129.90036988682533</v>
      </c>
      <c r="FC164" s="441">
        <v>50</v>
      </c>
      <c r="FS164" s="412">
        <v>2021</v>
      </c>
      <c r="FT164" s="409">
        <f>FC164</f>
        <v>50</v>
      </c>
      <c r="FU164" s="283"/>
      <c r="FV164" s="283"/>
    </row>
    <row r="165" ht="18" customHeight="1" spans="9:178" x14ac:dyDescent="0.25">
      <c r="I165" s="195" t="s">
        <v>292</v>
      </c>
      <c r="J165" s="217" t="s">
        <v>585</v>
      </c>
      <c r="K165" s="121" t="s">
        <v>586</v>
      </c>
      <c r="L165" s="121"/>
      <c r="M165" s="121"/>
      <c r="N165" s="121"/>
      <c r="O165" s="218" t="s">
        <v>299</v>
      </c>
      <c r="P165" s="433"/>
      <c r="U165" s="277">
        <v>1</v>
      </c>
      <c r="V165" s="312">
        <f t="shared" si="108"/>
        <v>0.9990000000000001</v>
      </c>
      <c r="W165" s="270">
        <f t="shared" si="108"/>
        <v>0.9950040000000001</v>
      </c>
      <c r="X165" s="270">
        <f t="shared" si="108"/>
        <v>0.9920189880000001</v>
      </c>
      <c r="Y165" s="270">
        <f t="shared" si="108"/>
        <v>0.9940030259760001</v>
      </c>
      <c r="Z165" s="289">
        <f t="shared" si="108"/>
        <v>0.99897304110588</v>
      </c>
      <c r="AA165" s="270">
        <f t="shared" si="108"/>
        <v>1.0079637984758332</v>
      </c>
      <c r="AB165" s="270">
        <f t="shared" si="108"/>
        <v>1.0180434364605915</v>
      </c>
      <c r="AC165" s="270">
        <f t="shared" si="108"/>
        <v>1.031278001134579</v>
      </c>
      <c r="AD165" s="270">
        <f t="shared" si="108"/>
        <v>1.0477784491527322</v>
      </c>
      <c r="AE165" s="320">
        <f t="shared" si="108"/>
        <v>1.0676862396866342</v>
      </c>
      <c r="AF165" s="270">
        <f t="shared" si="108"/>
        <v>1.0933107094391135</v>
      </c>
      <c r="AG165" s="270">
        <f t="shared" si="108"/>
        <v>1.127203341431726</v>
      </c>
      <c r="AH165" s="270">
        <f t="shared" si="108"/>
        <v>1.167782661723268</v>
      </c>
      <c r="AI165" s="271">
        <f t="shared" si="108"/>
        <v>1.2051517068984128</v>
      </c>
      <c r="AJ165" s="299">
        <f t="shared" si="109"/>
        <v>1.241306258105365</v>
      </c>
      <c r="AK165" s="434">
        <f>AJ165*AK142</f>
        <v>1.2909585084295798</v>
      </c>
      <c r="AL165" s="434">
        <f>AK165*AL142</f>
        <v>1.3464697242920516</v>
      </c>
      <c r="AM165" s="434">
        <f>AL165*AM142</f>
        <v>1.4016749829880255</v>
      </c>
      <c r="AN165" s="434">
        <f>AM165*AN142</f>
        <v>1.4535369573585823</v>
      </c>
      <c r="AO165" s="435">
        <f>AN165*AO142</f>
        <v>1.5000501399940571</v>
      </c>
      <c r="AP165" s="434">
        <f>AO165*AP142</f>
        <v>1.5585520954538252</v>
      </c>
      <c r="AQ165" s="434">
        <f t="shared" si="111"/>
        <v>1.6177770750810707</v>
      </c>
      <c r="AR165" s="434">
        <f t="shared" si="111"/>
        <v>1.6857237122344757</v>
      </c>
      <c r="AT165" s="226"/>
      <c r="BO165" s="281" t="str">
        <f t="shared" si="86"/>
        <v>Рf</v>
      </c>
      <c r="BP165" s="195" t="s">
        <v>292</v>
      </c>
      <c r="CQ165" s="442">
        <v>2024</v>
      </c>
      <c r="CR165" s="167"/>
      <c r="CS165" s="167"/>
      <c r="CT165" s="167"/>
      <c r="CU165" s="167"/>
      <c r="CV165" s="167"/>
      <c r="CW165" s="57">
        <f t="shared" si="105"/>
        <v>34.99304060896897</v>
      </c>
      <c r="CX165" s="75">
        <f>НАСТРОЙКА!DR165</f>
        <v>28.938413267011178</v>
      </c>
      <c r="DL165" s="316">
        <f t="shared" si="106"/>
        <v>34.99304060896897</v>
      </c>
      <c r="DN165" s="62">
        <v>2022</v>
      </c>
      <c r="DO165" s="439"/>
      <c r="DP165" s="440"/>
      <c r="DQ165" s="438"/>
      <c r="EF165" s="62">
        <v>2024</v>
      </c>
      <c r="EG165" s="77"/>
      <c r="EH165" s="437">
        <f t="shared" si="107"/>
        <v>0.7969759223117594</v>
      </c>
      <c r="EX165" s="437">
        <v>0.7969759223117594</v>
      </c>
      <c r="EZ165" s="411">
        <v>2022</v>
      </c>
      <c r="FA165" s="123"/>
      <c r="FB165" s="232">
        <f t="shared" si="87"/>
        <v>131.08532180153802</v>
      </c>
      <c r="FC165" s="441">
        <f>FC164+0.7*(FC164-FC163)</f>
        <v>57</v>
      </c>
      <c r="FS165" s="412">
        <v>2022</v>
      </c>
      <c r="FT165" s="409">
        <f t="shared" ref="FT165:FT173" si="113">FC165</f>
        <v>57</v>
      </c>
      <c r="FU165" s="283"/>
      <c r="FV165" s="283"/>
    </row>
    <row r="166" ht="18" customHeight="1" spans="9:178" x14ac:dyDescent="0.25">
      <c r="I166" s="195" t="s">
        <v>292</v>
      </c>
      <c r="J166" s="217" t="s">
        <v>587</v>
      </c>
      <c r="K166" s="121" t="s">
        <v>588</v>
      </c>
      <c r="L166" s="121"/>
      <c r="M166" s="121"/>
      <c r="N166" s="121"/>
      <c r="O166" s="218" t="s">
        <v>299</v>
      </c>
      <c r="P166" s="433"/>
      <c r="U166" s="277">
        <v>1</v>
      </c>
      <c r="V166" s="312">
        <f t="shared" si="108"/>
        <v>0.8557993730407524</v>
      </c>
      <c r="W166" s="270">
        <f t="shared" si="108"/>
        <v>0.7304075235109718</v>
      </c>
      <c r="X166" s="270">
        <f t="shared" si="108"/>
        <v>0.6959247648902821</v>
      </c>
      <c r="Y166" s="270">
        <f t="shared" si="108"/>
        <v>0.7429467084639498</v>
      </c>
      <c r="Z166" s="289">
        <f t="shared" si="108"/>
        <v>0.9278996865203764</v>
      </c>
      <c r="AA166" s="270">
        <f t="shared" si="108"/>
        <v>1.103448275862069</v>
      </c>
      <c r="AB166" s="270">
        <f t="shared" si="108"/>
        <v>1.1912225705329151</v>
      </c>
      <c r="AC166" s="270">
        <f t="shared" si="108"/>
        <v>1.3354231974921627</v>
      </c>
      <c r="AD166" s="270">
        <f t="shared" si="108"/>
        <v>1.4921630094043885</v>
      </c>
      <c r="AE166" s="320">
        <f t="shared" si="108"/>
        <v>1.6551724137931032</v>
      </c>
      <c r="AF166" s="270">
        <f t="shared" si="108"/>
        <v>1.9247648902821313</v>
      </c>
      <c r="AG166" s="270">
        <f t="shared" si="108"/>
        <v>2.3479623824451408</v>
      </c>
      <c r="AH166" s="270">
        <f t="shared" si="108"/>
        <v>2.6771159874608146</v>
      </c>
      <c r="AI166" s="271">
        <f t="shared" si="108"/>
        <v>2.5862068965517233</v>
      </c>
      <c r="AJ166" s="299">
        <f t="shared" si="108"/>
        <v>2.41551724137931</v>
      </c>
      <c r="AK166" s="434">
        <f t="shared" si="108"/>
        <v>3.1141687910908358</v>
      </c>
      <c r="AL166" s="434">
        <f t="shared" si="108"/>
        <v>3.3866585603112838</v>
      </c>
      <c r="AM166" s="434">
        <f t="shared" si="108"/>
        <v>3.4211008778696494</v>
      </c>
      <c r="AN166" s="434">
        <f t="shared" si="108"/>
        <v>3.3184678515335597</v>
      </c>
      <c r="AO166" s="435">
        <f t="shared" si="108"/>
        <v>3.1359521196992137</v>
      </c>
      <c r="AP166" s="434">
        <f t="shared" si="108"/>
        <v>3.6627920758086816</v>
      </c>
      <c r="AQ166" s="434">
        <f t="shared" si="111"/>
        <v>3.66645486788449</v>
      </c>
      <c r="AR166" s="434">
        <f t="shared" si="111"/>
        <v>4.201757278595625</v>
      </c>
      <c r="AT166" s="226"/>
      <c r="BO166" s="281" t="str">
        <f t="shared" si="86"/>
        <v>Рww</v>
      </c>
      <c r="BP166" s="195" t="s">
        <v>292</v>
      </c>
      <c r="CQ166" s="442">
        <v>2025</v>
      </c>
      <c r="CR166" s="167"/>
      <c r="CS166" s="167"/>
      <c r="CT166" s="167"/>
      <c r="CU166" s="167"/>
      <c r="CV166" s="167"/>
      <c r="CW166" s="57">
        <f t="shared" si="105"/>
        <v>36.54269263941742</v>
      </c>
      <c r="CX166" s="75">
        <f>НАСТРОЙКА!DR166</f>
        <v>30.38533393036174</v>
      </c>
      <c r="DL166" s="316">
        <f t="shared" si="106"/>
        <v>36.54269263941742</v>
      </c>
      <c r="DN166" s="62">
        <v>2023</v>
      </c>
      <c r="DO166" s="439"/>
      <c r="DP166" s="440"/>
      <c r="DQ166" s="438"/>
      <c r="EF166" s="62">
        <v>2025</v>
      </c>
      <c r="EG166" s="77"/>
      <c r="EH166" s="437">
        <f t="shared" si="107"/>
        <v>0.816673272472237</v>
      </c>
      <c r="EX166" s="437">
        <v>0.816673272472237</v>
      </c>
      <c r="EZ166" s="411">
        <v>2023</v>
      </c>
      <c r="FA166" s="123"/>
      <c r="FB166" s="232">
        <f t="shared" si="87"/>
        <v>132.11622996733806</v>
      </c>
      <c r="FC166" s="441">
        <f t="shared" ref="FC166:FC173" si="114">FC165+0.7*(FC165-FC164)</f>
        <v>61.9</v>
      </c>
      <c r="FS166" s="412">
        <v>2023</v>
      </c>
      <c r="FT166" s="409">
        <f t="shared" si="113"/>
        <v>61.9</v>
      </c>
      <c r="FU166" s="283"/>
      <c r="FV166" s="283"/>
    </row>
    <row r="167" ht="18" customHeight="1" spans="9:178" x14ac:dyDescent="0.25">
      <c r="I167" s="195" t="s">
        <v>292</v>
      </c>
      <c r="J167" s="217" t="s">
        <v>589</v>
      </c>
      <c r="K167" s="121" t="s">
        <v>590</v>
      </c>
      <c r="L167" s="121"/>
      <c r="M167" s="121"/>
      <c r="N167" s="121"/>
      <c r="O167" s="218" t="s">
        <v>283</v>
      </c>
      <c r="P167" s="433"/>
      <c r="U167" s="355">
        <f>U51</f>
        <v>2767.6205</v>
      </c>
      <c r="V167" s="189">
        <f t="shared" ref="V167:AR167" si="115">$U167*V154</f>
        <v>2690.127126</v>
      </c>
      <c r="W167" s="242">
        <f t="shared" si="115"/>
        <v>2727.788905764</v>
      </c>
      <c r="X167" s="242">
        <f t="shared" si="115"/>
        <v>2588.671671570036</v>
      </c>
      <c r="Y167" s="242">
        <f t="shared" si="115"/>
        <v>2738.8146285210983</v>
      </c>
      <c r="Z167" s="284">
        <f t="shared" si="115"/>
        <v>2996.263203602082</v>
      </c>
      <c r="AA167" s="242">
        <f t="shared" si="115"/>
        <v>3143.0801005785834</v>
      </c>
      <c r="AB167" s="242">
        <f t="shared" si="115"/>
        <v>3281.3756250040415</v>
      </c>
      <c r="AC167" s="242">
        <f t="shared" si="115"/>
        <v>3530.7601725043487</v>
      </c>
      <c r="AD167" s="242">
        <f t="shared" si="115"/>
        <v>3813.2209863046965</v>
      </c>
      <c r="AE167" s="241">
        <f t="shared" si="115"/>
        <v>4030.5745825240638</v>
      </c>
      <c r="AF167" s="242">
        <f t="shared" si="115"/>
        <v>4389.295720368706</v>
      </c>
      <c r="AG167" s="242">
        <f t="shared" si="115"/>
        <v>4775.553743761152</v>
      </c>
      <c r="AH167" s="242">
        <f t="shared" si="115"/>
        <v>5014.33143094921</v>
      </c>
      <c r="AI167" s="279">
        <f t="shared" si="115"/>
        <v>4643.270905058968</v>
      </c>
      <c r="AJ167" s="443">
        <f t="shared" si="115"/>
        <v>4875.434450311916</v>
      </c>
      <c r="AK167" s="279">
        <f t="shared" si="115"/>
        <v>5085.078131675329</v>
      </c>
      <c r="AL167" s="279">
        <f t="shared" si="115"/>
        <v>5283.396178810667</v>
      </c>
      <c r="AM167" s="279">
        <f t="shared" si="115"/>
        <v>5394.347498565691</v>
      </c>
      <c r="AN167" s="279">
        <f t="shared" si="115"/>
        <v>5437.502278554217</v>
      </c>
      <c r="AO167" s="279">
        <f t="shared" si="115"/>
        <v>5366.814748933011</v>
      </c>
      <c r="AP167" s="279">
        <f t="shared" si="115"/>
        <v>5431.2165259202075</v>
      </c>
      <c r="AQ167" s="279">
        <f t="shared" si="115"/>
        <v>5566.996939068213</v>
      </c>
      <c r="AR167" s="279">
        <f t="shared" si="115"/>
        <v>5706.1718625449175</v>
      </c>
      <c r="AT167" s="226"/>
      <c r="BO167" s="281" t="str">
        <f t="shared" si="86"/>
        <v>XOS</v>
      </c>
      <c r="BP167" s="195" t="s">
        <v>292</v>
      </c>
      <c r="CQ167" s="442">
        <v>2026</v>
      </c>
      <c r="CR167" s="167"/>
      <c r="CS167" s="167"/>
      <c r="CT167" s="167"/>
      <c r="CU167" s="167"/>
      <c r="CV167" s="167"/>
      <c r="CW167" s="57">
        <f t="shared" si="105"/>
        <v>38.16982727138829</v>
      </c>
      <c r="CX167" s="75">
        <f>НАСТРОЙКА!DR167</f>
        <v>31.904600626879827</v>
      </c>
      <c r="DL167" s="316">
        <f t="shared" si="106"/>
        <v>38.16982727138829</v>
      </c>
      <c r="DN167" s="62">
        <v>2024</v>
      </c>
      <c r="DO167" s="439"/>
      <c r="DP167" s="440"/>
      <c r="DQ167" s="438"/>
      <c r="EF167" s="62">
        <v>2026</v>
      </c>
      <c r="EG167" s="77"/>
      <c r="EH167" s="437">
        <f t="shared" si="107"/>
        <v>0.8353857551246907</v>
      </c>
      <c r="EX167" s="437">
        <v>0.8353857551246907</v>
      </c>
      <c r="EZ167" s="411">
        <v>2024</v>
      </c>
      <c r="FA167" s="123"/>
      <c r="FB167" s="232">
        <f t="shared" si="87"/>
        <v>133.0131200715841</v>
      </c>
      <c r="FC167" s="441">
        <f t="shared" si="114"/>
        <v>65.33</v>
      </c>
      <c r="FS167" s="412">
        <v>2024</v>
      </c>
      <c r="FT167" s="409">
        <f t="shared" si="113"/>
        <v>65.33</v>
      </c>
      <c r="FU167" s="283"/>
      <c r="FV167" s="283"/>
    </row>
    <row r="168" ht="18" customHeight="1" spans="6:178" x14ac:dyDescent="0.25">
      <c r="F168" s="287" t="s">
        <v>591</v>
      </c>
      <c r="G168" s="287"/>
      <c r="H168" s="287"/>
      <c r="I168" s="195" t="s">
        <v>292</v>
      </c>
      <c r="J168" s="217" t="s">
        <v>480</v>
      </c>
      <c r="K168" s="288" t="s">
        <v>592</v>
      </c>
      <c r="L168" s="121"/>
      <c r="M168" s="121"/>
      <c r="N168" s="121"/>
      <c r="O168" s="218" t="s">
        <v>299</v>
      </c>
      <c r="P168" s="433"/>
      <c r="U168" s="355">
        <f t="shared" ref="U168:AR168" si="116">U66/U51</f>
        <v>0.039346290432521365</v>
      </c>
      <c r="V168" s="444">
        <f t="shared" si="116"/>
        <v>0.04727824241680851</v>
      </c>
      <c r="W168" s="376">
        <f t="shared" si="116"/>
        <v>0.04958825251627314</v>
      </c>
      <c r="X168" s="376">
        <f t="shared" si="116"/>
        <v>0.053861945523556415</v>
      </c>
      <c r="Y168" s="376">
        <f t="shared" si="116"/>
        <v>0.05965893639586271</v>
      </c>
      <c r="Z168" s="289">
        <f t="shared" si="116"/>
        <v>0.06639845630395663</v>
      </c>
      <c r="AA168" s="376">
        <f t="shared" si="116"/>
        <v>0.06892569944409233</v>
      </c>
      <c r="AB168" s="376">
        <f t="shared" si="116"/>
        <v>0.06584386483806699</v>
      </c>
      <c r="AC168" s="376">
        <f t="shared" si="116"/>
        <v>0.06825479702641113</v>
      </c>
      <c r="AD168" s="376">
        <f t="shared" si="116"/>
        <v>0.07352845782238589</v>
      </c>
      <c r="AE168" s="320">
        <f t="shared" si="116"/>
        <v>0.08352376333588525</v>
      </c>
      <c r="AF168" s="376">
        <f t="shared" si="116"/>
        <v>0.08523432370158822</v>
      </c>
      <c r="AG168" s="376">
        <f t="shared" si="116"/>
        <v>0.08247387228514894</v>
      </c>
      <c r="AH168" s="376">
        <f t="shared" si="116"/>
        <v>0.0851118671022953</v>
      </c>
      <c r="AI168" s="377">
        <f t="shared" si="116"/>
        <v>0.07304977354972729</v>
      </c>
      <c r="AJ168" s="299">
        <f t="shared" si="116"/>
        <v>0.07639386457310132</v>
      </c>
      <c r="AK168" s="377">
        <f t="shared" si="116"/>
        <v>0.0812042182400152</v>
      </c>
      <c r="AL168" s="377">
        <f t="shared" si="116"/>
        <v>0.08106352276502601</v>
      </c>
      <c r="AM168" s="377">
        <f t="shared" si="116"/>
        <v>0.07521949182823459</v>
      </c>
      <c r="AN168" s="377">
        <f t="shared" si="116"/>
        <v>0.07747490494554175</v>
      </c>
      <c r="AO168" s="435">
        <f t="shared" si="116"/>
        <v>0.05800963166321928</v>
      </c>
      <c r="AP168" s="271">
        <f t="shared" si="116"/>
        <v>0.05549924767559382</v>
      </c>
      <c r="AQ168" s="271">
        <f t="shared" si="116"/>
        <v>0.053783428415799264</v>
      </c>
      <c r="AR168" s="271">
        <f t="shared" si="116"/>
        <v>0.0596993438406504</v>
      </c>
      <c r="AT168" s="226"/>
      <c r="BO168" s="281" t="str">
        <f t="shared" si="86"/>
        <v>n1</v>
      </c>
      <c r="BP168" s="195" t="s">
        <v>292</v>
      </c>
      <c r="CQ168" s="442">
        <v>2027</v>
      </c>
      <c r="CR168" s="167"/>
      <c r="CS168" s="167"/>
      <c r="CT168" s="167"/>
      <c r="CU168" s="167"/>
      <c r="CV168" s="167"/>
      <c r="CW168" s="57">
        <f t="shared" si="105"/>
        <v>39.87831863495771</v>
      </c>
      <c r="CX168" s="75">
        <f>НАСТРОЙКА!DR168</f>
        <v>33.49983065822382</v>
      </c>
      <c r="DL168" s="316">
        <f t="shared" si="106"/>
        <v>39.87831863495771</v>
      </c>
      <c r="DN168" s="62">
        <v>2025</v>
      </c>
      <c r="DO168" s="439"/>
      <c r="DP168" s="440"/>
      <c r="DQ168" s="438"/>
      <c r="EF168" s="62">
        <v>2027</v>
      </c>
      <c r="EG168" s="77"/>
      <c r="EH168" s="437">
        <f t="shared" si="107"/>
        <v>0.8531626136445217</v>
      </c>
      <c r="EX168" s="437">
        <v>0.8531626136445217</v>
      </c>
      <c r="EZ168" s="411">
        <v>2025</v>
      </c>
      <c r="FA168" s="123"/>
      <c r="FB168" s="232">
        <f t="shared" si="87"/>
        <v>133.79341446227815</v>
      </c>
      <c r="FC168" s="441">
        <f t="shared" si="114"/>
        <v>67.731</v>
      </c>
      <c r="FS168" s="412">
        <v>2025</v>
      </c>
      <c r="FT168" s="409">
        <f t="shared" si="113"/>
        <v>67.731</v>
      </c>
      <c r="FU168" s="283"/>
      <c r="FV168" s="283"/>
    </row>
    <row r="169" ht="18" customHeight="1" spans="6:178" x14ac:dyDescent="0.25">
      <c r="F169" s="287" t="s">
        <v>593</v>
      </c>
      <c r="G169" s="287"/>
      <c r="H169" s="287"/>
      <c r="I169" s="195" t="s">
        <v>292</v>
      </c>
      <c r="J169" s="217" t="s">
        <v>483</v>
      </c>
      <c r="K169" s="288" t="s">
        <v>594</v>
      </c>
      <c r="L169" s="121"/>
      <c r="M169" s="121"/>
      <c r="N169" s="121"/>
      <c r="O169" s="218" t="s">
        <v>299</v>
      </c>
      <c r="P169" s="433"/>
      <c r="U169" s="355">
        <f>U100/(U51+U52)</f>
        <v>0.05413642837764514</v>
      </c>
      <c r="V169" s="312">
        <f>V100/(V51+V52)</f>
        <v>0.06744382725080347</v>
      </c>
      <c r="W169" s="312">
        <f t="shared" ref="W169:AR169" si="117">W100/(W51+W52)</f>
        <v>0.07337842274391265</v>
      </c>
      <c r="X169" s="312">
        <f t="shared" si="117"/>
        <v>0.08044425149690274</v>
      </c>
      <c r="Y169" s="312">
        <f t="shared" si="117"/>
        <v>0.0792547653553883</v>
      </c>
      <c r="Z169" s="312">
        <f t="shared" si="117"/>
        <v>0.08725766032131918</v>
      </c>
      <c r="AA169" s="312">
        <f t="shared" si="117"/>
        <v>0.0775390856929812</v>
      </c>
      <c r="AB169" s="312">
        <f t="shared" si="117"/>
        <v>0.08544188057752926</v>
      </c>
      <c r="AC169" s="312">
        <f t="shared" si="117"/>
        <v>0.07993808753736403</v>
      </c>
      <c r="AD169" s="312">
        <f t="shared" si="117"/>
        <v>0.08644196204397055</v>
      </c>
      <c r="AE169" s="312">
        <f t="shared" si="117"/>
        <v>0.10195514871018198</v>
      </c>
      <c r="AF169" s="312">
        <f t="shared" si="117"/>
        <v>0.10383564125667144</v>
      </c>
      <c r="AG169" s="312">
        <f t="shared" si="117"/>
        <v>0.09757961920258694</v>
      </c>
      <c r="AH169" s="312">
        <f t="shared" si="117"/>
        <v>0.10182322919675864</v>
      </c>
      <c r="AI169" s="312">
        <f t="shared" si="117"/>
        <v>0.08511143557685862</v>
      </c>
      <c r="AJ169" s="312">
        <f t="shared" si="117"/>
        <v>0.08949031890021944</v>
      </c>
      <c r="AK169" s="312">
        <f t="shared" si="117"/>
        <v>0.07742687832977277</v>
      </c>
      <c r="AL169" s="312">
        <f t="shared" si="117"/>
        <v>0.07748079174133626</v>
      </c>
      <c r="AM169" s="312">
        <f t="shared" si="117"/>
        <v>0.07287041882190425</v>
      </c>
      <c r="AN169" s="312">
        <f t="shared" si="117"/>
        <v>0.0737567232294903</v>
      </c>
      <c r="AO169" s="312">
        <f t="shared" si="117"/>
        <v>0.05683924089777224</v>
      </c>
      <c r="AP169" s="312">
        <f t="shared" si="117"/>
        <v>0.054905885518075605</v>
      </c>
      <c r="AQ169" s="312">
        <f t="shared" si="117"/>
        <v>0.0538590011717765</v>
      </c>
      <c r="AR169" s="312">
        <f t="shared" si="117"/>
        <v>0.059026548886211824</v>
      </c>
      <c r="AT169" s="226"/>
      <c r="BO169" s="281" t="str">
        <f t="shared" si="86"/>
        <v>n2</v>
      </c>
      <c r="BP169" s="195" t="s">
        <v>292</v>
      </c>
      <c r="CQ169" s="442">
        <v>2028</v>
      </c>
      <c r="CR169" s="167"/>
      <c r="CS169" s="167"/>
      <c r="CT169" s="167"/>
      <c r="CU169" s="167"/>
      <c r="CV169" s="167"/>
      <c r="CW169" s="57">
        <f t="shared" si="105"/>
        <v>41.6722345667056</v>
      </c>
      <c r="CX169" s="75">
        <f>НАСТРОЙКА!DR169</f>
        <v>35.174822191135014</v>
      </c>
      <c r="DL169" s="316">
        <f t="shared" si="106"/>
        <v>41.6722345667056</v>
      </c>
      <c r="DN169" s="62">
        <v>2026</v>
      </c>
      <c r="DO169" s="439"/>
      <c r="DP169" s="440"/>
      <c r="DQ169" s="438"/>
      <c r="EF169" s="62">
        <v>2028</v>
      </c>
      <c r="EG169" s="77"/>
      <c r="EH169" s="437">
        <f t="shared" si="107"/>
        <v>0.8700506292383612</v>
      </c>
      <c r="EX169" s="437">
        <v>0.8700506292383612</v>
      </c>
      <c r="EZ169" s="411">
        <v>2026</v>
      </c>
      <c r="FA169" s="123"/>
      <c r="FB169" s="232">
        <f t="shared" si="87"/>
        <v>134.47227058218198</v>
      </c>
      <c r="FC169" s="441">
        <f t="shared" si="114"/>
        <v>69.4117</v>
      </c>
      <c r="FS169" s="412">
        <v>2026</v>
      </c>
      <c r="FT169" s="409">
        <f t="shared" si="113"/>
        <v>69.4117</v>
      </c>
      <c r="FU169" s="283"/>
      <c r="FV169" s="283"/>
    </row>
    <row r="170" ht="18" customHeight="1" spans="6:178" x14ac:dyDescent="0.25">
      <c r="F170" s="287" t="s">
        <v>595</v>
      </c>
      <c r="G170" s="287"/>
      <c r="H170" s="287"/>
      <c r="I170" s="195" t="s">
        <v>292</v>
      </c>
      <c r="J170" s="217" t="s">
        <v>596</v>
      </c>
      <c r="K170" s="121" t="s">
        <v>597</v>
      </c>
      <c r="L170" s="121"/>
      <c r="M170" s="121"/>
      <c r="N170" s="119"/>
      <c r="O170" s="218" t="s">
        <v>598</v>
      </c>
      <c r="P170" s="433"/>
      <c r="U170" s="355">
        <f>U167/U91</f>
        <v>43.206939348996954</v>
      </c>
      <c r="V170" s="312">
        <f>V167/V91</f>
        <v>42.7492868993135</v>
      </c>
      <c r="W170" s="270">
        <f t="shared" ref="W170:AR170" si="118">W167/W91</f>
        <v>45.44724189473684</v>
      </c>
      <c r="X170" s="270">
        <f t="shared" si="118"/>
        <v>44.298503885723704</v>
      </c>
      <c r="Y170" s="270">
        <f t="shared" si="118"/>
        <v>43.41673739769028</v>
      </c>
      <c r="Z170" s="334">
        <f t="shared" si="118"/>
        <v>46.04676815125376</v>
      </c>
      <c r="AA170" s="270">
        <f t="shared" si="118"/>
        <v>48.263748607689806</v>
      </c>
      <c r="AB170" s="270">
        <f t="shared" si="118"/>
        <v>49.22629539903151</v>
      </c>
      <c r="AC170" s="270">
        <f t="shared" si="118"/>
        <v>53.22299360111471</v>
      </c>
      <c r="AD170" s="270">
        <f t="shared" si="118"/>
        <v>56.64405273852399</v>
      </c>
      <c r="AE170" s="320">
        <f t="shared" si="118"/>
        <v>58.97912732881757</v>
      </c>
      <c r="AF170" s="270">
        <f t="shared" si="118"/>
        <v>63.457556425113935</v>
      </c>
      <c r="AG170" s="270">
        <f t="shared" si="118"/>
        <v>67.47991724969835</v>
      </c>
      <c r="AH170" s="270">
        <f t="shared" si="118"/>
        <v>70.62140234848118</v>
      </c>
      <c r="AI170" s="271">
        <f t="shared" si="118"/>
        <v>66.89628158851706</v>
      </c>
      <c r="AJ170" s="299">
        <f t="shared" si="118"/>
        <v>69.7150852939227</v>
      </c>
      <c r="AK170" s="271">
        <f t="shared" si="118"/>
        <v>71.76575210476639</v>
      </c>
      <c r="AL170" s="271">
        <f t="shared" si="118"/>
        <v>73.84674636436351</v>
      </c>
      <c r="AM170" s="271">
        <f t="shared" si="118"/>
        <v>75.56012344053151</v>
      </c>
      <c r="AN170" s="271">
        <f t="shared" si="118"/>
        <v>76.00747797621544</v>
      </c>
      <c r="AO170" s="435">
        <f t="shared" si="118"/>
        <v>74.20555775569582</v>
      </c>
      <c r="AP170" s="434">
        <f t="shared" si="118"/>
        <v>75.0240565513269</v>
      </c>
      <c r="AQ170" s="434">
        <f t="shared" si="118"/>
        <v>77.16721104305692</v>
      </c>
      <c r="AR170" s="434">
        <f t="shared" si="118"/>
        <v>78.86463585351076</v>
      </c>
      <c r="AT170" s="226"/>
      <c r="BO170" s="281" t="str">
        <f t="shared" si="86"/>
        <v>POS</v>
      </c>
      <c r="BP170" s="195" t="s">
        <v>292</v>
      </c>
      <c r="CQ170" s="442">
        <v>2029</v>
      </c>
      <c r="CR170" s="167"/>
      <c r="CS170" s="167"/>
      <c r="CT170" s="167"/>
      <c r="CU170" s="167"/>
      <c r="CV170" s="167"/>
      <c r="CW170" s="57">
        <f t="shared" si="105"/>
        <v>43.55584629504088</v>
      </c>
      <c r="CX170" s="75">
        <f>НАСТРОЙКА!DR170</f>
        <v>36.933563300691766</v>
      </c>
      <c r="DL170" s="316">
        <f t="shared" si="106"/>
        <v>43.55584629504088</v>
      </c>
      <c r="DN170" s="62">
        <v>2027</v>
      </c>
      <c r="DO170" s="439"/>
      <c r="DP170" s="440"/>
      <c r="DQ170" s="438"/>
      <c r="EF170" s="62">
        <v>2029</v>
      </c>
      <c r="EG170" s="77"/>
      <c r="EH170" s="437">
        <f t="shared" si="107"/>
        <v>0.8860942440525087</v>
      </c>
      <c r="EX170" s="437">
        <v>0.8860942440525087</v>
      </c>
      <c r="EZ170" s="411">
        <v>2027</v>
      </c>
      <c r="FA170" s="123"/>
      <c r="FB170" s="232">
        <f t="shared" si="87"/>
        <v>135.0628754064983</v>
      </c>
      <c r="FC170" s="441">
        <f t="shared" si="114"/>
        <v>70.58819</v>
      </c>
      <c r="FS170" s="412">
        <v>2027</v>
      </c>
      <c r="FT170" s="409">
        <f t="shared" si="113"/>
        <v>70.58819</v>
      </c>
      <c r="FU170" s="283"/>
      <c r="FV170" s="283"/>
    </row>
    <row r="171" ht="18" customHeight="1" spans="6:178" x14ac:dyDescent="0.25">
      <c r="F171" s="287" t="s">
        <v>354</v>
      </c>
      <c r="G171" s="287"/>
      <c r="H171" s="287"/>
      <c r="I171" s="195" t="s">
        <v>292</v>
      </c>
      <c r="J171" s="217" t="s">
        <v>355</v>
      </c>
      <c r="K171" s="121" t="s">
        <v>599</v>
      </c>
      <c r="L171" s="121"/>
      <c r="M171" s="121"/>
      <c r="N171" s="121"/>
      <c r="O171" s="218" t="s">
        <v>299</v>
      </c>
      <c r="P171" s="433"/>
      <c r="U171" s="355">
        <f>U145/U149</f>
        <v>0.5033850497134363</v>
      </c>
      <c r="V171" s="444">
        <f>V145/V149</f>
        <v>0.5074724155594162</v>
      </c>
      <c r="W171" s="376">
        <f t="shared" ref="W171:AR171" si="119">W145/W149</f>
        <v>0.5074724155594164</v>
      </c>
      <c r="X171" s="376">
        <f t="shared" si="119"/>
        <v>0.5085104083611879</v>
      </c>
      <c r="Y171" s="376">
        <f t="shared" si="119"/>
        <v>0.5057231327942381</v>
      </c>
      <c r="Z171" s="334">
        <f t="shared" si="119"/>
        <v>0.5030122907437494</v>
      </c>
      <c r="AA171" s="376">
        <f t="shared" si="119"/>
        <v>0.5020647450635659</v>
      </c>
      <c r="AB171" s="376">
        <f t="shared" si="119"/>
        <v>0.5006338966298406</v>
      </c>
      <c r="AC171" s="376">
        <f t="shared" si="119"/>
        <v>0.5020261813046646</v>
      </c>
      <c r="AD171" s="376">
        <f t="shared" si="119"/>
        <v>0.5057148762579633</v>
      </c>
      <c r="AE171" s="320">
        <f t="shared" si="119"/>
        <v>0.502441464842453</v>
      </c>
      <c r="AF171" s="376">
        <f t="shared" si="119"/>
        <v>0.5056397290721157</v>
      </c>
      <c r="AG171" s="376">
        <f t="shared" si="119"/>
        <v>0.5070028548191596</v>
      </c>
      <c r="AH171" s="376">
        <f t="shared" si="119"/>
        <v>0.5060638126378627</v>
      </c>
      <c r="AI171" s="377">
        <f t="shared" si="119"/>
        <v>0.5087308546862543</v>
      </c>
      <c r="AJ171" s="299">
        <f t="shared" si="119"/>
        <v>0.5110702315687009</v>
      </c>
      <c r="AK171" s="377">
        <f t="shared" si="119"/>
        <v>0.5110702315687009</v>
      </c>
      <c r="AL171" s="377">
        <f t="shared" si="119"/>
        <v>0.5122189032468178</v>
      </c>
      <c r="AM171" s="377">
        <f t="shared" si="119"/>
        <v>0.5137221170238432</v>
      </c>
      <c r="AN171" s="377">
        <f t="shared" si="119"/>
        <v>0.5140183182736008</v>
      </c>
      <c r="AO171" s="435">
        <f t="shared" si="119"/>
        <v>0.5189421448361783</v>
      </c>
      <c r="AP171" s="434">
        <f t="shared" si="119"/>
        <v>0.5236956809543979</v>
      </c>
      <c r="AQ171" s="434">
        <f t="shared" si="119"/>
        <v>0.5269484909381239</v>
      </c>
      <c r="AR171" s="434">
        <f t="shared" si="119"/>
        <v>0.5255639499359915</v>
      </c>
      <c r="AT171" s="226"/>
      <c r="BO171" s="281" t="str">
        <f t="shared" si="86"/>
        <v>aS</v>
      </c>
      <c r="BP171" s="195" t="s">
        <v>292</v>
      </c>
      <c r="CQ171" s="442">
        <v>2030</v>
      </c>
      <c r="CR171" s="167"/>
      <c r="CS171" s="167"/>
      <c r="CT171" s="167"/>
      <c r="CU171" s="167"/>
      <c r="CV171" s="167"/>
      <c r="CW171" s="57">
        <f t="shared" si="105"/>
        <v>45.53363860979292</v>
      </c>
      <c r="CX171" s="75">
        <f>НАСТРОЙКА!DR171</f>
        <v>38.780241465726355</v>
      </c>
      <c r="DL171" s="316">
        <f t="shared" si="106"/>
        <v>45.53363860979292</v>
      </c>
      <c r="DN171" s="62">
        <v>2028</v>
      </c>
      <c r="DO171" s="439"/>
      <c r="DP171" s="440"/>
      <c r="DQ171" s="438"/>
      <c r="EF171" s="62">
        <v>2030</v>
      </c>
      <c r="EG171" s="114"/>
      <c r="EH171" s="437">
        <f t="shared" si="107"/>
        <v>0.9013356781259488</v>
      </c>
      <c r="EX171" s="437">
        <v>0.9013356781259488</v>
      </c>
      <c r="EZ171" s="411">
        <v>2028</v>
      </c>
      <c r="FA171" s="123"/>
      <c r="FB171" s="232">
        <f t="shared" si="87"/>
        <v>135.5767016036535</v>
      </c>
      <c r="FC171" s="441">
        <f t="shared" si="114"/>
        <v>71.411733</v>
      </c>
      <c r="FS171" s="412">
        <v>2028</v>
      </c>
      <c r="FT171" s="409">
        <f t="shared" si="113"/>
        <v>71.411733</v>
      </c>
      <c r="FU171" s="283"/>
      <c r="FV171" s="283"/>
    </row>
    <row r="172" ht="18" customHeight="1" spans="6:178" x14ac:dyDescent="0.25">
      <c r="F172" s="287" t="s">
        <v>600</v>
      </c>
      <c r="G172" s="287"/>
      <c r="H172" s="287"/>
      <c r="I172" s="195" t="s">
        <v>292</v>
      </c>
      <c r="J172" s="217" t="s">
        <v>601</v>
      </c>
      <c r="K172" s="121" t="s">
        <v>602</v>
      </c>
      <c r="L172" s="121"/>
      <c r="M172" s="121"/>
      <c r="N172" s="121"/>
      <c r="O172" s="218" t="s">
        <v>299</v>
      </c>
      <c r="P172" s="433"/>
      <c r="U172" s="355">
        <f>U177/U193</f>
        <v>1.3068917176995491</v>
      </c>
      <c r="V172" s="312">
        <f>V177/V193</f>
        <v>1.2033552559031906</v>
      </c>
      <c r="W172" s="270">
        <f t="shared" ref="W172:AR172" si="120">W177/W193</f>
        <v>1.29855460110518</v>
      </c>
      <c r="X172" s="270">
        <f t="shared" si="120"/>
        <v>1.1938981194701628</v>
      </c>
      <c r="Y172" s="270">
        <f t="shared" si="120"/>
        <v>1.189908383982313</v>
      </c>
      <c r="Z172" s="334">
        <f t="shared" si="120"/>
        <v>1.125174955917221</v>
      </c>
      <c r="AA172" s="270">
        <f t="shared" si="120"/>
        <v>1.0426791739220176</v>
      </c>
      <c r="AB172" s="270">
        <f t="shared" si="120"/>
        <v>0.9928939872598045</v>
      </c>
      <c r="AC172" s="270">
        <f t="shared" si="120"/>
        <v>1.0087896140041985</v>
      </c>
      <c r="AD172" s="270">
        <f t="shared" si="120"/>
        <v>1.0165801825358778</v>
      </c>
      <c r="AE172" s="320">
        <f t="shared" si="120"/>
        <v>1.0133177037488763</v>
      </c>
      <c r="AF172" s="270">
        <f t="shared" si="120"/>
        <v>1.028236909028827</v>
      </c>
      <c r="AG172" s="270">
        <f t="shared" si="120"/>
        <v>1.0199176624751358</v>
      </c>
      <c r="AH172" s="270">
        <f t="shared" si="120"/>
        <v>0.9893368525625619</v>
      </c>
      <c r="AI172" s="271">
        <f t="shared" si="120"/>
        <v>0.8766411918881145</v>
      </c>
      <c r="AJ172" s="299">
        <f t="shared" si="120"/>
        <v>0.9939646918731405</v>
      </c>
      <c r="AK172" s="271">
        <f t="shared" si="120"/>
        <v>0.8411311209061394</v>
      </c>
      <c r="AL172" s="271">
        <f t="shared" si="120"/>
        <v>0.812126599495583</v>
      </c>
      <c r="AM172" s="271">
        <f t="shared" si="120"/>
        <v>0.8144017791946162</v>
      </c>
      <c r="AN172" s="271">
        <f t="shared" si="120"/>
        <v>0.8244768527516629</v>
      </c>
      <c r="AO172" s="435">
        <f t="shared" si="120"/>
        <v>0.7791088142933704</v>
      </c>
      <c r="AP172" s="434">
        <f t="shared" si="120"/>
        <v>0.673715669894096</v>
      </c>
      <c r="AQ172" s="434">
        <f t="shared" si="120"/>
        <v>0.7080408438847045</v>
      </c>
      <c r="AR172" s="434">
        <f t="shared" si="120"/>
        <v>0.6357539514462136</v>
      </c>
      <c r="AT172" s="226"/>
      <c r="BO172" s="281" t="str">
        <f t="shared" si="86"/>
        <v>nS</v>
      </c>
      <c r="BP172" s="195" t="s">
        <v>292</v>
      </c>
      <c r="CQ172" s="442">
        <v>2031</v>
      </c>
      <c r="CR172" s="167"/>
      <c r="CS172" s="167"/>
      <c r="CT172" s="167"/>
      <c r="CU172" s="167"/>
      <c r="CV172" s="167"/>
      <c r="CW172" s="57">
        <f t="shared" si="105"/>
        <v>47.61032054028257</v>
      </c>
      <c r="CX172" s="75">
        <f>НАСТРОЙКА!DR172</f>
        <v>40.719253539012676</v>
      </c>
      <c r="DL172" s="316">
        <f t="shared" si="106"/>
        <v>47.61032054028257</v>
      </c>
      <c r="DN172" s="62">
        <v>2029</v>
      </c>
      <c r="DO172" s="439"/>
      <c r="DP172" s="440"/>
      <c r="DQ172" s="438"/>
      <c r="EF172" s="62">
        <v>2031</v>
      </c>
      <c r="EG172" s="114"/>
      <c r="EH172" s="437">
        <f t="shared" si="107"/>
        <v>0.9158150404957169</v>
      </c>
      <c r="EX172" s="437">
        <v>0.9158150404957169</v>
      </c>
      <c r="EZ172" s="411">
        <v>2029</v>
      </c>
      <c r="FA172" s="123"/>
      <c r="FB172" s="232">
        <f t="shared" si="87"/>
        <v>136.02373039517852</v>
      </c>
      <c r="FC172" s="441">
        <f t="shared" si="114"/>
        <v>71.9882131</v>
      </c>
      <c r="FS172" s="412">
        <v>2029</v>
      </c>
      <c r="FT172" s="409">
        <f t="shared" si="113"/>
        <v>71.9882131</v>
      </c>
      <c r="FU172" s="283"/>
      <c r="FV172" s="283"/>
    </row>
    <row r="173" ht="18" customHeight="1" spans="9:178" x14ac:dyDescent="0.25">
      <c r="I173" s="195" t="s">
        <v>292</v>
      </c>
      <c r="J173" s="217" t="s">
        <v>603</v>
      </c>
      <c r="K173" s="121" t="s">
        <v>604</v>
      </c>
      <c r="L173" s="121"/>
      <c r="M173" s="121"/>
      <c r="N173" s="121"/>
      <c r="O173" s="218" t="s">
        <v>299</v>
      </c>
      <c r="P173" s="433"/>
      <c r="U173" s="355"/>
      <c r="V173" s="312"/>
      <c r="W173" s="270"/>
      <c r="X173" s="270"/>
      <c r="Y173" s="270"/>
      <c r="Z173" s="334"/>
      <c r="AA173" s="270"/>
      <c r="AB173" s="270"/>
      <c r="AC173" s="270"/>
      <c r="AD173" s="270"/>
      <c r="AE173" s="320"/>
      <c r="AF173" s="270"/>
      <c r="AG173" s="270"/>
      <c r="AH173" s="270"/>
      <c r="AI173" s="271"/>
      <c r="AJ173" s="299"/>
      <c r="AK173" s="271"/>
      <c r="AL173" s="271"/>
      <c r="AM173" s="271"/>
      <c r="AN173" s="271"/>
      <c r="AO173" s="435"/>
      <c r="AP173" s="434"/>
      <c r="AT173" s="226"/>
      <c r="BO173" s="281" t="str">
        <f t="shared" si="86"/>
        <v>v</v>
      </c>
      <c r="BP173" s="195"/>
      <c r="CQ173" s="442">
        <v>2032</v>
      </c>
      <c r="CR173" s="167"/>
      <c r="CS173" s="167"/>
      <c r="CT173" s="167"/>
      <c r="CU173" s="167"/>
      <c r="CV173" s="167"/>
      <c r="CW173" s="57">
        <f t="shared" si="105"/>
        <v>49.79083656729671</v>
      </c>
      <c r="CX173" s="75">
        <f>НАСТРОЙКА!DR173</f>
        <v>42.755216215963316</v>
      </c>
      <c r="DL173" s="316">
        <f t="shared" si="106"/>
        <v>49.79083656729671</v>
      </c>
      <c r="DN173" s="34">
        <v>2030</v>
      </c>
      <c r="DO173" s="182"/>
      <c r="DP173" s="182"/>
      <c r="DQ173" s="263"/>
      <c r="EF173" s="62">
        <v>2032</v>
      </c>
      <c r="EG173" s="114"/>
      <c r="EH173" s="437">
        <f t="shared" si="107"/>
        <v>0.9295704347469966</v>
      </c>
      <c r="EX173" s="437">
        <v>0.9295704347469966</v>
      </c>
      <c r="EZ173" s="445">
        <v>2030</v>
      </c>
      <c r="FA173" s="446"/>
      <c r="FB173" s="447">
        <f t="shared" si="87"/>
        <v>136.41264544380527</v>
      </c>
      <c r="FC173" s="441">
        <f t="shared" si="114"/>
        <v>72.39174917</v>
      </c>
      <c r="FS173" s="448">
        <v>2030</v>
      </c>
      <c r="FT173" s="409">
        <f t="shared" si="113"/>
        <v>72.39174917</v>
      </c>
      <c r="FU173" s="283"/>
      <c r="FV173" s="283"/>
    </row>
    <row r="174" ht="18" customHeight="1" spans="9:154" x14ac:dyDescent="0.25">
      <c r="I174" s="195" t="s">
        <v>292</v>
      </c>
      <c r="J174" s="217" t="s">
        <v>605</v>
      </c>
      <c r="K174" s="121" t="s">
        <v>606</v>
      </c>
      <c r="L174" s="121"/>
      <c r="M174" s="121"/>
      <c r="N174" s="121"/>
      <c r="O174" s="218" t="s">
        <v>598</v>
      </c>
      <c r="P174" s="433"/>
      <c r="U174" s="355">
        <f>U199/U91</f>
        <v>22.301473733510264</v>
      </c>
      <c r="V174" s="268">
        <f>V199/V91</f>
        <v>21.883647145944572</v>
      </c>
      <c r="W174" s="268">
        <f t="shared" ref="W174:AP174" si="121">W199/W91</f>
        <v>23.26474843248863</v>
      </c>
      <c r="X174" s="268">
        <f t="shared" si="121"/>
        <v>22.628910997930777</v>
      </c>
      <c r="Y174" s="268">
        <f t="shared" si="121"/>
        <v>22.3042559683141</v>
      </c>
      <c r="Z174" s="334">
        <f t="shared" si="121"/>
        <v>23.785105002190093</v>
      </c>
      <c r="AA174" s="268">
        <f t="shared" si="121"/>
        <v>24.97780075241661</v>
      </c>
      <c r="AB174" s="268">
        <f t="shared" si="121"/>
        <v>25.549151597899893</v>
      </c>
      <c r="AC174" s="268">
        <f t="shared" si="121"/>
        <v>27.546477966188984</v>
      </c>
      <c r="AD174" s="268">
        <f t="shared" si="121"/>
        <v>29.099942356965194</v>
      </c>
      <c r="AE174" s="449">
        <f t="shared" si="121"/>
        <v>30.500207447846275</v>
      </c>
      <c r="AF174" s="268">
        <f t="shared" si="121"/>
        <v>32.605223124148</v>
      </c>
      <c r="AG174" s="268">
        <f t="shared" si="121"/>
        <v>34.57635560163204</v>
      </c>
      <c r="AH174" s="268">
        <f t="shared" si="121"/>
        <v>36.254961869156645</v>
      </c>
      <c r="AI174" s="268">
        <f t="shared" si="121"/>
        <v>34.15715868096336</v>
      </c>
      <c r="AJ174" s="417">
        <f t="shared" si="121"/>
        <v>35.426929528449264</v>
      </c>
      <c r="AK174" s="268">
        <f t="shared" si="121"/>
        <v>36.46901142919998</v>
      </c>
      <c r="AL174" s="268">
        <f t="shared" si="121"/>
        <v>37.43834150758296</v>
      </c>
      <c r="AM174" s="268">
        <f t="shared" si="121"/>
        <v>38.1889261462379</v>
      </c>
      <c r="AN174" s="268">
        <f t="shared" si="121"/>
        <v>38.39162476730791</v>
      </c>
      <c r="AO174" s="359">
        <f t="shared" si="121"/>
        <v>37.101717534154105</v>
      </c>
      <c r="AP174" s="268">
        <f t="shared" si="121"/>
        <v>37.14029361228722</v>
      </c>
      <c r="AQ174" s="268"/>
      <c r="AR174" s="268"/>
      <c r="AT174" s="226"/>
      <c r="BO174" s="281" t="str">
        <f t="shared" si="86"/>
        <v>PTSw</v>
      </c>
      <c r="BP174" s="195" t="s">
        <v>292</v>
      </c>
      <c r="CQ174" s="442">
        <v>2033</v>
      </c>
      <c r="CR174" s="167"/>
      <c r="CS174" s="167"/>
      <c r="CT174" s="167"/>
      <c r="CU174" s="167"/>
      <c r="CV174" s="167"/>
      <c r="CW174" s="57">
        <f t="shared" si="105"/>
        <v>52.08037839566155</v>
      </c>
      <c r="CX174" s="75">
        <f>НАСТРОЙКА!DR174</f>
        <v>44.892977026761486</v>
      </c>
      <c r="DL174" s="316">
        <f t="shared" si="106"/>
        <v>52.08037839566155</v>
      </c>
      <c r="EF174" s="62">
        <v>2033</v>
      </c>
      <c r="EG174" s="114"/>
      <c r="EH174" s="437">
        <f t="shared" si="107"/>
        <v>0.9426380592857123</v>
      </c>
      <c r="EX174" s="437">
        <v>0.9426380592857123</v>
      </c>
    </row>
    <row r="175" ht="18" customHeight="1" spans="9:154" x14ac:dyDescent="0.25">
      <c r="I175" s="195" t="s">
        <v>292</v>
      </c>
      <c r="J175" s="450" t="s">
        <v>607</v>
      </c>
      <c r="K175" s="121" t="s">
        <v>608</v>
      </c>
      <c r="L175" s="121"/>
      <c r="M175" s="121"/>
      <c r="N175" s="121"/>
      <c r="O175" s="218" t="s">
        <v>283</v>
      </c>
      <c r="P175" s="433"/>
      <c r="U175" s="355">
        <v>418.4685</v>
      </c>
      <c r="V175" s="224">
        <f>$U175*V162</f>
        <v>433.95183449999996</v>
      </c>
      <c r="W175" s="224">
        <f t="shared" ref="W175:AN175" si="122">$U175*W162</f>
        <v>431.78207532749997</v>
      </c>
      <c r="X175" s="224">
        <f t="shared" si="122"/>
        <v>439.9859347587224</v>
      </c>
      <c r="Y175" s="224">
        <f t="shared" si="122"/>
        <v>489.26435945169936</v>
      </c>
      <c r="Z175" s="334">
        <f t="shared" si="122"/>
        <v>535.7444735996108</v>
      </c>
      <c r="AA175" s="224">
        <f t="shared" si="122"/>
        <v>558.2457414907944</v>
      </c>
      <c r="AB175" s="224">
        <f t="shared" si="122"/>
        <v>615.7450528643462</v>
      </c>
      <c r="AC175" s="224">
        <f t="shared" si="122"/>
        <v>693.3289295252538</v>
      </c>
      <c r="AD175" s="224">
        <f t="shared" si="122"/>
        <v>775.1417432092338</v>
      </c>
      <c r="AE175" s="451">
        <f t="shared" si="122"/>
        <v>825.5259565178341</v>
      </c>
      <c r="AF175" s="224">
        <f t="shared" si="122"/>
        <v>885.7893513436358</v>
      </c>
      <c r="AG175" s="224">
        <f t="shared" si="122"/>
        <v>941.5940804782849</v>
      </c>
      <c r="AH175" s="224">
        <f t="shared" si="122"/>
        <v>947.2436449611545</v>
      </c>
      <c r="AI175" s="224">
        <f t="shared" si="122"/>
        <v>902.7231936479802</v>
      </c>
      <c r="AJ175" s="417">
        <f t="shared" si="122"/>
        <v>965.9138172033389</v>
      </c>
      <c r="AK175" s="224">
        <f t="shared" si="122"/>
        <v>968.8115586549488</v>
      </c>
      <c r="AL175" s="224">
        <f t="shared" si="122"/>
        <v>982.3749204761181</v>
      </c>
      <c r="AM175" s="224">
        <f t="shared" si="122"/>
        <v>1027.5641668180197</v>
      </c>
      <c r="AN175" s="224">
        <f t="shared" si="122"/>
        <v>1032.7019876521094</v>
      </c>
      <c r="AO175" s="452">
        <f>$U175*AO162</f>
        <v>1070.9119611952376</v>
      </c>
      <c r="AP175" s="224">
        <f>$U175*AP162</f>
        <v>1105.1811439534852</v>
      </c>
      <c r="AQ175" s="224">
        <f>$U175*AQ162</f>
        <v>1160.4402011511595</v>
      </c>
      <c r="AR175" s="224">
        <f>$U175*AR162</f>
        <v>1224.2644122144734</v>
      </c>
      <c r="AT175" s="226"/>
      <c r="BO175" s="281" t="str">
        <f t="shared" si="86"/>
        <v>EXS</v>
      </c>
      <c r="BP175" s="195" t="s">
        <v>292</v>
      </c>
      <c r="CQ175" s="442">
        <v>2034</v>
      </c>
      <c r="CR175" s="167"/>
      <c r="CS175" s="167"/>
      <c r="CT175" s="167"/>
      <c r="CU175" s="167"/>
      <c r="CV175" s="167"/>
      <c r="CW175" s="57">
        <f t="shared" si="105"/>
        <v>54.48439731544463</v>
      </c>
      <c r="CX175" s="75">
        <f>НАСТРОЙКА!DR175</f>
        <v>47.13762587809956</v>
      </c>
      <c r="DL175" s="316">
        <f t="shared" si="106"/>
        <v>54.48439731544463</v>
      </c>
      <c r="EF175" s="62">
        <v>2034</v>
      </c>
      <c r="EG175" s="114"/>
      <c r="EH175" s="437">
        <f t="shared" si="107"/>
        <v>0.9550523025974922</v>
      </c>
      <c r="EX175" s="437">
        <v>0.9550523025974922</v>
      </c>
    </row>
    <row r="176" ht="18" customHeight="1" spans="9:154" x14ac:dyDescent="0.25">
      <c r="I176" s="195"/>
      <c r="J176" s="217" t="s">
        <v>609</v>
      </c>
      <c r="K176" s="121"/>
      <c r="L176" s="121"/>
      <c r="M176" s="121"/>
      <c r="N176" s="121"/>
      <c r="O176" s="218" t="s">
        <v>283</v>
      </c>
      <c r="P176" s="433"/>
      <c r="U176" s="355">
        <f>U61</f>
        <v>363.362</v>
      </c>
      <c r="V176" s="189">
        <f t="shared" ref="V176:AP176" si="123">U176*V131</f>
        <v>312.49132000000003</v>
      </c>
      <c r="W176" s="242">
        <f t="shared" si="123"/>
        <v>299.67917588</v>
      </c>
      <c r="X176" s="242">
        <f t="shared" si="123"/>
        <v>164.22418838224002</v>
      </c>
      <c r="Y176" s="242">
        <f t="shared" si="123"/>
        <v>153.3853919490122</v>
      </c>
      <c r="Z176" s="289">
        <f t="shared" si="123"/>
        <v>268.73120669466937</v>
      </c>
      <c r="AA176" s="242">
        <f t="shared" si="123"/>
        <v>313.60931821267917</v>
      </c>
      <c r="AB176" s="242">
        <f t="shared" si="123"/>
        <v>306.70991321200023</v>
      </c>
      <c r="AC176" s="242">
        <f t="shared" si="123"/>
        <v>350.5694308013163</v>
      </c>
      <c r="AD176" s="242">
        <f t="shared" si="123"/>
        <v>393.3389013590769</v>
      </c>
      <c r="AE176" s="320">
        <f t="shared" si="123"/>
        <v>430.8498304548178</v>
      </c>
      <c r="AF176" s="242">
        <f t="shared" si="123"/>
        <v>507.11025044532056</v>
      </c>
      <c r="AG176" s="242">
        <f t="shared" si="123"/>
        <v>618.674505543291</v>
      </c>
      <c r="AH176" s="242">
        <f t="shared" si="123"/>
        <v>683.6353286253366</v>
      </c>
      <c r="AI176" s="279">
        <f t="shared" si="123"/>
        <v>403.34484388894856</v>
      </c>
      <c r="AJ176" s="443">
        <f t="shared" si="123"/>
        <v>518.2981243972989</v>
      </c>
      <c r="AK176" s="279">
        <f t="shared" si="123"/>
        <v>627.1407305207317</v>
      </c>
      <c r="AL176" s="279">
        <f t="shared" si="123"/>
        <v>654.7349226636439</v>
      </c>
      <c r="AM176" s="279">
        <f t="shared" si="123"/>
        <v>618.0697669944799</v>
      </c>
      <c r="AN176" s="279">
        <f t="shared" si="123"/>
        <v>580.3675112078166</v>
      </c>
      <c r="AO176" s="443">
        <f t="shared" si="123"/>
        <v>511.88414488529423</v>
      </c>
      <c r="AP176" s="279">
        <f t="shared" si="123"/>
        <v>505.7415351466707</v>
      </c>
      <c r="AQ176" s="279">
        <f>AP176*AQ131</f>
        <v>536.086027255471</v>
      </c>
      <c r="AR176" s="279">
        <f>AQ176*AR131</f>
        <v>540.3747154735147</v>
      </c>
      <c r="AT176" s="226"/>
      <c r="BO176" s="281" t="str">
        <f t="shared" si="86"/>
        <v>WNS</v>
      </c>
      <c r="BP176" s="195" t="s">
        <v>292</v>
      </c>
      <c r="CQ176" s="453">
        <v>2035</v>
      </c>
      <c r="CR176" s="179"/>
      <c r="CS176" s="179"/>
      <c r="CT176" s="179"/>
      <c r="CU176" s="179"/>
      <c r="CV176" s="179"/>
      <c r="CW176" s="94">
        <f t="shared" si="105"/>
        <v>57.00861718121687</v>
      </c>
      <c r="CX176" s="36">
        <f>НАСТРОЙКА!DR176</f>
        <v>49.494507172004546</v>
      </c>
      <c r="DL176" s="386">
        <f t="shared" si="106"/>
        <v>57.00861718121687</v>
      </c>
      <c r="EF176" s="34">
        <v>2035</v>
      </c>
      <c r="EG176" s="185"/>
      <c r="EH176" s="437">
        <f t="shared" si="107"/>
        <v>0.966845833743683</v>
      </c>
      <c r="EX176" s="454">
        <v>0.966845833743683</v>
      </c>
    </row>
    <row r="177" ht="16" customHeight="1" spans="9:68" x14ac:dyDescent="0.25">
      <c r="I177" s="195"/>
      <c r="J177" s="217" t="s">
        <v>610</v>
      </c>
      <c r="K177" s="121"/>
      <c r="L177" s="121"/>
      <c r="M177" s="121"/>
      <c r="N177" s="121"/>
      <c r="O177" s="218" t="s">
        <v>283</v>
      </c>
      <c r="P177" s="433"/>
      <c r="U177" s="355">
        <f>U80</f>
        <v>301.117</v>
      </c>
      <c r="V177" s="189">
        <f t="shared" ref="V177:AP177" si="124">U177*V132</f>
        <v>237.28019600000002</v>
      </c>
      <c r="W177" s="242">
        <f t="shared" si="124"/>
        <v>218.53506051600002</v>
      </c>
      <c r="X177" s="242">
        <f t="shared" si="124"/>
        <v>191.436713012016</v>
      </c>
      <c r="Y177" s="242">
        <f t="shared" si="124"/>
        <v>203.68866264478504</v>
      </c>
      <c r="Z177" s="289">
        <f t="shared" si="124"/>
        <v>240.55631058349115</v>
      </c>
      <c r="AA177" s="242">
        <f t="shared" si="124"/>
        <v>265.0930542630073</v>
      </c>
      <c r="AB177" s="242">
        <f t="shared" si="124"/>
        <v>272.5156597823715</v>
      </c>
      <c r="AC177" s="242">
        <f t="shared" si="124"/>
        <v>310.3953364921211</v>
      </c>
      <c r="AD177" s="242">
        <f t="shared" si="124"/>
        <v>349.50514889012834</v>
      </c>
      <c r="AE177" s="320">
        <f t="shared" si="124"/>
        <v>386.44219393269077</v>
      </c>
      <c r="AF177" s="242">
        <f t="shared" si="124"/>
        <v>456.0017888405751</v>
      </c>
      <c r="AG177" s="242">
        <f t="shared" si="124"/>
        <v>551.7621644970959</v>
      </c>
      <c r="AH177" s="242">
        <f t="shared" si="124"/>
        <v>610.2489539337881</v>
      </c>
      <c r="AI177" s="279">
        <f t="shared" si="124"/>
        <v>522.3731045673227</v>
      </c>
      <c r="AJ177" s="443">
        <f t="shared" si="124"/>
        <v>553.1931177367948</v>
      </c>
      <c r="AK177" s="279">
        <f t="shared" si="124"/>
        <v>603.5336914508431</v>
      </c>
      <c r="AL177" s="279">
        <f t="shared" si="124"/>
        <v>633.7103760233853</v>
      </c>
      <c r="AM177" s="279">
        <f t="shared" si="124"/>
        <v>641.9486109116892</v>
      </c>
      <c r="AN177" s="279">
        <f t="shared" si="124"/>
        <v>630.3935359152788</v>
      </c>
      <c r="AO177" s="443">
        <f t="shared" si="124"/>
        <v>562.941427572344</v>
      </c>
      <c r="AP177" s="279">
        <f t="shared" si="124"/>
        <v>568.5708418480674</v>
      </c>
      <c r="AQ177" s="279">
        <f>AP177*AQ132</f>
        <v>598.1365256241669</v>
      </c>
      <c r="AR177" s="279">
        <f>AQ177*AR132</f>
        <v>615.4824848672677</v>
      </c>
      <c r="AT177" s="226"/>
      <c r="BO177" s="281" t="str">
        <f t="shared" si="86"/>
        <v>WNOKS</v>
      </c>
      <c r="BP177" s="195" t="s">
        <v>292</v>
      </c>
    </row>
    <row r="178" ht="16" customHeight="1" spans="5:68" x14ac:dyDescent="0.25">
      <c r="E178" s="287" t="s">
        <v>611</v>
      </c>
      <c r="F178" s="287"/>
      <c r="G178" s="287"/>
      <c r="H178" s="287"/>
      <c r="I178" s="195" t="s">
        <v>292</v>
      </c>
      <c r="J178" s="217" t="s">
        <v>612</v>
      </c>
      <c r="K178" s="119" t="s">
        <v>613</v>
      </c>
      <c r="L178" s="119"/>
      <c r="M178" s="119"/>
      <c r="N178" s="119"/>
      <c r="O178" s="218" t="s">
        <v>299</v>
      </c>
      <c r="P178" s="433"/>
      <c r="U178" s="355">
        <f t="shared" ref="U178:AH178" si="125">(U176-U177)/U167</f>
        <v>0.022490438989016016</v>
      </c>
      <c r="V178" s="444">
        <f t="shared" si="125"/>
        <v>0.02795820438115608</v>
      </c>
      <c r="W178" s="376">
        <f t="shared" si="125"/>
        <v>0.02974721218072889</v>
      </c>
      <c r="X178" s="376">
        <f t="shared" si="125"/>
        <v>-0.010512157616833476</v>
      </c>
      <c r="Y178" s="376">
        <f t="shared" si="125"/>
        <v>-0.018366803715713885</v>
      </c>
      <c r="Z178" s="289">
        <f t="shared" si="125"/>
        <v>0.00940334483209172</v>
      </c>
      <c r="AA178" s="376">
        <f t="shared" si="125"/>
        <v>0.01543589803541467</v>
      </c>
      <c r="AB178" s="376">
        <f t="shared" si="125"/>
        <v>0.010420706842907277</v>
      </c>
      <c r="AC178" s="376">
        <f t="shared" si="125"/>
        <v>0.01137831298258356</v>
      </c>
      <c r="AD178" s="376">
        <f t="shared" si="125"/>
        <v>0.011495203825421829</v>
      </c>
      <c r="AE178" s="320">
        <f t="shared" si="125"/>
        <v>0.011017693783579027</v>
      </c>
      <c r="AF178" s="219">
        <f t="shared" si="125"/>
        <v>0.01164388659610574</v>
      </c>
      <c r="AG178" s="219">
        <f t="shared" si="125"/>
        <v>0.014011430848958683</v>
      </c>
      <c r="AH178" s="219">
        <f t="shared" si="125"/>
        <v>0.014635325905782108</v>
      </c>
      <c r="AI178" s="219">
        <f t="shared" ref="AI178:AR178" si="126">(AI176-AI177)/AI167</f>
        <v>-0.025634571644029994</v>
      </c>
      <c r="AJ178" s="443">
        <f t="shared" si="126"/>
        <v>-0.007157309506491951</v>
      </c>
      <c r="AK178" s="219">
        <f t="shared" si="126"/>
        <v>0.0046424142281784484</v>
      </c>
      <c r="AL178" s="219">
        <f t="shared" si="126"/>
        <v>0.0039793621240403485</v>
      </c>
      <c r="AM178" s="219">
        <f t="shared" si="126"/>
        <v>-0.0044266417622443694</v>
      </c>
      <c r="AN178" s="219">
        <f t="shared" si="126"/>
        <v>-0.009200184596660738</v>
      </c>
      <c r="AO178" s="455">
        <f t="shared" si="126"/>
        <v>-0.009513516876504924</v>
      </c>
      <c r="AP178" s="219">
        <f t="shared" si="126"/>
        <v>-0.011568183003116708</v>
      </c>
      <c r="AQ178" s="219">
        <f t="shared" si="126"/>
        <v>-0.011146134809817541</v>
      </c>
      <c r="AR178" s="219">
        <f t="shared" si="126"/>
        <v>-0.01316254946451181</v>
      </c>
      <c r="AT178" s="226"/>
      <c r="BO178" s="281" t="str">
        <f t="shared" si="86"/>
        <v>eS</v>
      </c>
      <c r="BP178" s="195" t="s">
        <v>292</v>
      </c>
    </row>
    <row r="179" ht="16.25" customHeight="1" spans="9:68" x14ac:dyDescent="0.25">
      <c r="I179" s="195" t="s">
        <v>292</v>
      </c>
      <c r="J179" s="217" t="s">
        <v>614</v>
      </c>
      <c r="K179" s="121" t="s">
        <v>615</v>
      </c>
      <c r="L179" s="121"/>
      <c r="M179" s="121"/>
      <c r="N179" s="121"/>
      <c r="O179" s="218" t="s">
        <v>299</v>
      </c>
      <c r="P179" s="456"/>
      <c r="Q179" s="220"/>
      <c r="R179" s="219"/>
      <c r="S179" s="220"/>
      <c r="T179" s="220"/>
      <c r="U179" s="277">
        <v>1</v>
      </c>
      <c r="V179" s="219">
        <f t="shared" ref="V179:AR179" si="127">V65/V199</f>
        <v>1.458015926869807</v>
      </c>
      <c r="W179" s="219">
        <f t="shared" si="127"/>
        <v>1.6775696170093486</v>
      </c>
      <c r="X179" s="219">
        <f t="shared" si="127"/>
        <v>1.988574685283935</v>
      </c>
      <c r="Y179" s="219">
        <f t="shared" si="127"/>
        <v>3.4280333525379545</v>
      </c>
      <c r="Z179" s="289">
        <f t="shared" si="127"/>
        <v>4.720334553021764</v>
      </c>
      <c r="AA179" s="219">
        <f t="shared" si="127"/>
        <v>5.498230296745924</v>
      </c>
      <c r="AB179" s="219">
        <f t="shared" si="127"/>
        <v>6.352729528641842</v>
      </c>
      <c r="AC179" s="219">
        <f t="shared" si="127"/>
        <v>7.227860274382953</v>
      </c>
      <c r="AD179" s="219">
        <f t="shared" si="127"/>
        <v>8.69186996402742</v>
      </c>
      <c r="AE179" s="320">
        <f t="shared" si="127"/>
        <v>10.36760974912887</v>
      </c>
      <c r="AF179" s="219">
        <f t="shared" si="127"/>
        <v>11.935242035159135</v>
      </c>
      <c r="AG179" s="219">
        <f t="shared" si="127"/>
        <v>13.587224630705832</v>
      </c>
      <c r="AH179" s="219">
        <f t="shared" si="127"/>
        <v>16.03475716499792</v>
      </c>
      <c r="AI179" s="219">
        <f t="shared" si="127"/>
        <v>16.368494611949213</v>
      </c>
      <c r="AJ179" s="443">
        <f t="shared" si="127"/>
        <v>18.69136533556666</v>
      </c>
      <c r="AK179" s="313">
        <f t="shared" si="127"/>
        <v>23.32851881806769</v>
      </c>
      <c r="AL179" s="313">
        <f t="shared" si="127"/>
        <v>25.448132013167307</v>
      </c>
      <c r="AM179" s="313">
        <f t="shared" si="127"/>
        <v>26.82470761987901</v>
      </c>
      <c r="AN179" s="313">
        <f t="shared" si="127"/>
        <v>28.78517263207585</v>
      </c>
      <c r="AO179" s="314">
        <f t="shared" si="127"/>
        <v>30.966851255246702</v>
      </c>
      <c r="AP179" s="313">
        <f t="shared" si="127"/>
        <v>31.991031785021747</v>
      </c>
      <c r="AQ179" s="313">
        <f t="shared" si="127"/>
        <v>33.649317794864295</v>
      </c>
      <c r="AR179" s="313">
        <f t="shared" si="127"/>
        <v>36.91744034444185</v>
      </c>
      <c r="AT179" s="226"/>
      <c r="BO179" s="281" t="str">
        <f t="shared" si="86"/>
        <v>Dw</v>
      </c>
      <c r="BP179" s="195" t="s">
        <v>292</v>
      </c>
    </row>
    <row r="180" ht="17.5" customHeight="1" spans="9:161" x14ac:dyDescent="0.25">
      <c r="I180" s="195" t="s">
        <v>292</v>
      </c>
      <c r="J180" s="217" t="s">
        <v>616</v>
      </c>
      <c r="K180" s="121" t="s">
        <v>617</v>
      </c>
      <c r="L180" s="121"/>
      <c r="M180" s="121"/>
      <c r="N180" s="121"/>
      <c r="O180" s="218" t="s">
        <v>299</v>
      </c>
      <c r="P180" s="456"/>
      <c r="Q180" s="220"/>
      <c r="R180" s="220"/>
      <c r="S180" s="220"/>
      <c r="T180" s="220"/>
      <c r="U180" s="277">
        <v>1</v>
      </c>
      <c r="V180" s="457">
        <f t="shared" ref="V180:AR180" si="128">V55/V149</f>
        <v>1.4230255714814841</v>
      </c>
      <c r="W180" s="457">
        <f t="shared" si="128"/>
        <v>1.6020944641617485</v>
      </c>
      <c r="X180" s="457">
        <f t="shared" si="128"/>
        <v>1.7915975405266318</v>
      </c>
      <c r="Y180" s="457">
        <f t="shared" si="128"/>
        <v>3.0909273639762795</v>
      </c>
      <c r="Z180" s="289">
        <f t="shared" si="128"/>
        <v>4.298327894095345</v>
      </c>
      <c r="AA180" s="457">
        <f t="shared" si="128"/>
        <v>5.21015822142103</v>
      </c>
      <c r="AB180" s="457">
        <f t="shared" si="128"/>
        <v>5.9296464112464475</v>
      </c>
      <c r="AC180" s="457">
        <f t="shared" si="128"/>
        <v>6.774861199391402</v>
      </c>
      <c r="AD180" s="457">
        <f t="shared" si="128"/>
        <v>7.988132464613644</v>
      </c>
      <c r="AE180" s="320">
        <f t="shared" si="128"/>
        <v>9.575350609009634</v>
      </c>
      <c r="AF180" s="457">
        <f t="shared" si="128"/>
        <v>10.995998689731229</v>
      </c>
      <c r="AG180" s="457">
        <f t="shared" si="128"/>
        <v>12.595094794725632</v>
      </c>
      <c r="AH180" s="457">
        <f t="shared" si="128"/>
        <v>14.90816825584335</v>
      </c>
      <c r="AI180" s="457">
        <f t="shared" si="128"/>
        <v>15.145649385720535</v>
      </c>
      <c r="AJ180" s="443">
        <f t="shared" si="128"/>
        <v>17.430127110309737</v>
      </c>
      <c r="AK180" s="267">
        <f t="shared" si="128"/>
        <v>20.653842144150566</v>
      </c>
      <c r="AL180" s="267">
        <f t="shared" si="128"/>
        <v>22.264364965078673</v>
      </c>
      <c r="AM180" s="267">
        <f t="shared" si="128"/>
        <v>23.62038435752821</v>
      </c>
      <c r="AN180" s="267">
        <f t="shared" si="128"/>
        <v>25.327500226014692</v>
      </c>
      <c r="AO180" s="299">
        <f t="shared" si="128"/>
        <v>27.68439242590484</v>
      </c>
      <c r="AP180" s="267">
        <f t="shared" si="128"/>
        <v>28.768445092272216</v>
      </c>
      <c r="AQ180" s="267">
        <f t="shared" si="128"/>
        <v>30.292761918932754</v>
      </c>
      <c r="AR180" s="267">
        <f t="shared" si="128"/>
        <v>33.151373247864946</v>
      </c>
      <c r="AT180" s="226"/>
      <c r="BO180" s="281" t="str">
        <f t="shared" si="86"/>
        <v>Dх</v>
      </c>
      <c r="BP180" s="195" t="s">
        <v>292</v>
      </c>
      <c r="EJ180" s="28" t="s">
        <v>13</v>
      </c>
      <c r="EK180" s="458" t="s">
        <v>618</v>
      </c>
      <c r="EL180" s="458" t="s">
        <v>619</v>
      </c>
      <c r="EM180" s="458" t="s">
        <v>620</v>
      </c>
      <c r="FE180" s="459" t="s">
        <v>386</v>
      </c>
    </row>
    <row r="181" ht="18" customHeight="1" spans="9:161" x14ac:dyDescent="0.25">
      <c r="I181" s="195" t="s">
        <v>292</v>
      </c>
      <c r="J181" s="217" t="s">
        <v>621</v>
      </c>
      <c r="K181" s="121" t="s">
        <v>622</v>
      </c>
      <c r="L181" s="121"/>
      <c r="M181" s="121"/>
      <c r="N181" s="121"/>
      <c r="O181" s="218" t="s">
        <v>299</v>
      </c>
      <c r="P181" s="460"/>
      <c r="Q181" s="274"/>
      <c r="R181" s="274"/>
      <c r="S181" s="274"/>
      <c r="T181" s="274"/>
      <c r="U181" s="277">
        <v>1</v>
      </c>
      <c r="V181" s="457">
        <f t="shared" ref="V181:AR181" si="129">V51/V167</f>
        <v>1.412247757097261</v>
      </c>
      <c r="W181" s="457">
        <f t="shared" si="129"/>
        <v>1.5864611043969121</v>
      </c>
      <c r="X181" s="457">
        <f t="shared" si="129"/>
        <v>1.7669204828999698</v>
      </c>
      <c r="Y181" s="457">
        <f t="shared" si="129"/>
        <v>3.031677249541913</v>
      </c>
      <c r="Z181" s="289">
        <f t="shared" si="129"/>
        <v>4.189288839815487</v>
      </c>
      <c r="AA181" s="457">
        <f t="shared" si="129"/>
        <v>5.065982250044759</v>
      </c>
      <c r="AB181" s="457">
        <f t="shared" si="129"/>
        <v>5.7822315297952604</v>
      </c>
      <c r="AC181" s="457">
        <f t="shared" si="129"/>
        <v>6.591523740762184</v>
      </c>
      <c r="AD181" s="457">
        <f t="shared" si="129"/>
        <v>7.7337827274937645</v>
      </c>
      <c r="AE181" s="320">
        <f t="shared" si="129"/>
        <v>9.184944042597673</v>
      </c>
      <c r="AF181" s="457">
        <f t="shared" si="129"/>
        <v>10.5310440318469</v>
      </c>
      <c r="AG181" s="457">
        <f t="shared" si="129"/>
        <v>12.09328500918834</v>
      </c>
      <c r="AH181" s="457">
        <f t="shared" si="129"/>
        <v>14.279402745112492</v>
      </c>
      <c r="AI181" s="457">
        <f t="shared" si="129"/>
        <v>14.669938798054028</v>
      </c>
      <c r="AJ181" s="443">
        <f t="shared" si="129"/>
        <v>16.8302129453818</v>
      </c>
      <c r="AK181" s="267">
        <f t="shared" si="129"/>
        <v>19.85424571376991</v>
      </c>
      <c r="AL181" s="267">
        <f t="shared" si="129"/>
        <v>21.405203901528715</v>
      </c>
      <c r="AM181" s="267">
        <f t="shared" si="129"/>
        <v>22.832323118365768</v>
      </c>
      <c r="AN181" s="267">
        <f t="shared" si="129"/>
        <v>24.43123573923766</v>
      </c>
      <c r="AO181" s="461">
        <f t="shared" si="129"/>
        <v>27.196038400434425</v>
      </c>
      <c r="AP181" s="267">
        <f t="shared" si="129"/>
        <v>28.328183799288354</v>
      </c>
      <c r="AQ181" s="267">
        <f t="shared" si="129"/>
        <v>29.877742312507845</v>
      </c>
      <c r="AR181" s="267">
        <f t="shared" si="129"/>
        <v>32.51465333840346</v>
      </c>
      <c r="AT181" s="226"/>
      <c r="BO181" s="281" t="str">
        <f t="shared" si="86"/>
        <v>DОх</v>
      </c>
      <c r="BP181" s="195" t="s">
        <v>292</v>
      </c>
      <c r="EJ181" s="38">
        <v>43926</v>
      </c>
      <c r="EK181" s="40" t="s">
        <v>56</v>
      </c>
      <c r="EL181" s="40" t="s">
        <v>56</v>
      </c>
      <c r="EM181" s="40" t="s">
        <v>56</v>
      </c>
      <c r="FE181" s="462" t="s">
        <v>623</v>
      </c>
    </row>
    <row r="182" ht="21" customHeight="1" spans="9:167" x14ac:dyDescent="0.25">
      <c r="I182" s="195"/>
      <c r="J182" s="217"/>
      <c r="K182" s="121"/>
      <c r="L182" s="121"/>
      <c r="M182" s="121"/>
      <c r="N182" s="121"/>
      <c r="O182" s="218"/>
      <c r="P182" s="456"/>
      <c r="Q182" s="220"/>
      <c r="R182" s="220"/>
      <c r="S182" s="220"/>
      <c r="T182" s="220"/>
      <c r="U182" s="355"/>
      <c r="V182" s="463"/>
      <c r="W182" s="463"/>
      <c r="X182" s="463"/>
      <c r="Y182" s="463"/>
      <c r="Z182" s="463"/>
      <c r="AA182" s="463"/>
      <c r="AB182" s="463"/>
      <c r="AC182" s="463"/>
      <c r="AD182" s="463"/>
      <c r="AE182" s="463"/>
      <c r="AF182" s="463"/>
      <c r="AG182" s="463"/>
      <c r="AH182" s="463"/>
      <c r="AI182" s="463"/>
      <c r="AJ182" s="464"/>
      <c r="AK182" s="463"/>
      <c r="AL182" s="463"/>
      <c r="AM182" s="463"/>
      <c r="AN182" s="231"/>
      <c r="AO182" s="465"/>
      <c r="AT182" s="226"/>
      <c r="BO182" s="281">
        <f t="shared" si="86"/>
        <v>0</v>
      </c>
      <c r="BP182" s="231"/>
      <c r="CS182" s="390" t="s">
        <v>13</v>
      </c>
      <c r="CT182" s="466" t="s">
        <v>624</v>
      </c>
      <c r="CU182" s="467" t="s">
        <v>625</v>
      </c>
      <c r="CV182" s="466" t="s">
        <v>626</v>
      </c>
      <c r="CW182" s="466" t="s">
        <v>624</v>
      </c>
      <c r="CX182" s="468" t="s">
        <v>627</v>
      </c>
      <c r="CY182" s="468" t="s">
        <v>627</v>
      </c>
      <c r="CZ182" s="469" t="s">
        <v>589</v>
      </c>
      <c r="DP182" s="28" t="s">
        <v>13</v>
      </c>
      <c r="DQ182" s="470" t="s">
        <v>628</v>
      </c>
      <c r="DR182" s="471" t="s">
        <v>381</v>
      </c>
      <c r="DS182" s="470" t="s">
        <v>628</v>
      </c>
      <c r="DT182" s="470" t="s">
        <v>628</v>
      </c>
      <c r="EJ182" s="43">
        <v>1995</v>
      </c>
      <c r="EK182" s="472">
        <v>266.974</v>
      </c>
      <c r="EL182" s="473"/>
      <c r="EM182" s="474"/>
      <c r="FE182" s="475">
        <v>266.974</v>
      </c>
      <c r="FG182" s="28" t="s">
        <v>13</v>
      </c>
      <c r="FH182" s="471" t="s">
        <v>625</v>
      </c>
      <c r="FI182" s="471" t="s">
        <v>629</v>
      </c>
      <c r="FJ182" s="471" t="s">
        <v>625</v>
      </c>
      <c r="FK182" s="37" t="s">
        <v>630</v>
      </c>
    </row>
    <row r="183" ht="21.5" customHeight="1" spans="9:167" x14ac:dyDescent="0.25">
      <c r="I183" s="195" t="s">
        <v>292</v>
      </c>
      <c r="J183" s="217" t="s">
        <v>631</v>
      </c>
      <c r="K183" s="121" t="s">
        <v>632</v>
      </c>
      <c r="L183" s="121"/>
      <c r="M183" s="121"/>
      <c r="N183" s="121"/>
      <c r="O183" s="218" t="s">
        <v>299</v>
      </c>
      <c r="P183" s="456"/>
      <c r="Q183" s="220"/>
      <c r="R183" s="220"/>
      <c r="S183" s="220"/>
      <c r="T183" s="220"/>
      <c r="U183" s="277">
        <v>1</v>
      </c>
      <c r="V183" s="457">
        <f t="shared" ref="V183:AR183" si="130">V61/V176</f>
        <v>1.5208627234830072</v>
      </c>
      <c r="W183" s="457">
        <f t="shared" si="130"/>
        <v>1.7178414165358655</v>
      </c>
      <c r="X183" s="457">
        <f t="shared" si="130"/>
        <v>2.396006361037087</v>
      </c>
      <c r="Y183" s="457">
        <f t="shared" si="130"/>
        <v>4.663543841500785</v>
      </c>
      <c r="Z183" s="334">
        <f t="shared" si="130"/>
        <v>5.082155573958843</v>
      </c>
      <c r="AA183" s="457">
        <f t="shared" si="130"/>
        <v>6.259732367609962</v>
      </c>
      <c r="AB183" s="457">
        <f t="shared" si="130"/>
        <v>7.072806931090497</v>
      </c>
      <c r="AC183" s="457">
        <f t="shared" si="130"/>
        <v>7.858642990356408</v>
      </c>
      <c r="AD183" s="457">
        <f t="shared" si="130"/>
        <v>9.04805344120045</v>
      </c>
      <c r="AE183" s="320">
        <f t="shared" si="130"/>
        <v>10.070168753275144</v>
      </c>
      <c r="AF183" s="457">
        <f t="shared" si="130"/>
        <v>11.237649593940652</v>
      </c>
      <c r="AG183" s="457">
        <f t="shared" si="130"/>
        <v>12.985985567555964</v>
      </c>
      <c r="AH183" s="457">
        <f t="shared" si="130"/>
        <v>15.397267606350976</v>
      </c>
      <c r="AI183" s="457">
        <f t="shared" si="130"/>
        <v>18.209619166526906</v>
      </c>
      <c r="AJ183" s="443">
        <f t="shared" si="130"/>
        <v>20.20580339197264</v>
      </c>
      <c r="AK183" s="267">
        <f t="shared" si="130"/>
        <v>23.496938857350884</v>
      </c>
      <c r="AL183" s="267">
        <f t="shared" si="130"/>
        <v>25.552634846384674</v>
      </c>
      <c r="AM183" s="267">
        <f t="shared" si="130"/>
        <v>27.368855432385324</v>
      </c>
      <c r="AN183" s="267">
        <f t="shared" si="130"/>
        <v>30.814371333057377</v>
      </c>
      <c r="AO183" s="461">
        <f t="shared" si="130"/>
        <v>36.34296976353653</v>
      </c>
      <c r="AP183" s="267">
        <f t="shared" si="130"/>
        <v>40.02607773579314</v>
      </c>
      <c r="AQ183" s="267">
        <f t="shared" si="130"/>
        <v>41.39113476543899</v>
      </c>
      <c r="AR183" s="267">
        <f t="shared" si="130"/>
        <v>43.69416133637965</v>
      </c>
      <c r="AT183" s="226"/>
      <c r="BO183" s="281" t="str">
        <f t="shared" ref="BO183:BO211" si="131">J183</f>
        <v>Dk</v>
      </c>
      <c r="BP183" s="231"/>
      <c r="CS183" s="395">
        <v>44339</v>
      </c>
      <c r="CT183" s="476" t="s">
        <v>56</v>
      </c>
      <c r="CU183" s="476" t="s">
        <v>55</v>
      </c>
      <c r="CV183" s="476" t="s">
        <v>56</v>
      </c>
      <c r="CW183" s="476" t="s">
        <v>56</v>
      </c>
      <c r="CX183" s="476" t="s">
        <v>55</v>
      </c>
      <c r="CY183" s="477" t="s">
        <v>633</v>
      </c>
      <c r="CZ183" s="325" t="s">
        <v>56</v>
      </c>
      <c r="DP183" s="38">
        <v>44340</v>
      </c>
      <c r="DQ183" s="40" t="s">
        <v>127</v>
      </c>
      <c r="DR183" s="40" t="s">
        <v>127</v>
      </c>
      <c r="DS183" s="131" t="s">
        <v>514</v>
      </c>
      <c r="DT183" s="131" t="s">
        <v>515</v>
      </c>
      <c r="EJ183" s="62">
        <v>1996</v>
      </c>
      <c r="EK183" s="478">
        <f t="shared" ref="EK183:EK205" si="132">CT185</f>
        <v>218.651706</v>
      </c>
      <c r="EL183" s="53"/>
      <c r="EM183" s="479"/>
      <c r="FE183" s="475">
        <f>EK183</f>
        <v>218.651706</v>
      </c>
      <c r="FG183" s="129">
        <v>43850</v>
      </c>
      <c r="FH183" s="40" t="s">
        <v>55</v>
      </c>
      <c r="FI183" s="40" t="s">
        <v>55</v>
      </c>
      <c r="FJ183" s="40" t="s">
        <v>634</v>
      </c>
      <c r="FK183" s="40" t="s">
        <v>55</v>
      </c>
    </row>
    <row r="184" ht="21" customHeight="1" spans="9:167" x14ac:dyDescent="0.25">
      <c r="I184" s="195" t="s">
        <v>292</v>
      </c>
      <c r="J184" s="217" t="s">
        <v>387</v>
      </c>
      <c r="K184" s="121" t="s">
        <v>635</v>
      </c>
      <c r="L184" s="121"/>
      <c r="M184" s="121"/>
      <c r="N184" s="121"/>
      <c r="O184" s="218" t="s">
        <v>299</v>
      </c>
      <c r="P184" s="456"/>
      <c r="Q184" s="220"/>
      <c r="R184" s="220"/>
      <c r="S184" s="220"/>
      <c r="T184" s="220"/>
      <c r="U184" s="277">
        <v>1</v>
      </c>
      <c r="V184" s="457">
        <f t="shared" ref="V184:AR184" si="133">V69/($U69*V159)</f>
        <v>1.4723042021668387</v>
      </c>
      <c r="W184" s="457">
        <f t="shared" si="133"/>
        <v>1.718558670886825</v>
      </c>
      <c r="X184" s="457">
        <f t="shared" si="133"/>
        <v>2.1060897046594413</v>
      </c>
      <c r="Y184" s="457">
        <f t="shared" si="133"/>
        <v>3.727842297346868</v>
      </c>
      <c r="Z184" s="334">
        <f t="shared" si="133"/>
        <v>4.5918326760987345</v>
      </c>
      <c r="AA184" s="457">
        <f t="shared" si="133"/>
        <v>5.561179540405496</v>
      </c>
      <c r="AB184" s="457">
        <f t="shared" si="133"/>
        <v>6.468238698917706</v>
      </c>
      <c r="AC184" s="457">
        <f t="shared" si="133"/>
        <v>7.258482770625474</v>
      </c>
      <c r="AD184" s="457">
        <f t="shared" si="133"/>
        <v>8.328227993617887</v>
      </c>
      <c r="AE184" s="320">
        <f t="shared" si="133"/>
        <v>9.370471463956683</v>
      </c>
      <c r="AF184" s="457">
        <f t="shared" si="133"/>
        <v>10.171880121895711</v>
      </c>
      <c r="AG184" s="457">
        <f t="shared" si="133"/>
        <v>10.996054426330467</v>
      </c>
      <c r="AH184" s="457">
        <f t="shared" si="133"/>
        <v>12.382630991276981</v>
      </c>
      <c r="AI184" s="457">
        <f t="shared" si="133"/>
        <v>13.714036448863869</v>
      </c>
      <c r="AJ184" s="443">
        <f t="shared" si="133"/>
        <v>14.629133800462956</v>
      </c>
      <c r="AK184" s="267">
        <f t="shared" si="133"/>
        <v>17.36421630879255</v>
      </c>
      <c r="AL184" s="267">
        <f t="shared" si="133"/>
        <v>18.5401251106608</v>
      </c>
      <c r="AM184" s="267">
        <f t="shared" si="133"/>
        <v>19.653563919076568</v>
      </c>
      <c r="AN184" s="267">
        <f t="shared" si="133"/>
        <v>21.01627695270109</v>
      </c>
      <c r="AO184" s="461">
        <f t="shared" si="133"/>
        <v>23.908625308988828</v>
      </c>
      <c r="AP184" s="267">
        <f t="shared" si="133"/>
        <v>25.541020349632802</v>
      </c>
      <c r="AQ184" s="267">
        <f t="shared" si="133"/>
        <v>26.262932750374507</v>
      </c>
      <c r="AR184" s="267">
        <f t="shared" si="133"/>
        <v>27.120680464307846</v>
      </c>
      <c r="AT184" s="226"/>
      <c r="BO184" s="281" t="str">
        <f t="shared" si="131"/>
        <v>Dd</v>
      </c>
      <c r="BP184" s="231"/>
      <c r="CS184" s="480">
        <v>1995</v>
      </c>
      <c r="CT184" s="55">
        <f>CV184</f>
        <v>266.974</v>
      </c>
      <c r="CU184" s="57">
        <f t="array" ref="CU184:CU207">TRANSPOSE(U157:AR157)</f>
        <v>1</v>
      </c>
      <c r="CV184" s="55">
        <f t="array" ref="CV184:CV207">TRANSPOSE(U79:AR79)</f>
        <v>266.974</v>
      </c>
      <c r="CW184" s="272"/>
      <c r="CX184" s="46">
        <f>CT184/CZ184</f>
        <v>0.09646336988759839</v>
      </c>
      <c r="CY184" s="55">
        <f>4000*CX184</f>
        <v>385.85347955039356</v>
      </c>
      <c r="CZ184" s="333">
        <f t="array" ref="CZ184:CZ207">TRANSPOSE(U167:AR167)</f>
        <v>2767.6205</v>
      </c>
      <c r="DP184" s="43">
        <v>1995</v>
      </c>
      <c r="DQ184" s="139">
        <f t="array" ref="DQ184:DQ207">TRANSPOSE(U189:AR189)</f>
        <v>1</v>
      </c>
      <c r="DR184" s="321">
        <v>1</v>
      </c>
      <c r="DS184" s="104"/>
      <c r="DT184" s="106"/>
      <c r="EJ184" s="62">
        <v>1997</v>
      </c>
      <c r="EK184" s="478">
        <f t="shared" si="132"/>
        <v>207.71912069999996</v>
      </c>
      <c r="EL184" s="53"/>
      <c r="EM184" s="479"/>
      <c r="FE184" s="475">
        <f t="shared" ref="FE184:FE205" si="134">EK184</f>
        <v>207.71912069999996</v>
      </c>
      <c r="FG184" s="481">
        <v>1995</v>
      </c>
      <c r="FH184" s="482">
        <v>1</v>
      </c>
      <c r="FI184" s="483">
        <v>1</v>
      </c>
      <c r="FJ184" s="322"/>
      <c r="FK184" s="484"/>
    </row>
    <row r="185" ht="21" customHeight="1" spans="9:167" x14ac:dyDescent="0.25">
      <c r="I185" s="195" t="s">
        <v>292</v>
      </c>
      <c r="J185" s="217" t="s">
        <v>636</v>
      </c>
      <c r="K185" s="121" t="s">
        <v>637</v>
      </c>
      <c r="L185" s="121"/>
      <c r="M185" s="121"/>
      <c r="N185" s="121"/>
      <c r="O185" s="218" t="s">
        <v>299</v>
      </c>
      <c r="P185" s="456"/>
      <c r="Q185" s="220"/>
      <c r="R185" s="220"/>
      <c r="S185" s="220"/>
      <c r="T185" s="220"/>
      <c r="U185" s="277">
        <v>1</v>
      </c>
      <c r="V185" s="457">
        <f t="shared" ref="V185:AR185" si="135">V70/($U70*V160)</f>
        <v>1.3930686182271845</v>
      </c>
      <c r="W185" s="457">
        <f t="shared" si="135"/>
        <v>1.8000080782573098</v>
      </c>
      <c r="X185" s="457">
        <f t="shared" si="135"/>
        <v>1.7787455021088285</v>
      </c>
      <c r="Y185" s="457">
        <f t="shared" si="135"/>
        <v>2.4627881934761957</v>
      </c>
      <c r="Z185" s="334">
        <f t="shared" si="135"/>
        <v>3.785470488529565</v>
      </c>
      <c r="AA185" s="457">
        <f t="shared" si="135"/>
        <v>5.08786459563914</v>
      </c>
      <c r="AB185" s="457">
        <f t="shared" si="135"/>
        <v>6.552867571558401</v>
      </c>
      <c r="AC185" s="457">
        <f t="shared" si="135"/>
        <v>7.795892317615872</v>
      </c>
      <c r="AD185" s="457">
        <f t="shared" si="135"/>
        <v>9.32454487174126</v>
      </c>
      <c r="AE185" s="320">
        <f t="shared" si="135"/>
        <v>11.601834838997735</v>
      </c>
      <c r="AF185" s="457">
        <f t="shared" si="135"/>
        <v>14.558879763670303</v>
      </c>
      <c r="AG185" s="457">
        <f t="shared" si="135"/>
        <v>17.41864233141954</v>
      </c>
      <c r="AH185" s="457">
        <f t="shared" si="135"/>
        <v>21.558658204106848</v>
      </c>
      <c r="AI185" s="457">
        <f t="shared" si="135"/>
        <v>23.77183065299093</v>
      </c>
      <c r="AJ185" s="443">
        <f t="shared" si="135"/>
        <v>25.942740710668115</v>
      </c>
      <c r="AK185" s="267">
        <f t="shared" si="135"/>
        <v>31.060937552257776</v>
      </c>
      <c r="AL185" s="267">
        <f t="shared" si="135"/>
        <v>34.957056458668305</v>
      </c>
      <c r="AM185" s="267">
        <f t="shared" si="135"/>
        <v>38.62386007303689</v>
      </c>
      <c r="AN185" s="267">
        <f t="shared" si="135"/>
        <v>41.26092184765976</v>
      </c>
      <c r="AO185" s="461">
        <f t="shared" si="135"/>
        <v>44.34474977239534</v>
      </c>
      <c r="AP185" s="267">
        <f t="shared" si="135"/>
        <v>46.796704667591264</v>
      </c>
      <c r="AQ185" s="267">
        <f t="shared" si="135"/>
        <v>48.3278511972651</v>
      </c>
      <c r="AR185" s="267">
        <f t="shared" si="135"/>
        <v>52.23526550148644</v>
      </c>
      <c r="AT185" s="226"/>
      <c r="BO185" s="281" t="str">
        <f t="shared" si="131"/>
        <v>Dg</v>
      </c>
      <c r="BP185" s="231"/>
      <c r="CS185" s="485">
        <v>1996</v>
      </c>
      <c r="CT185" s="55">
        <f t="shared" ref="CT185:CT207" si="136">CT$184*CU185</f>
        <v>218.651706</v>
      </c>
      <c r="CU185" s="57">
        <v>0.819</v>
      </c>
      <c r="CV185" s="55">
        <v>375.958</v>
      </c>
      <c r="CW185" s="57"/>
      <c r="CX185" s="46">
        <f>CT185/CZ185</f>
        <v>0.08127932092380975</v>
      </c>
      <c r="CY185" s="486">
        <f>4000*CX185</f>
        <v>325.117283695239</v>
      </c>
      <c r="CZ185" s="333">
        <v>2690.127126</v>
      </c>
      <c r="DP185" s="62">
        <v>1996</v>
      </c>
      <c r="DQ185" s="143">
        <v>1.7194377618988257</v>
      </c>
      <c r="DR185" s="57">
        <f>НАСТРОЙКА!DR137</f>
        <v>1.218</v>
      </c>
      <c r="DS185" s="216"/>
      <c r="DT185" s="75"/>
      <c r="EJ185" s="62">
        <v>1998</v>
      </c>
      <c r="EK185" s="478">
        <f t="shared" si="132"/>
        <v>182.79282621599998</v>
      </c>
      <c r="EL185" s="49"/>
      <c r="EM185" s="479"/>
      <c r="FE185" s="475">
        <f t="shared" si="134"/>
        <v>182.79282621599998</v>
      </c>
      <c r="FG185" s="481">
        <v>1996</v>
      </c>
      <c r="FH185" s="487">
        <f t="shared" ref="FH185:FH207" si="137">CU185</f>
        <v>0.819</v>
      </c>
      <c r="FI185" s="54" t="e">
        <f>#REF!</f>
        <v>#REF!</v>
      </c>
      <c r="FJ185" s="326"/>
      <c r="FK185" s="438"/>
    </row>
    <row r="186" ht="21" customHeight="1" spans="9:167" x14ac:dyDescent="0.25">
      <c r="I186" s="195" t="s">
        <v>292</v>
      </c>
      <c r="J186" s="217" t="s">
        <v>638</v>
      </c>
      <c r="K186" s="121" t="s">
        <v>639</v>
      </c>
      <c r="L186" s="121"/>
      <c r="M186" s="121"/>
      <c r="N186" s="121"/>
      <c r="O186" s="218" t="s">
        <v>299</v>
      </c>
      <c r="P186" s="456"/>
      <c r="Q186" s="220"/>
      <c r="R186" s="220"/>
      <c r="S186" s="220"/>
      <c r="T186" s="220"/>
      <c r="U186" s="277">
        <v>1</v>
      </c>
      <c r="V186" s="457">
        <f t="shared" ref="V186:AR186" si="138">V71/($U71*V161)</f>
        <v>1.4997486735151189</v>
      </c>
      <c r="W186" s="457">
        <f t="shared" si="138"/>
        <v>1.9526312539350381</v>
      </c>
      <c r="X186" s="457">
        <f t="shared" si="138"/>
        <v>2.005906030355448</v>
      </c>
      <c r="Y186" s="457">
        <f t="shared" si="138"/>
        <v>2.3429902839701637</v>
      </c>
      <c r="Z186" s="334">
        <f t="shared" si="138"/>
        <v>3.240611479111068</v>
      </c>
      <c r="AA186" s="457">
        <f t="shared" si="138"/>
        <v>3.97066356566005</v>
      </c>
      <c r="AB186" s="457">
        <f t="shared" si="138"/>
        <v>5.284373447678545</v>
      </c>
      <c r="AC186" s="457">
        <f t="shared" si="138"/>
        <v>6.171508131635609</v>
      </c>
      <c r="AD186" s="457">
        <f t="shared" si="138"/>
        <v>6.701602530209906</v>
      </c>
      <c r="AE186" s="320">
        <f t="shared" si="138"/>
        <v>7.644439100868062</v>
      </c>
      <c r="AF186" s="457">
        <f t="shared" si="138"/>
        <v>8.625582341885453</v>
      </c>
      <c r="AG186" s="457">
        <f t="shared" si="138"/>
        <v>10.098705571453516</v>
      </c>
      <c r="AH186" s="457">
        <f t="shared" si="138"/>
        <v>11.941266045828566</v>
      </c>
      <c r="AI186" s="457">
        <f t="shared" si="138"/>
        <v>12.996640727607122</v>
      </c>
      <c r="AJ186" s="443">
        <f t="shared" si="138"/>
        <v>13.587422805401822</v>
      </c>
      <c r="AK186" s="267">
        <f t="shared" si="138"/>
        <v>14.262597604124318</v>
      </c>
      <c r="AL186" s="267">
        <f t="shared" si="138"/>
        <v>15.820545673088896</v>
      </c>
      <c r="AM186" s="267">
        <f t="shared" si="138"/>
        <v>16.64363718116042</v>
      </c>
      <c r="AN186" s="267">
        <f t="shared" si="138"/>
        <v>18.778754615584578</v>
      </c>
      <c r="AO186" s="461">
        <f t="shared" si="138"/>
        <v>20.93213752543595</v>
      </c>
      <c r="AP186" s="267">
        <f t="shared" si="138"/>
        <v>22.71379487635589</v>
      </c>
      <c r="AQ186" s="267">
        <f t="shared" si="138"/>
        <v>24.993896175246313</v>
      </c>
      <c r="AR186" s="267">
        <f t="shared" si="138"/>
        <v>27.181442967904612</v>
      </c>
      <c r="AT186" s="226"/>
      <c r="BO186" s="281" t="str">
        <f t="shared" si="131"/>
        <v>Dnk</v>
      </c>
      <c r="BP186" s="231"/>
      <c r="CS186" s="485">
        <v>1997</v>
      </c>
      <c r="CT186" s="55">
        <f t="shared" si="136"/>
        <v>207.71912069999996</v>
      </c>
      <c r="CU186" s="57">
        <v>0.7780499999999999</v>
      </c>
      <c r="CV186" s="55">
        <v>408.797</v>
      </c>
      <c r="CW186" s="57"/>
      <c r="CX186" s="46">
        <f t="shared" ref="CX186:CX207" si="139">CT186/CZ186</f>
        <v>0.07614926516530499</v>
      </c>
      <c r="CY186" s="486">
        <f t="shared" ref="CY186:CY224" si="140">4000*CX186</f>
        <v>304.5970606612199</v>
      </c>
      <c r="CZ186" s="333">
        <v>2727.788905764</v>
      </c>
      <c r="DP186" s="62">
        <v>1997</v>
      </c>
      <c r="DQ186" s="216">
        <v>1.9680277801214476</v>
      </c>
      <c r="DR186" s="57">
        <f>НАСТРОЙКА!DR138</f>
        <v>1.3519800000000002</v>
      </c>
      <c r="DS186" s="216"/>
      <c r="DT186" s="75"/>
      <c r="EJ186" s="62">
        <v>1999</v>
      </c>
      <c r="EK186" s="478">
        <f t="shared" si="132"/>
        <v>191.93246752679997</v>
      </c>
      <c r="EL186" s="49"/>
      <c r="EM186" s="479"/>
      <c r="FE186" s="475">
        <f t="shared" si="134"/>
        <v>191.93246752679997</v>
      </c>
      <c r="FG186" s="481">
        <v>1997</v>
      </c>
      <c r="FH186" s="487">
        <f t="shared" si="137"/>
        <v>0.7780499999999999</v>
      </c>
      <c r="FI186" s="54" t="e">
        <f>#REF!</f>
        <v>#REF!</v>
      </c>
      <c r="FJ186" s="326"/>
      <c r="FK186" s="75" t="e">
        <f>0.4*FI186+0.5*FI185+0.1*FI184</f>
        <v>#REF!</v>
      </c>
    </row>
    <row r="187" ht="24.5" customHeight="1" spans="9:167" x14ac:dyDescent="0.25">
      <c r="I187" s="195" t="s">
        <v>292</v>
      </c>
      <c r="J187" s="217" t="s">
        <v>640</v>
      </c>
      <c r="K187" s="121" t="s">
        <v>641</v>
      </c>
      <c r="L187" s="121"/>
      <c r="M187" s="121"/>
      <c r="N187" s="121"/>
      <c r="O187" s="218" t="s">
        <v>299</v>
      </c>
      <c r="P187" s="456"/>
      <c r="Q187" s="220"/>
      <c r="R187" s="220"/>
      <c r="S187" s="220"/>
      <c r="T187" s="220"/>
      <c r="U187" s="277">
        <v>1</v>
      </c>
      <c r="V187" s="457">
        <f t="shared" ref="V187:AR187" si="141">V62/($U62*V162)</f>
        <v>1.2062700474653716</v>
      </c>
      <c r="W187" s="457">
        <f t="shared" si="141"/>
        <v>1.3416177583578945</v>
      </c>
      <c r="X187" s="457">
        <f t="shared" si="141"/>
        <v>1.86606737883619</v>
      </c>
      <c r="Y187" s="457">
        <f t="shared" si="141"/>
        <v>4.260651853603475</v>
      </c>
      <c r="Z187" s="334">
        <f t="shared" si="141"/>
        <v>6.00821185960683</v>
      </c>
      <c r="AA187" s="457">
        <f t="shared" si="141"/>
        <v>5.910590005019161</v>
      </c>
      <c r="AB187" s="457">
        <f t="shared" si="141"/>
        <v>6.193634820546727</v>
      </c>
      <c r="AC187" s="457">
        <f t="shared" si="141"/>
        <v>6.715254624075821</v>
      </c>
      <c r="AD187" s="457">
        <f t="shared" si="141"/>
        <v>7.560419692709162</v>
      </c>
      <c r="AE187" s="320">
        <f t="shared" si="141"/>
        <v>9.215042167890525</v>
      </c>
      <c r="AF187" s="457">
        <f t="shared" si="141"/>
        <v>10.24995388150444</v>
      </c>
      <c r="AG187" s="457">
        <f t="shared" si="141"/>
        <v>10.650833844352405</v>
      </c>
      <c r="AH187" s="457">
        <f t="shared" si="141"/>
        <v>13.643325842032947</v>
      </c>
      <c r="AI187" s="457">
        <f t="shared" si="141"/>
        <v>12.010355196687106</v>
      </c>
      <c r="AJ187" s="443">
        <f t="shared" si="141"/>
        <v>14.006747557636276</v>
      </c>
      <c r="AK187" s="267">
        <f t="shared" si="141"/>
        <v>17.40812446892646</v>
      </c>
      <c r="AL187" s="267">
        <f t="shared" si="141"/>
        <v>18.653542469425737</v>
      </c>
      <c r="AM187" s="267">
        <f t="shared" si="141"/>
        <v>18.357364736075578</v>
      </c>
      <c r="AN187" s="267">
        <f t="shared" si="141"/>
        <v>20.747451690988555</v>
      </c>
      <c r="AO187" s="461">
        <f t="shared" si="141"/>
        <v>22.2745200953556</v>
      </c>
      <c r="AP187" s="267">
        <f t="shared" si="141"/>
        <v>20.030786917707065</v>
      </c>
      <c r="AQ187" s="267">
        <f t="shared" si="141"/>
        <v>20.67689483369983</v>
      </c>
      <c r="AR187" s="267">
        <f t="shared" si="141"/>
        <v>26.083050100459737</v>
      </c>
      <c r="AT187" s="226"/>
      <c r="BO187" s="281" t="str">
        <f t="shared" si="131"/>
        <v>De</v>
      </c>
      <c r="BP187" s="267"/>
      <c r="CS187" s="485">
        <v>1998</v>
      </c>
      <c r="CT187" s="55">
        <f t="shared" si="136"/>
        <v>182.79282621599998</v>
      </c>
      <c r="CU187" s="57">
        <v>0.684684</v>
      </c>
      <c r="CV187" s="55">
        <v>407.086</v>
      </c>
      <c r="CW187" s="57"/>
      <c r="CX187" s="46">
        <f t="shared" si="139"/>
        <v>0.07061259572757471</v>
      </c>
      <c r="CY187" s="486">
        <f t="shared" si="140"/>
        <v>282.45038291029886</v>
      </c>
      <c r="CZ187" s="333">
        <v>2588.671671570036</v>
      </c>
      <c r="DP187" s="62">
        <v>1998</v>
      </c>
      <c r="DQ187" s="216">
        <v>2.2270348811115843</v>
      </c>
      <c r="DR187" s="57">
        <f>НАСТРОЙКА!DR139</f>
        <v>2.4930511200000005</v>
      </c>
      <c r="DS187" s="216"/>
      <c r="DT187" s="75"/>
      <c r="EJ187" s="62">
        <v>2000</v>
      </c>
      <c r="EK187" s="478">
        <f t="shared" si="132"/>
        <v>225.32871687646315</v>
      </c>
      <c r="EL187" s="49"/>
      <c r="EM187" s="479"/>
      <c r="EQ187" s="488" t="s">
        <v>642</v>
      </c>
      <c r="FE187" s="475">
        <f t="shared" si="134"/>
        <v>225.32871687646315</v>
      </c>
      <c r="FG187" s="481">
        <v>1998</v>
      </c>
      <c r="FH187" s="487">
        <f t="shared" si="137"/>
        <v>0.684684</v>
      </c>
      <c r="FI187" s="54" t="e">
        <f>#REF!</f>
        <v>#REF!</v>
      </c>
      <c r="FJ187" s="326"/>
      <c r="FK187" s="75" t="e">
        <f t="shared" ref="FK187:FK207" si="142">0.4*FI187+0.5*FI186+0.1*FI185</f>
        <v>#REF!</v>
      </c>
    </row>
    <row r="188" ht="21" customHeight="1" spans="9:167" x14ac:dyDescent="0.25">
      <c r="I188" s="195" t="s">
        <v>292</v>
      </c>
      <c r="J188" s="217" t="s">
        <v>390</v>
      </c>
      <c r="K188" s="121" t="s">
        <v>643</v>
      </c>
      <c r="L188" s="121"/>
      <c r="M188" s="121"/>
      <c r="N188" s="121"/>
      <c r="O188" s="218" t="s">
        <v>299</v>
      </c>
      <c r="P188" s="456"/>
      <c r="Q188" s="220"/>
      <c r="R188" s="220"/>
      <c r="S188" s="220"/>
      <c r="T188" s="220"/>
      <c r="U188" s="277">
        <v>1</v>
      </c>
      <c r="V188" s="457">
        <f t="shared" ref="V188:AR188" si="143">V52/V194</f>
        <v>1.170751567490661</v>
      </c>
      <c r="W188" s="457">
        <f t="shared" si="143"/>
        <v>1.4027022303089887</v>
      </c>
      <c r="X188" s="457">
        <f t="shared" si="143"/>
        <v>2.077665776266209</v>
      </c>
      <c r="Y188" s="457">
        <f t="shared" si="143"/>
        <v>4.894300618534394</v>
      </c>
      <c r="Z188" s="334">
        <f t="shared" si="143"/>
        <v>5.1416113994451775</v>
      </c>
      <c r="AA188" s="457">
        <f t="shared" si="143"/>
        <v>5.343385559062672</v>
      </c>
      <c r="AB188" s="457">
        <f t="shared" si="143"/>
        <v>5.696540648389541</v>
      </c>
      <c r="AC188" s="457">
        <f t="shared" si="143"/>
        <v>5.788123461724906</v>
      </c>
      <c r="AD188" s="457">
        <f t="shared" si="143"/>
        <v>5.617164966343532</v>
      </c>
      <c r="AE188" s="320">
        <f t="shared" si="143"/>
        <v>5.933656338117276</v>
      </c>
      <c r="AF188" s="457">
        <f t="shared" si="143"/>
        <v>5.949475526803209</v>
      </c>
      <c r="AG188" s="457">
        <f t="shared" si="143"/>
        <v>5.972486590341229</v>
      </c>
      <c r="AH188" s="457">
        <f t="shared" si="143"/>
        <v>6.61807370062663</v>
      </c>
      <c r="AI188" s="457">
        <f t="shared" si="143"/>
        <v>8.30157321960723</v>
      </c>
      <c r="AJ188" s="443">
        <f t="shared" si="143"/>
        <v>8.121605375451491</v>
      </c>
      <c r="AK188" s="267">
        <f t="shared" si="143"/>
        <v>8.282874191876036</v>
      </c>
      <c r="AL188" s="267">
        <f t="shared" si="143"/>
        <v>8.667019917064364</v>
      </c>
      <c r="AM188" s="267">
        <f t="shared" si="143"/>
        <v>9.0619465420278</v>
      </c>
      <c r="AN188" s="267">
        <f t="shared" si="143"/>
        <v>10.713774916786434</v>
      </c>
      <c r="AO188" s="461">
        <f t="shared" si="143"/>
        <v>15.00558323794657</v>
      </c>
      <c r="AP188" s="267">
        <f t="shared" si="143"/>
        <v>16.052012422908835</v>
      </c>
      <c r="AQ188" s="267">
        <f t="shared" si="143"/>
        <v>14.742627700481552</v>
      </c>
      <c r="AR188" s="267">
        <f t="shared" si="143"/>
        <v>16.237654558609503</v>
      </c>
      <c r="AT188" s="226"/>
      <c r="BO188" s="281" t="str">
        <f t="shared" si="131"/>
        <v>Dm</v>
      </c>
      <c r="BP188" s="231"/>
      <c r="CS188" s="485">
        <v>1999</v>
      </c>
      <c r="CT188" s="55">
        <f t="shared" si="136"/>
        <v>191.93246752679997</v>
      </c>
      <c r="CU188" s="57">
        <v>0.7189182</v>
      </c>
      <c r="CV188" s="55">
        <v>670.439</v>
      </c>
      <c r="CW188" s="57"/>
      <c r="CX188" s="46">
        <f t="shared" si="139"/>
        <v>0.07007866305666675</v>
      </c>
      <c r="CY188" s="486">
        <f t="shared" si="140"/>
        <v>280.314652226667</v>
      </c>
      <c r="CZ188" s="333">
        <v>2738.8146285210983</v>
      </c>
      <c r="DP188" s="62">
        <v>1999</v>
      </c>
      <c r="DQ188" s="216">
        <v>3.493098424873764</v>
      </c>
      <c r="DR188" s="57">
        <f>НАСТРОЙКА!DR140</f>
        <v>3.4030147788000007</v>
      </c>
      <c r="DS188" s="216"/>
      <c r="DT188" s="75"/>
      <c r="EJ188" s="62">
        <v>2001</v>
      </c>
      <c r="EK188" s="478">
        <f t="shared" si="132"/>
        <v>247.86158856410947</v>
      </c>
      <c r="EL188" s="49"/>
      <c r="EM188" s="479"/>
      <c r="FE188" s="475">
        <f t="shared" si="134"/>
        <v>247.86158856410947</v>
      </c>
      <c r="FG188" s="481">
        <v>1999</v>
      </c>
      <c r="FH188" s="487">
        <f t="shared" si="137"/>
        <v>0.7189182</v>
      </c>
      <c r="FI188" s="54" t="e">
        <f>#REF!</f>
        <v>#REF!</v>
      </c>
      <c r="FJ188" s="326"/>
      <c r="FK188" s="75" t="e">
        <f t="shared" si="142"/>
        <v>#REF!</v>
      </c>
    </row>
    <row r="189" ht="21" customHeight="1" spans="9:167" x14ac:dyDescent="0.25">
      <c r="I189" s="195" t="s">
        <v>292</v>
      </c>
      <c r="J189" s="217" t="s">
        <v>644</v>
      </c>
      <c r="K189" s="121" t="s">
        <v>645</v>
      </c>
      <c r="L189" s="121"/>
      <c r="M189" s="121"/>
      <c r="N189" s="121"/>
      <c r="O189" s="218" t="s">
        <v>299</v>
      </c>
      <c r="P189" s="433"/>
      <c r="U189" s="277">
        <v>1</v>
      </c>
      <c r="V189" s="489">
        <f t="shared" ref="V189:AR189" si="144">V79/V195</f>
        <v>1.7194377618988257</v>
      </c>
      <c r="W189" s="361">
        <f t="shared" si="144"/>
        <v>1.9680277801214476</v>
      </c>
      <c r="X189" s="361">
        <f t="shared" si="144"/>
        <v>2.2270348811115843</v>
      </c>
      <c r="Y189" s="361">
        <f t="shared" si="144"/>
        <v>3.493098424873764</v>
      </c>
      <c r="Z189" s="334">
        <f t="shared" si="144"/>
        <v>5.171262749607017</v>
      </c>
      <c r="AA189" s="457">
        <f t="shared" si="144"/>
        <v>6.070726846853919</v>
      </c>
      <c r="AB189" s="457">
        <f t="shared" si="144"/>
        <v>6.916750986271128</v>
      </c>
      <c r="AC189" s="457">
        <f t="shared" si="144"/>
        <v>7.6273689193439225</v>
      </c>
      <c r="AD189" s="457">
        <f t="shared" si="144"/>
        <v>8.79041331779647</v>
      </c>
      <c r="AE189" s="320">
        <f t="shared" si="144"/>
        <v>10.054085870175701</v>
      </c>
      <c r="AF189" s="457">
        <f t="shared" si="144"/>
        <v>11.28478682823815</v>
      </c>
      <c r="AG189" s="457">
        <f t="shared" si="144"/>
        <v>13.059083510568804</v>
      </c>
      <c r="AH189" s="457">
        <f t="shared" si="144"/>
        <v>15.593657080025292</v>
      </c>
      <c r="AI189" s="457">
        <f t="shared" si="144"/>
        <v>16.373566297801105</v>
      </c>
      <c r="AJ189" s="443">
        <f t="shared" si="144"/>
        <v>17.674409856030426</v>
      </c>
      <c r="AK189" s="267">
        <f t="shared" si="144"/>
        <v>19.234566440524752</v>
      </c>
      <c r="AL189" s="267">
        <f t="shared" si="144"/>
        <v>20.540168341333807</v>
      </c>
      <c r="AM189" s="267">
        <f t="shared" si="144"/>
        <v>21.77622501158156</v>
      </c>
      <c r="AN189" s="267">
        <f t="shared" si="144"/>
        <v>22.851453644141124</v>
      </c>
      <c r="AO189" s="461">
        <f t="shared" si="144"/>
        <v>25.408791247612854</v>
      </c>
      <c r="AP189" s="267">
        <f t="shared" si="144"/>
        <v>27.019844336572895</v>
      </c>
      <c r="AQ189" s="267">
        <f t="shared" si="144"/>
        <v>28.017232863734257</v>
      </c>
      <c r="AR189" s="267">
        <f t="shared" si="144"/>
        <v>29.48966481725577</v>
      </c>
      <c r="AT189" s="226"/>
      <c r="BO189" s="281" t="str">
        <f t="shared" si="131"/>
        <v>Dn</v>
      </c>
      <c r="CS189" s="485">
        <v>2000</v>
      </c>
      <c r="CT189" s="55">
        <f t="shared" si="136"/>
        <v>225.32871687646315</v>
      </c>
      <c r="CU189" s="57">
        <v>0.8440099667999998</v>
      </c>
      <c r="CV189" s="55">
        <v>1165.234</v>
      </c>
      <c r="CW189" s="57"/>
      <c r="CX189" s="46">
        <f t="shared" si="139"/>
        <v>0.07520324536428405</v>
      </c>
      <c r="CY189" s="486">
        <f t="shared" si="140"/>
        <v>300.8129814571362</v>
      </c>
      <c r="CZ189" s="333">
        <v>2996.263203602082</v>
      </c>
      <c r="DP189" s="62">
        <v>2000</v>
      </c>
      <c r="DQ189" s="216">
        <v>5.171262749607017</v>
      </c>
      <c r="DR189" s="57">
        <f>НАСТРОЙКА!DR141</f>
        <v>4.090423764117601</v>
      </c>
      <c r="DS189" s="216"/>
      <c r="DT189" s="75"/>
      <c r="EJ189" s="62">
        <v>2002</v>
      </c>
      <c r="EK189" s="478">
        <f t="shared" si="132"/>
        <v>254.80171304390456</v>
      </c>
      <c r="EL189" s="49"/>
      <c r="EM189" s="479"/>
      <c r="FE189" s="475">
        <f t="shared" si="134"/>
        <v>254.80171304390456</v>
      </c>
      <c r="FG189" s="481">
        <v>2000</v>
      </c>
      <c r="FH189" s="487">
        <f t="shared" si="137"/>
        <v>0.8440099667999998</v>
      </c>
      <c r="FI189" s="54" t="e">
        <f>#REF!</f>
        <v>#REF!</v>
      </c>
      <c r="FJ189" s="326"/>
      <c r="FK189" s="75" t="e">
        <f t="shared" si="142"/>
        <v>#REF!</v>
      </c>
    </row>
    <row r="190" ht="21" customHeight="1" spans="9:167" x14ac:dyDescent="0.25">
      <c r="I190" s="195" t="s">
        <v>292</v>
      </c>
      <c r="J190" s="217" t="s">
        <v>646</v>
      </c>
      <c r="K190" s="121" t="s">
        <v>647</v>
      </c>
      <c r="L190" s="121"/>
      <c r="M190" s="121"/>
      <c r="N190" s="121"/>
      <c r="O190" s="218" t="s">
        <v>299</v>
      </c>
      <c r="P190" s="456"/>
      <c r="Q190" s="220"/>
      <c r="R190" s="220"/>
      <c r="S190" s="220"/>
      <c r="T190" s="220"/>
      <c r="U190" s="277">
        <v>1</v>
      </c>
      <c r="V190" s="457">
        <f t="shared" ref="V190:AR190" si="145">V82/V197</f>
        <v>2.4661634872716665</v>
      </c>
      <c r="W190" s="457">
        <f t="shared" si="145"/>
        <v>2.5165818894824628</v>
      </c>
      <c r="X190" s="457">
        <f t="shared" si="145"/>
        <v>2.6836249787031963</v>
      </c>
      <c r="Y190" s="457">
        <f t="shared" si="145"/>
        <v>2.701164323022275</v>
      </c>
      <c r="Z190" s="334">
        <f t="shared" si="145"/>
        <v>3.2947518370474893</v>
      </c>
      <c r="AA190" s="457">
        <f t="shared" si="145"/>
        <v>3.7846782806927575</v>
      </c>
      <c r="AB190" s="457">
        <f t="shared" si="145"/>
        <v>4.522803189792793</v>
      </c>
      <c r="AC190" s="457">
        <f t="shared" si="145"/>
        <v>5.542638112686384</v>
      </c>
      <c r="AD190" s="457">
        <f t="shared" si="145"/>
        <v>6.272852216104846</v>
      </c>
      <c r="AE190" s="320">
        <f t="shared" si="145"/>
        <v>7.324439758120246</v>
      </c>
      <c r="AF190" s="457">
        <f t="shared" si="145"/>
        <v>8.186196716537998</v>
      </c>
      <c r="AG190" s="457">
        <f t="shared" si="145"/>
        <v>10.097240670067599</v>
      </c>
      <c r="AH190" s="457">
        <f t="shared" si="145"/>
        <v>12.014838376677151</v>
      </c>
      <c r="AI190" s="457">
        <f t="shared" si="145"/>
        <v>12.870829474853368</v>
      </c>
      <c r="AJ190" s="443">
        <f t="shared" si="145"/>
        <v>14.148307151553455</v>
      </c>
      <c r="AK190" s="267">
        <f t="shared" si="145"/>
        <v>15.766970202222982</v>
      </c>
      <c r="AL190" s="267">
        <f t="shared" si="145"/>
        <v>16.974068796381736</v>
      </c>
      <c r="AM190" s="267">
        <f t="shared" si="145"/>
        <v>17.95315842273053</v>
      </c>
      <c r="AN190" s="267">
        <f t="shared" si="145"/>
        <v>19.115802786548628</v>
      </c>
      <c r="AO190" s="461">
        <f t="shared" si="145"/>
        <v>20.193444864834213</v>
      </c>
      <c r="AP190" s="267">
        <f t="shared" si="145"/>
        <v>22.17789046888298</v>
      </c>
      <c r="AQ190" s="267">
        <f t="shared" si="145"/>
        <v>22.675989872141365</v>
      </c>
      <c r="AR190" s="267">
        <f t="shared" si="145"/>
        <v>23.085153319082956</v>
      </c>
      <c r="AT190" s="226"/>
      <c r="BO190" s="281" t="str">
        <f t="shared" si="131"/>
        <v>Df</v>
      </c>
      <c r="CS190" s="485">
        <v>2001</v>
      </c>
      <c r="CT190" s="55">
        <f t="shared" si="136"/>
        <v>247.86158856410947</v>
      </c>
      <c r="CU190" s="57">
        <v>0.9284109634799999</v>
      </c>
      <c r="CV190" s="55">
        <v>1504.7</v>
      </c>
      <c r="CW190" s="57"/>
      <c r="CX190" s="46">
        <f t="shared" si="139"/>
        <v>0.07885945653070779</v>
      </c>
      <c r="CY190" s="486">
        <f t="shared" si="140"/>
        <v>315.43782612283115</v>
      </c>
      <c r="CZ190" s="333">
        <v>3143.0801005785834</v>
      </c>
      <c r="DP190" s="62">
        <v>2001</v>
      </c>
      <c r="DQ190" s="216">
        <v>6.070726846853919</v>
      </c>
      <c r="DR190" s="57">
        <f>НАСТРОЙКА!DR142</f>
        <v>4.851242584243474</v>
      </c>
      <c r="DS190" s="216"/>
      <c r="DT190" s="75"/>
      <c r="EJ190" s="62">
        <v>2003</v>
      </c>
      <c r="EK190" s="478">
        <f t="shared" si="132"/>
        <v>286.6519271743926</v>
      </c>
      <c r="EL190" s="49"/>
      <c r="EM190" s="479"/>
      <c r="FE190" s="475">
        <f t="shared" si="134"/>
        <v>286.6519271743926</v>
      </c>
      <c r="FG190" s="481">
        <v>2001</v>
      </c>
      <c r="FH190" s="487">
        <f t="shared" si="137"/>
        <v>0.9284109634799999</v>
      </c>
      <c r="FI190" s="54" t="e">
        <f>#REF!</f>
        <v>#REF!</v>
      </c>
      <c r="FJ190" s="326"/>
      <c r="FK190" s="75" t="e">
        <f t="shared" si="142"/>
        <v>#REF!</v>
      </c>
    </row>
    <row r="191" ht="21" customHeight="1" spans="9:167" x14ac:dyDescent="0.25">
      <c r="I191" s="195" t="s">
        <v>292</v>
      </c>
      <c r="J191" s="217" t="s">
        <v>648</v>
      </c>
      <c r="K191" s="121" t="s">
        <v>649</v>
      </c>
      <c r="L191" s="121"/>
      <c r="M191" s="121"/>
      <c r="N191" s="121"/>
      <c r="O191" s="218" t="s">
        <v>299</v>
      </c>
      <c r="P191" s="456"/>
      <c r="U191" s="277">
        <f>1</f>
        <v>1</v>
      </c>
      <c r="V191" s="489">
        <f t="shared" ref="V191:AR191" si="146">V83/V193</f>
        <v>1.695396731545807</v>
      </c>
      <c r="W191" s="361">
        <f t="shared" si="146"/>
        <v>2.415292468742241</v>
      </c>
      <c r="X191" s="361">
        <f t="shared" si="146"/>
        <v>2.6727462335842294</v>
      </c>
      <c r="Y191" s="361">
        <f t="shared" si="146"/>
        <v>3.4893420575027583</v>
      </c>
      <c r="Z191" s="334">
        <f t="shared" si="146"/>
        <v>3.9448052793534916</v>
      </c>
      <c r="AA191" s="361">
        <f t="shared" si="146"/>
        <v>4.396024616222597</v>
      </c>
      <c r="AB191" s="361">
        <f t="shared" si="146"/>
        <v>5.884382361829743</v>
      </c>
      <c r="AC191" s="361">
        <f t="shared" si="146"/>
        <v>5.90091640449027</v>
      </c>
      <c r="AD191" s="361">
        <f t="shared" si="146"/>
        <v>5.736138604273994</v>
      </c>
      <c r="AE191" s="320">
        <f t="shared" si="146"/>
        <v>7.718849506887088</v>
      </c>
      <c r="AF191" s="457">
        <f t="shared" si="146"/>
        <v>7.333907061981483</v>
      </c>
      <c r="AG191" s="457">
        <f t="shared" si="146"/>
        <v>7.941801279807624</v>
      </c>
      <c r="AH191" s="457">
        <f t="shared" si="146"/>
        <v>9.313557709187231</v>
      </c>
      <c r="AI191" s="457">
        <f t="shared" si="146"/>
        <v>10.66694831320229</v>
      </c>
      <c r="AJ191" s="443">
        <f t="shared" si="146"/>
        <v>11.27644871677545</v>
      </c>
      <c r="AK191" s="457">
        <f t="shared" si="146"/>
        <v>12.282914423380722</v>
      </c>
      <c r="AL191" s="457">
        <f t="shared" si="146"/>
        <v>13.249096044334456</v>
      </c>
      <c r="AM191" s="457">
        <f t="shared" si="146"/>
        <v>14.15863931501705</v>
      </c>
      <c r="AN191" s="457">
        <f t="shared" si="146"/>
        <v>14.240158664898729</v>
      </c>
      <c r="AO191" s="461">
        <f t="shared" si="146"/>
        <v>14.837823597492827</v>
      </c>
      <c r="AP191" s="457">
        <f t="shared" si="146"/>
        <v>15.707409284457475</v>
      </c>
      <c r="AQ191" s="457">
        <f t="shared" si="146"/>
        <v>14.777985159687598</v>
      </c>
      <c r="AR191" s="457">
        <f t="shared" si="146"/>
        <v>15.400454434924034</v>
      </c>
      <c r="AT191" s="226"/>
      <c r="BO191" s="281" t="str">
        <f t="shared" si="131"/>
        <v>Dww</v>
      </c>
      <c r="CS191" s="485">
        <v>2002</v>
      </c>
      <c r="CT191" s="55">
        <f t="shared" si="136"/>
        <v>254.80171304390456</v>
      </c>
      <c r="CU191" s="57">
        <v>0.9544064704574399</v>
      </c>
      <c r="CV191" s="55">
        <v>1762.4</v>
      </c>
      <c r="CW191" s="57"/>
      <c r="CX191" s="46">
        <f t="shared" si="139"/>
        <v>0.07765088248426016</v>
      </c>
      <c r="CY191" s="486">
        <f t="shared" si="140"/>
        <v>310.60352993704066</v>
      </c>
      <c r="CZ191" s="333">
        <v>3281.3756250040415</v>
      </c>
      <c r="DP191" s="62">
        <v>2002</v>
      </c>
      <c r="DQ191" s="216">
        <v>6.916750986271128</v>
      </c>
      <c r="DR191" s="57">
        <f>НАСТРОЙКА!DR143</f>
        <v>5.583780214464239</v>
      </c>
      <c r="DS191" s="216"/>
      <c r="DT191" s="75"/>
      <c r="EJ191" s="62">
        <v>2004</v>
      </c>
      <c r="EK191" s="478">
        <f t="shared" si="132"/>
        <v>325.92324119728437</v>
      </c>
      <c r="EL191" s="49"/>
      <c r="EM191" s="479"/>
      <c r="FE191" s="475">
        <f t="shared" si="134"/>
        <v>325.92324119728437</v>
      </c>
      <c r="FG191" s="481">
        <v>2002</v>
      </c>
      <c r="FH191" s="487">
        <f t="shared" si="137"/>
        <v>0.9544064704574399</v>
      </c>
      <c r="FI191" s="54" t="e">
        <f>#REF!</f>
        <v>#REF!</v>
      </c>
      <c r="FJ191" s="326"/>
      <c r="FK191" s="75" t="e">
        <f t="shared" si="142"/>
        <v>#REF!</v>
      </c>
    </row>
    <row r="192" ht="21" customHeight="1" spans="7:167" x14ac:dyDescent="0.25">
      <c r="G192" s="287" t="s">
        <v>139</v>
      </c>
      <c r="H192" s="287"/>
      <c r="I192" s="195" t="s">
        <v>292</v>
      </c>
      <c r="J192" s="217" t="s">
        <v>650</v>
      </c>
      <c r="K192" s="121" t="s">
        <v>651</v>
      </c>
      <c r="L192" s="121"/>
      <c r="M192" s="121"/>
      <c r="N192" s="121"/>
      <c r="O192" s="218" t="s">
        <v>299</v>
      </c>
      <c r="P192" s="456"/>
      <c r="U192" s="277">
        <v>1</v>
      </c>
      <c r="V192" s="189">
        <f t="shared" ref="V192:AR192" si="147">V56/V145</f>
        <v>1.3890656660960248</v>
      </c>
      <c r="W192" s="242">
        <f t="shared" si="147"/>
        <v>1.5288420201321875</v>
      </c>
      <c r="X192" s="242">
        <f t="shared" si="147"/>
        <v>1.6012135978440234</v>
      </c>
      <c r="Y192" s="242">
        <f t="shared" si="147"/>
        <v>2.761451251183235</v>
      </c>
      <c r="Z192" s="334">
        <f t="shared" si="147"/>
        <v>3.8813756116757316</v>
      </c>
      <c r="AA192" s="242">
        <f t="shared" si="147"/>
        <v>4.924455543275788</v>
      </c>
      <c r="AB192" s="242">
        <f t="shared" si="147"/>
        <v>5.507600378283486</v>
      </c>
      <c r="AC192" s="242">
        <f t="shared" si="147"/>
        <v>6.325509783187269</v>
      </c>
      <c r="AD192" s="242">
        <f t="shared" si="147"/>
        <v>7.300312186990133</v>
      </c>
      <c r="AE192" s="320">
        <f t="shared" si="147"/>
        <v>8.79079082161258</v>
      </c>
      <c r="AF192" s="457">
        <f t="shared" si="147"/>
        <v>10.077706332186347</v>
      </c>
      <c r="AG192" s="457">
        <f t="shared" si="147"/>
        <v>11.630372067549995</v>
      </c>
      <c r="AH192" s="457">
        <f t="shared" si="147"/>
        <v>13.808577618030881</v>
      </c>
      <c r="AI192" s="457">
        <f t="shared" si="147"/>
        <v>13.96475603527971</v>
      </c>
      <c r="AJ192" s="443">
        <f t="shared" si="147"/>
        <v>16.223531809175668</v>
      </c>
      <c r="AK192" s="267">
        <f t="shared" si="147"/>
        <v>18.09503717757504</v>
      </c>
      <c r="AL192" s="267">
        <f t="shared" si="147"/>
        <v>19.23249446463563</v>
      </c>
      <c r="AM192" s="267">
        <f t="shared" si="147"/>
        <v>20.58724351980391</v>
      </c>
      <c r="AN192" s="267">
        <f t="shared" si="147"/>
        <v>22.05840052773225</v>
      </c>
      <c r="AO192" s="461">
        <f t="shared" si="147"/>
        <v>24.641576618684894</v>
      </c>
      <c r="AP192" s="267">
        <f t="shared" si="147"/>
        <v>25.837490201740536</v>
      </c>
      <c r="AQ192" s="267">
        <f t="shared" si="147"/>
        <v>27.279512414925115</v>
      </c>
      <c r="AR192" s="267">
        <f t="shared" si="147"/>
        <v>29.75168622717218</v>
      </c>
      <c r="AT192" s="226"/>
      <c r="BO192" s="281" t="str">
        <f t="shared" si="131"/>
        <v>Dz</v>
      </c>
      <c r="CS192" s="485">
        <v>2003</v>
      </c>
      <c r="CT192" s="55">
        <f t="shared" si="136"/>
        <v>286.6519271743926</v>
      </c>
      <c r="CU192" s="57">
        <v>1.0737072792646198</v>
      </c>
      <c r="CV192" s="55">
        <v>2186.4</v>
      </c>
      <c r="CW192" s="57"/>
      <c r="CX192" s="46">
        <f t="shared" si="139"/>
        <v>0.08118702861969579</v>
      </c>
      <c r="CY192" s="486">
        <f t="shared" si="140"/>
        <v>324.7481144787832</v>
      </c>
      <c r="CZ192" s="333">
        <v>3530.7601725043487</v>
      </c>
      <c r="DP192" s="62">
        <v>2003</v>
      </c>
      <c r="DQ192" s="216">
        <v>7.6273689193439225</v>
      </c>
      <c r="DR192" s="57">
        <f>НАСТРОЙКА!DR144</f>
        <v>6.253833840199949</v>
      </c>
      <c r="DS192" s="216"/>
      <c r="DT192" s="75"/>
      <c r="EJ192" s="62">
        <v>2005</v>
      </c>
      <c r="EK192" s="478">
        <f t="shared" si="132"/>
        <v>359.16741179940743</v>
      </c>
      <c r="EL192" s="49"/>
      <c r="EM192" s="479"/>
      <c r="FE192" s="475">
        <f t="shared" si="134"/>
        <v>359.16741179940743</v>
      </c>
      <c r="FG192" s="481">
        <v>2003</v>
      </c>
      <c r="FH192" s="487">
        <f t="shared" si="137"/>
        <v>1.0737072792646198</v>
      </c>
      <c r="FI192" s="54" t="e">
        <f>#REF!</f>
        <v>#REF!</v>
      </c>
      <c r="FJ192" s="326"/>
      <c r="FK192" s="75" t="e">
        <f t="shared" si="142"/>
        <v>#REF!</v>
      </c>
    </row>
    <row r="193" ht="21" customHeight="1" spans="9:167" x14ac:dyDescent="0.25">
      <c r="I193" s="195" t="s">
        <v>292</v>
      </c>
      <c r="J193" s="217" t="s">
        <v>652</v>
      </c>
      <c r="K193" s="121" t="s">
        <v>222</v>
      </c>
      <c r="L193" s="121"/>
      <c r="M193" s="121"/>
      <c r="N193" s="121"/>
      <c r="O193" s="218" t="s">
        <v>283</v>
      </c>
      <c r="P193" s="456"/>
      <c r="U193" s="277">
        <f>U83</f>
        <v>230.407</v>
      </c>
      <c r="V193" s="189">
        <f>U193*V143</f>
        <v>197.18216614420064</v>
      </c>
      <c r="W193" s="242">
        <f t="shared" ref="W193:AG193" si="148">V193*W143</f>
        <v>168.2910062695925</v>
      </c>
      <c r="X193" s="242">
        <f t="shared" si="148"/>
        <v>160.34593730407522</v>
      </c>
      <c r="Y193" s="242">
        <f t="shared" si="148"/>
        <v>171.18012225705328</v>
      </c>
      <c r="Z193" s="334">
        <f t="shared" si="148"/>
        <v>213.79458307210035</v>
      </c>
      <c r="AA193" s="242">
        <f t="shared" si="148"/>
        <v>254.24220689655175</v>
      </c>
      <c r="AB193" s="242">
        <f t="shared" si="148"/>
        <v>274.4660188087774</v>
      </c>
      <c r="AC193" s="242">
        <f t="shared" si="148"/>
        <v>307.69085266457677</v>
      </c>
      <c r="AD193" s="242">
        <f t="shared" si="148"/>
        <v>343.804802507837</v>
      </c>
      <c r="AE193" s="320">
        <f t="shared" si="148"/>
        <v>381.3633103448276</v>
      </c>
      <c r="AF193" s="490">
        <f t="shared" si="148"/>
        <v>443.4793040752351</v>
      </c>
      <c r="AG193" s="490">
        <f t="shared" si="148"/>
        <v>540.9869686520377</v>
      </c>
      <c r="AH193" s="490">
        <f t="shared" ref="AH193:AP193" si="149">AG193*AH143</f>
        <v>616.8262633228841</v>
      </c>
      <c r="AI193" s="490">
        <f t="shared" si="149"/>
        <v>595.880172413793</v>
      </c>
      <c r="AJ193" s="443">
        <f t="shared" si="149"/>
        <v>556.5520810344827</v>
      </c>
      <c r="AK193" s="490">
        <f t="shared" si="149"/>
        <v>717.5262886488664</v>
      </c>
      <c r="AL193" s="490">
        <f t="shared" si="149"/>
        <v>780.3098389056421</v>
      </c>
      <c r="AM193" s="490">
        <f t="shared" si="149"/>
        <v>788.2455899673125</v>
      </c>
      <c r="AN193" s="490">
        <f t="shared" si="149"/>
        <v>764.5982222682932</v>
      </c>
      <c r="AO193" s="461">
        <f t="shared" si="149"/>
        <v>722.545320043537</v>
      </c>
      <c r="AP193" s="490">
        <f t="shared" si="149"/>
        <v>843.9329338108512</v>
      </c>
      <c r="AQ193" s="490">
        <f>AP193*AQ143</f>
        <v>844.7768667446619</v>
      </c>
      <c r="AR193" s="490">
        <f>AQ193*AR143</f>
        <v>968.1142892893824</v>
      </c>
      <c r="AT193" s="226"/>
      <c r="BO193" s="281" t="str">
        <f t="shared" si="131"/>
        <v>WWS</v>
      </c>
      <c r="CS193" s="485">
        <v>2004</v>
      </c>
      <c r="CT193" s="55">
        <f t="shared" si="136"/>
        <v>325.92324119728437</v>
      </c>
      <c r="CU193" s="57">
        <v>1.2208051765238728</v>
      </c>
      <c r="CV193" s="55">
        <v>2865</v>
      </c>
      <c r="CW193" s="57"/>
      <c r="CX193" s="46">
        <f t="shared" si="139"/>
        <v>0.08547189957462417</v>
      </c>
      <c r="CY193" s="486">
        <f t="shared" si="140"/>
        <v>341.8875982984967</v>
      </c>
      <c r="CZ193" s="333">
        <v>3813.2209863046965</v>
      </c>
      <c r="DP193" s="62">
        <v>2004</v>
      </c>
      <c r="DQ193" s="216">
        <v>8.79041331779647</v>
      </c>
      <c r="DR193" s="57">
        <f>НАСТРОЙКА!DR145</f>
        <v>6.9855323995033425</v>
      </c>
      <c r="DS193" s="216"/>
      <c r="DT193" s="75"/>
      <c r="EJ193" s="62">
        <v>2006</v>
      </c>
      <c r="EK193" s="478">
        <f t="shared" si="132"/>
        <v>419.1483695699085</v>
      </c>
      <c r="EL193" s="49"/>
      <c r="EM193" s="479"/>
      <c r="FE193" s="475">
        <f t="shared" si="134"/>
        <v>419.1483695699085</v>
      </c>
      <c r="FG193" s="481">
        <v>2004</v>
      </c>
      <c r="FH193" s="487">
        <f t="shared" si="137"/>
        <v>1.2208051765238728</v>
      </c>
      <c r="FI193" s="54" t="e">
        <f>#REF!</f>
        <v>#REF!</v>
      </c>
      <c r="FJ193" s="326"/>
      <c r="FK193" s="75" t="e">
        <f t="shared" si="142"/>
        <v>#REF!</v>
      </c>
    </row>
    <row r="194" ht="21" customHeight="1" spans="9:167" x14ac:dyDescent="0.25">
      <c r="I194" s="195" t="s">
        <v>292</v>
      </c>
      <c r="J194" s="217" t="s">
        <v>653</v>
      </c>
      <c r="K194" s="121" t="s">
        <v>654</v>
      </c>
      <c r="L194" s="121"/>
      <c r="M194" s="121"/>
      <c r="N194" s="121"/>
      <c r="O194" s="218" t="s">
        <v>283</v>
      </c>
      <c r="P194" s="456"/>
      <c r="U194" s="277">
        <f>U52</f>
        <v>369.9027</v>
      </c>
      <c r="V194" s="189">
        <f t="shared" ref="V194:AH194" si="150">U194*V140</f>
        <v>374.71143509999996</v>
      </c>
      <c r="W194" s="242">
        <f t="shared" si="150"/>
        <v>376.21028084039995</v>
      </c>
      <c r="X194" s="242">
        <f t="shared" si="150"/>
        <v>310.74969197417033</v>
      </c>
      <c r="Y194" s="242">
        <f t="shared" si="150"/>
        <v>257.92224433856137</v>
      </c>
      <c r="Z194" s="334">
        <f t="shared" si="150"/>
        <v>341.48905150425526</v>
      </c>
      <c r="AA194" s="242">
        <f t="shared" si="150"/>
        <v>405.347504135551</v>
      </c>
      <c r="AB194" s="242">
        <f t="shared" si="150"/>
        <v>464.5282397393414</v>
      </c>
      <c r="AC194" s="242">
        <f t="shared" si="150"/>
        <v>544.8916252142475</v>
      </c>
      <c r="AD194" s="242">
        <f t="shared" si="150"/>
        <v>671.8513738891672</v>
      </c>
      <c r="AE194" s="320">
        <f t="shared" si="150"/>
        <v>783.378701954769</v>
      </c>
      <c r="AF194" s="490">
        <f t="shared" si="150"/>
        <v>950.2383654711348</v>
      </c>
      <c r="AG194" s="490">
        <f t="shared" si="150"/>
        <v>1199.2008172245721</v>
      </c>
      <c r="AH194" s="490">
        <f t="shared" si="150"/>
        <v>1376.6825381738088</v>
      </c>
      <c r="AI194" s="490">
        <f t="shared" ref="AI194:AP195" si="151">AH194*AI140</f>
        <v>958.1710465689708</v>
      </c>
      <c r="AJ194" s="443">
        <f t="shared" si="151"/>
        <v>1205.3791765837652</v>
      </c>
      <c r="AK194" s="490">
        <f t="shared" si="151"/>
        <v>1450.0711494302695</v>
      </c>
      <c r="AL194" s="490">
        <f t="shared" si="151"/>
        <v>1590.7280509250056</v>
      </c>
      <c r="AM194" s="490">
        <f t="shared" si="151"/>
        <v>1646.4035327073807</v>
      </c>
      <c r="AN194" s="490">
        <f t="shared" si="151"/>
        <v>1526.216074819742</v>
      </c>
      <c r="AO194" s="464">
        <f t="shared" si="151"/>
        <v>1143.1358400399868</v>
      </c>
      <c r="AP194" s="220">
        <f t="shared" si="151"/>
        <v>1101.9829497985472</v>
      </c>
      <c r="AQ194" s="220">
        <f>AP194*AQ140</f>
        <v>1293.7279830634943</v>
      </c>
      <c r="AR194" s="220">
        <f>AQ194*AR140</f>
        <v>1328.6586386062086</v>
      </c>
      <c r="AT194" s="226"/>
      <c r="BO194" s="281" t="str">
        <f t="shared" si="131"/>
        <v>IMS</v>
      </c>
      <c r="CS194" s="485">
        <v>2005</v>
      </c>
      <c r="CT194" s="55">
        <f t="shared" si="136"/>
        <v>359.16741179940743</v>
      </c>
      <c r="CU194" s="57">
        <v>1.345327304529308</v>
      </c>
      <c r="CV194" s="55">
        <v>3611.1</v>
      </c>
      <c r="CW194" s="57"/>
      <c r="CX194" s="46">
        <f t="shared" si="139"/>
        <v>0.08911072216767821</v>
      </c>
      <c r="CY194" s="486">
        <f t="shared" si="140"/>
        <v>356.4428886707128</v>
      </c>
      <c r="CZ194" s="333">
        <v>4030.5745825240638</v>
      </c>
      <c r="DP194" s="62">
        <v>2005</v>
      </c>
      <c r="DQ194" s="216">
        <v>10.054085870175701</v>
      </c>
      <c r="DR194" s="57">
        <f>НАСТРОЙКА!DR146</f>
        <v>7.746955431049207</v>
      </c>
      <c r="DS194" s="216"/>
      <c r="DT194" s="75"/>
      <c r="EJ194" s="62">
        <v>2007</v>
      </c>
      <c r="EK194" s="478">
        <f t="shared" si="132"/>
        <v>514.2950494622777</v>
      </c>
      <c r="EL194" s="49"/>
      <c r="EM194" s="479"/>
      <c r="FE194" s="475">
        <f t="shared" si="134"/>
        <v>514.2950494622777</v>
      </c>
      <c r="FG194" s="481">
        <v>2005</v>
      </c>
      <c r="FH194" s="487">
        <f t="shared" si="137"/>
        <v>1.345327304529308</v>
      </c>
      <c r="FI194" s="54" t="e">
        <f>#REF!</f>
        <v>#REF!</v>
      </c>
      <c r="FJ194" s="326"/>
      <c r="FK194" s="75" t="e">
        <f t="shared" si="142"/>
        <v>#REF!</v>
      </c>
    </row>
    <row r="195" ht="21" customHeight="1" spans="9:167" x14ac:dyDescent="0.25">
      <c r="I195" s="195" t="s">
        <v>292</v>
      </c>
      <c r="J195" s="217" t="s">
        <v>24</v>
      </c>
      <c r="K195" s="121" t="s">
        <v>655</v>
      </c>
      <c r="L195" s="121"/>
      <c r="M195" s="121"/>
      <c r="N195" s="121"/>
      <c r="O195" s="218" t="s">
        <v>283</v>
      </c>
      <c r="P195" s="456"/>
      <c r="S195" s="189">
        <v>392.2955639834661</v>
      </c>
      <c r="T195" s="189">
        <v>296.96774193548384</v>
      </c>
      <c r="U195" s="277">
        <f>U79</f>
        <v>266.974</v>
      </c>
      <c r="V195" s="242">
        <f t="shared" ref="V195:AH195" si="152">U195*V141</f>
        <v>218.651706</v>
      </c>
      <c r="W195" s="242">
        <f t="shared" si="152"/>
        <v>207.7191207</v>
      </c>
      <c r="X195" s="242">
        <f t="shared" si="152"/>
        <v>182.79282621599998</v>
      </c>
      <c r="Y195" s="242">
        <f t="shared" si="152"/>
        <v>191.9324675268</v>
      </c>
      <c r="Z195" s="242">
        <f t="shared" si="152"/>
        <v>225.32871687646318</v>
      </c>
      <c r="AA195" s="242">
        <f t="shared" si="152"/>
        <v>247.86158856410952</v>
      </c>
      <c r="AB195" s="242">
        <f t="shared" si="152"/>
        <v>254.80171304390458</v>
      </c>
      <c r="AC195" s="242">
        <f t="shared" si="152"/>
        <v>286.65192717439265</v>
      </c>
      <c r="AD195" s="242">
        <f t="shared" si="152"/>
        <v>325.9232411972844</v>
      </c>
      <c r="AE195" s="242">
        <f t="shared" si="152"/>
        <v>359.1674117994075</v>
      </c>
      <c r="AF195" s="242">
        <f t="shared" si="152"/>
        <v>419.14836956990854</v>
      </c>
      <c r="AG195" s="242">
        <f t="shared" si="152"/>
        <v>514.2950494622778</v>
      </c>
      <c r="AH195" s="242">
        <f t="shared" si="152"/>
        <v>563.1530791611942</v>
      </c>
      <c r="AI195" s="242">
        <f t="shared" si="151"/>
        <v>487.127413474433</v>
      </c>
      <c r="AJ195" s="491">
        <f t="shared" si="151"/>
        <v>517.8164405233223</v>
      </c>
      <c r="AK195" s="242">
        <f t="shared" si="151"/>
        <v>573.7406160998412</v>
      </c>
      <c r="AL195" s="242">
        <f t="shared" si="151"/>
        <v>612.7549779946304</v>
      </c>
      <c r="AM195" s="242">
        <f>AL195*AM141</f>
        <v>617.6570178185874</v>
      </c>
      <c r="AN195" s="242">
        <f>AM195*AN141</f>
        <v>608.3921625513086</v>
      </c>
      <c r="AO195" s="464">
        <f>AN195*AO141</f>
        <v>546.9445541336264</v>
      </c>
      <c r="AP195" s="242">
        <f>AO195*AP141</f>
        <v>545.8506650253591</v>
      </c>
      <c r="AQ195" s="242">
        <f>AP195*AQ141</f>
        <v>572.0514969465764</v>
      </c>
      <c r="AR195" s="242">
        <f>AQ195*AR141</f>
        <v>596.6497113152792</v>
      </c>
      <c r="AT195" s="226"/>
      <c r="BO195" s="281" t="str">
        <f t="shared" si="131"/>
        <v>INS</v>
      </c>
      <c r="CS195" s="485">
        <v>2006</v>
      </c>
      <c r="CT195" s="55">
        <f t="shared" si="136"/>
        <v>419.1483695699085</v>
      </c>
      <c r="CU195" s="57">
        <v>1.5699969643857024</v>
      </c>
      <c r="CV195" s="55">
        <v>4730</v>
      </c>
      <c r="CW195" s="57"/>
      <c r="CX195" s="46">
        <f t="shared" si="139"/>
        <v>0.09549330832844855</v>
      </c>
      <c r="CY195" s="486">
        <f t="shared" si="140"/>
        <v>381.9732333137942</v>
      </c>
      <c r="CZ195" s="333">
        <v>4389.295720368706</v>
      </c>
      <c r="DP195" s="62">
        <v>2006</v>
      </c>
      <c r="DQ195" s="216">
        <v>11.28478682823815</v>
      </c>
      <c r="DR195" s="57">
        <f>НАСТРОЙКА!DR147</f>
        <v>8.444181419843636</v>
      </c>
      <c r="DS195" s="216"/>
      <c r="DT195" s="75"/>
      <c r="EJ195" s="62">
        <v>2008</v>
      </c>
      <c r="EK195" s="478">
        <f t="shared" si="132"/>
        <v>563.1530791611941</v>
      </c>
      <c r="EL195" s="49"/>
      <c r="EM195" s="479"/>
      <c r="FE195" s="475">
        <f t="shared" si="134"/>
        <v>563.1530791611941</v>
      </c>
      <c r="FG195" s="481">
        <v>2006</v>
      </c>
      <c r="FH195" s="487">
        <f t="shared" si="137"/>
        <v>1.5699969643857024</v>
      </c>
      <c r="FI195" s="54" t="e">
        <f>#REF!</f>
        <v>#REF!</v>
      </c>
      <c r="FJ195" s="326"/>
      <c r="FK195" s="75" t="e">
        <f t="shared" si="142"/>
        <v>#REF!</v>
      </c>
    </row>
    <row r="196" ht="21" customHeight="1" spans="9:167" x14ac:dyDescent="0.25">
      <c r="I196" s="195" t="s">
        <v>292</v>
      </c>
      <c r="J196" s="217" t="s">
        <v>656</v>
      </c>
      <c r="K196" s="121" t="s">
        <v>657</v>
      </c>
      <c r="L196" s="121"/>
      <c r="M196" s="121"/>
      <c r="N196" s="121"/>
      <c r="O196" s="218" t="s">
        <v>283</v>
      </c>
      <c r="P196" s="456"/>
      <c r="U196" s="241">
        <f>U69+U70+U71</f>
        <v>1016.5943000000001</v>
      </c>
      <c r="V196" s="242">
        <f t="shared" ref="V196:AR196" si="153">$U69*V159+$U70*V160+$U71*V161</f>
        <v>989.9177608</v>
      </c>
      <c r="W196" s="242">
        <f t="shared" si="153"/>
        <v>1017.2056038426</v>
      </c>
      <c r="X196" s="242">
        <f t="shared" si="153"/>
        <v>995.6314210311581</v>
      </c>
      <c r="Y196" s="242">
        <f t="shared" si="153"/>
        <v>987.212133017779</v>
      </c>
      <c r="Z196" s="242">
        <f t="shared" si="153"/>
        <v>1033.2885609360237</v>
      </c>
      <c r="AA196" s="242">
        <f t="shared" si="153"/>
        <v>1090.2681403758168</v>
      </c>
      <c r="AB196" s="242">
        <f t="shared" si="153"/>
        <v>1157.7675729084185</v>
      </c>
      <c r="AC196" s="242">
        <f t="shared" si="153"/>
        <v>1229.2992374246687</v>
      </c>
      <c r="AD196" s="242">
        <f t="shared" si="153"/>
        <v>1345.46935504086</v>
      </c>
      <c r="AE196" s="242">
        <f t="shared" si="153"/>
        <v>1469.3395267776507</v>
      </c>
      <c r="AF196" s="242">
        <f t="shared" si="153"/>
        <v>1614.953602830957</v>
      </c>
      <c r="AG196" s="242">
        <f t="shared" si="153"/>
        <v>1806.5211696140962</v>
      </c>
      <c r="AH196" s="242">
        <f t="shared" si="153"/>
        <v>1972.0320836036494</v>
      </c>
      <c r="AI196" s="242">
        <f t="shared" si="153"/>
        <v>1886.2945614789755</v>
      </c>
      <c r="AJ196" s="491">
        <f t="shared" si="153"/>
        <v>1965.2852788628827</v>
      </c>
      <c r="AK196" s="242">
        <f t="shared" si="153"/>
        <v>2078.9315520684368</v>
      </c>
      <c r="AL196" s="242">
        <f t="shared" si="153"/>
        <v>2223.7978639208027</v>
      </c>
      <c r="AM196" s="242">
        <f t="shared" si="153"/>
        <v>2323.4815127640777</v>
      </c>
      <c r="AN196" s="242">
        <f t="shared" si="153"/>
        <v>2355.2564180820523</v>
      </c>
      <c r="AO196" s="491">
        <f t="shared" si="153"/>
        <v>2154.789858881123</v>
      </c>
      <c r="AP196" s="242">
        <f t="shared" si="153"/>
        <v>2125.5426032643127</v>
      </c>
      <c r="AQ196" s="242">
        <f t="shared" si="153"/>
        <v>2192.572347301217</v>
      </c>
      <c r="AR196" s="242">
        <f t="shared" si="153"/>
        <v>2236.44648824009</v>
      </c>
      <c r="AT196" s="226"/>
      <c r="BO196" s="281" t="str">
        <f t="shared" si="131"/>
        <v>YS</v>
      </c>
      <c r="CS196" s="485">
        <v>2007</v>
      </c>
      <c r="CT196" s="55">
        <f t="shared" si="136"/>
        <v>514.2950494622777</v>
      </c>
      <c r="CU196" s="57">
        <v>1.9263862753012568</v>
      </c>
      <c r="CV196" s="55">
        <v>6716.222</v>
      </c>
      <c r="CW196" s="57"/>
      <c r="CX196" s="46">
        <f t="shared" si="139"/>
        <v>0.10769328062408673</v>
      </c>
      <c r="CY196" s="486">
        <f t="shared" si="140"/>
        <v>430.7731224963469</v>
      </c>
      <c r="CZ196" s="333">
        <v>4775.553743761152</v>
      </c>
      <c r="DP196" s="62">
        <v>2007</v>
      </c>
      <c r="DQ196" s="216">
        <v>13.059083510568804</v>
      </c>
      <c r="DR196" s="57">
        <f>НАСТРОЙКА!DR148</f>
        <v>9.446505754379075</v>
      </c>
      <c r="DS196" s="216"/>
      <c r="DT196" s="75"/>
      <c r="EJ196" s="62">
        <v>2009</v>
      </c>
      <c r="EK196" s="478">
        <f t="shared" si="132"/>
        <v>487.1274134744329</v>
      </c>
      <c r="EL196" s="49"/>
      <c r="EM196" s="479"/>
      <c r="FE196" s="475">
        <f t="shared" si="134"/>
        <v>487.1274134744329</v>
      </c>
      <c r="FG196" s="481">
        <v>2007</v>
      </c>
      <c r="FH196" s="487">
        <f t="shared" si="137"/>
        <v>1.9263862753012568</v>
      </c>
      <c r="FI196" s="54" t="e">
        <f>#REF!</f>
        <v>#REF!</v>
      </c>
      <c r="FJ196" s="326"/>
      <c r="FK196" s="75" t="e">
        <f t="shared" si="142"/>
        <v>#REF!</v>
      </c>
    </row>
    <row r="197" ht="21" customHeight="1" spans="9:167" x14ac:dyDescent="0.25">
      <c r="I197" s="195" t="s">
        <v>292</v>
      </c>
      <c r="J197" s="217" t="s">
        <v>658</v>
      </c>
      <c r="K197" s="121" t="s">
        <v>659</v>
      </c>
      <c r="L197" s="121"/>
      <c r="M197" s="121"/>
      <c r="N197" s="121"/>
      <c r="O197" s="218" t="s">
        <v>283</v>
      </c>
      <c r="P197" s="456"/>
      <c r="T197" s="31">
        <v>5300</v>
      </c>
      <c r="U197" s="277">
        <f>U82</f>
        <v>5306</v>
      </c>
      <c r="V197" s="189">
        <f t="shared" ref="V197:AI197" si="154">U197*V142</f>
        <v>5300.694</v>
      </c>
      <c r="W197" s="242">
        <f t="shared" si="154"/>
        <v>5279.491224</v>
      </c>
      <c r="X197" s="242">
        <f t="shared" si="154"/>
        <v>5263.652750328</v>
      </c>
      <c r="Y197" s="242">
        <f t="shared" si="154"/>
        <v>5274.180055828657</v>
      </c>
      <c r="Z197" s="334">
        <f t="shared" si="154"/>
        <v>5300.5509561078</v>
      </c>
      <c r="AA197" s="242">
        <f t="shared" si="154"/>
        <v>5348.25591471277</v>
      </c>
      <c r="AB197" s="242">
        <f t="shared" si="154"/>
        <v>5401.7384738598985</v>
      </c>
      <c r="AC197" s="242">
        <f t="shared" si="154"/>
        <v>5471.961074020077</v>
      </c>
      <c r="AD197" s="242">
        <f t="shared" si="154"/>
        <v>5559.5124512043985</v>
      </c>
      <c r="AE197" s="320">
        <f t="shared" si="154"/>
        <v>5665.143187777283</v>
      </c>
      <c r="AF197" s="490">
        <f t="shared" si="154"/>
        <v>5801.106624283938</v>
      </c>
      <c r="AG197" s="490">
        <f t="shared" si="154"/>
        <v>5980.940929636739</v>
      </c>
      <c r="AH197" s="490">
        <f t="shared" si="154"/>
        <v>6196.254803103662</v>
      </c>
      <c r="AI197" s="490">
        <f t="shared" si="154"/>
        <v>6394.53495680298</v>
      </c>
      <c r="AJ197" s="443">
        <f t="shared" ref="AJ197:AP197" si="155">AI197*AJ142</f>
        <v>6586.37100550707</v>
      </c>
      <c r="AK197" s="490">
        <f t="shared" si="155"/>
        <v>6849.825845727352</v>
      </c>
      <c r="AL197" s="490">
        <f t="shared" si="155"/>
        <v>7144.368357093628</v>
      </c>
      <c r="AM197" s="490">
        <f t="shared" si="155"/>
        <v>7437.287459734466</v>
      </c>
      <c r="AN197" s="490">
        <f t="shared" si="155"/>
        <v>7712.467095744641</v>
      </c>
      <c r="AO197" s="464">
        <f t="shared" si="155"/>
        <v>7959.266042808469</v>
      </c>
      <c r="AP197" s="490">
        <f t="shared" si="155"/>
        <v>8269.677418477999</v>
      </c>
      <c r="AQ197" s="490">
        <f>AP197*AQ142</f>
        <v>8583.925160380162</v>
      </c>
      <c r="AR197" s="490">
        <f>AQ197*AR142</f>
        <v>8944.450017116129</v>
      </c>
      <c r="AT197" s="226"/>
      <c r="BN197" s="145"/>
      <c r="BO197" s="335" t="str">
        <f t="shared" si="131"/>
        <v>FS</v>
      </c>
      <c r="CS197" s="485">
        <v>2008</v>
      </c>
      <c r="CT197" s="55">
        <f t="shared" si="136"/>
        <v>563.1530791611941</v>
      </c>
      <c r="CU197" s="57">
        <v>2.1093929714548763</v>
      </c>
      <c r="CV197" s="55">
        <v>8781.616</v>
      </c>
      <c r="CW197" s="57"/>
      <c r="CX197" s="46">
        <f t="shared" si="139"/>
        <v>0.11230870693654758</v>
      </c>
      <c r="CY197" s="486">
        <f t="shared" si="140"/>
        <v>449.2348277461903</v>
      </c>
      <c r="CZ197" s="333">
        <v>5014.33143094921</v>
      </c>
      <c r="DP197" s="62">
        <v>2008</v>
      </c>
      <c r="DQ197" s="216">
        <v>15.593657080025292</v>
      </c>
      <c r="DR197" s="57">
        <f>НАСТРОЙКА!DR149</f>
        <v>10.701001718560617</v>
      </c>
      <c r="DS197" s="216"/>
      <c r="DT197" s="75"/>
      <c r="EJ197" s="62">
        <v>2010</v>
      </c>
      <c r="EK197" s="478">
        <f t="shared" si="132"/>
        <v>517.8164405233222</v>
      </c>
      <c r="EL197" s="49"/>
      <c r="EM197" s="479"/>
      <c r="FE197" s="475">
        <f t="shared" si="134"/>
        <v>517.8164405233222</v>
      </c>
      <c r="FG197" s="481">
        <v>2008</v>
      </c>
      <c r="FH197" s="487">
        <f t="shared" si="137"/>
        <v>2.1093929714548763</v>
      </c>
      <c r="FI197" s="54" t="e">
        <f>#REF!</f>
        <v>#REF!</v>
      </c>
      <c r="FJ197" s="326"/>
      <c r="FK197" s="75" t="e">
        <f t="shared" si="142"/>
        <v>#REF!</v>
      </c>
    </row>
    <row r="198" ht="21" customHeight="1" spans="6:167" x14ac:dyDescent="0.25">
      <c r="F198" s="492" t="s">
        <v>660</v>
      </c>
      <c r="G198" s="492"/>
      <c r="H198" s="433"/>
      <c r="I198" s="195" t="s">
        <v>292</v>
      </c>
      <c r="J198" s="217" t="s">
        <v>661</v>
      </c>
      <c r="K198" s="121" t="s">
        <v>662</v>
      </c>
      <c r="L198" s="121"/>
      <c r="M198" s="121"/>
      <c r="N198" s="121"/>
      <c r="O198" s="218" t="s">
        <v>299</v>
      </c>
      <c r="P198" s="456"/>
      <c r="U198" s="375">
        <f>U167/U197</f>
        <v>0.5216020542781756</v>
      </c>
      <c r="V198" s="376">
        <f>V167/V197</f>
        <v>0.5075047014598465</v>
      </c>
      <c r="W198" s="376">
        <f t="shared" ref="W198:AR198" si="156">W167/W197</f>
        <v>0.5166764731729763</v>
      </c>
      <c r="X198" s="376">
        <f t="shared" si="156"/>
        <v>0.4918013771726725</v>
      </c>
      <c r="Y198" s="376">
        <f t="shared" si="156"/>
        <v>0.5192872824837201</v>
      </c>
      <c r="Z198" s="376">
        <f t="shared" si="156"/>
        <v>0.5652739174499402</v>
      </c>
      <c r="AA198" s="376">
        <f t="shared" si="156"/>
        <v>0.587683190688788</v>
      </c>
      <c r="AB198" s="376">
        <f t="shared" si="156"/>
        <v>0.6074665852268265</v>
      </c>
      <c r="AC198" s="376">
        <f t="shared" si="156"/>
        <v>0.6452458496585047</v>
      </c>
      <c r="AD198" s="376">
        <f t="shared" si="156"/>
        <v>0.6858912575110089</v>
      </c>
      <c r="AE198" s="376">
        <f t="shared" si="156"/>
        <v>0.7114691454260414</v>
      </c>
      <c r="AF198" s="377">
        <f t="shared" si="156"/>
        <v>0.7566307611024992</v>
      </c>
      <c r="AG198" s="377">
        <f t="shared" si="156"/>
        <v>0.7984619477007946</v>
      </c>
      <c r="AH198" s="377">
        <f t="shared" si="156"/>
        <v>0.8092519740210756</v>
      </c>
      <c r="AI198" s="377">
        <f t="shared" si="156"/>
        <v>0.7261311317282132</v>
      </c>
      <c r="AJ198" s="443">
        <f t="shared" si="156"/>
        <v>0.7402307653540036</v>
      </c>
      <c r="AK198" s="377">
        <f t="shared" si="156"/>
        <v>0.7423660464079095</v>
      </c>
      <c r="AL198" s="377">
        <f t="shared" si="156"/>
        <v>0.7395190050027017</v>
      </c>
      <c r="AM198" s="377">
        <f t="shared" si="156"/>
        <v>0.7253111470775779</v>
      </c>
      <c r="AN198" s="377">
        <f t="shared" si="156"/>
        <v>0.7050276145170672</v>
      </c>
      <c r="AO198" s="461">
        <f t="shared" si="156"/>
        <v>0.6742851313259158</v>
      </c>
      <c r="AP198" s="377">
        <f t="shared" si="156"/>
        <v>0.6567628035628748</v>
      </c>
      <c r="AQ198" s="377">
        <f t="shared" si="156"/>
        <v>0.6485374505317406</v>
      </c>
      <c r="AR198" s="377">
        <f t="shared" si="156"/>
        <v>0.6379567051775759</v>
      </c>
      <c r="AT198" s="226"/>
      <c r="BO198" s="281" t="str">
        <f t="shared" si="131"/>
        <v>fOS</v>
      </c>
      <c r="CS198" s="485">
        <v>2009</v>
      </c>
      <c r="CT198" s="55">
        <f t="shared" si="136"/>
        <v>487.1274134744329</v>
      </c>
      <c r="CU198" s="57">
        <v>1.824624920308468</v>
      </c>
      <c r="CV198" s="55">
        <v>7976.013</v>
      </c>
      <c r="CW198" s="57"/>
      <c r="CX198" s="46">
        <f t="shared" si="139"/>
        <v>0.10491040118802772</v>
      </c>
      <c r="CY198" s="486">
        <f t="shared" si="140"/>
        <v>419.6416047521109</v>
      </c>
      <c r="CZ198" s="333">
        <v>4643.270905058968</v>
      </c>
      <c r="DP198" s="62">
        <v>2009</v>
      </c>
      <c r="DQ198" s="216">
        <v>16.373566297801105</v>
      </c>
      <c r="DR198" s="57">
        <f>НАСТРОЙКА!DR150</f>
        <v>11.642689869793951</v>
      </c>
      <c r="DS198" s="216">
        <f t="shared" ref="DS198:DS202" si="157">DQ198</f>
        <v>16.373566297801105</v>
      </c>
      <c r="DT198" s="75"/>
      <c r="EJ198" s="62">
        <v>2011</v>
      </c>
      <c r="EK198" s="478">
        <f t="shared" si="132"/>
        <v>573.740616099841</v>
      </c>
      <c r="EL198" s="49"/>
      <c r="EM198" s="479"/>
      <c r="FE198" s="475">
        <f t="shared" si="134"/>
        <v>573.740616099841</v>
      </c>
      <c r="FG198" s="481">
        <v>2009</v>
      </c>
      <c r="FH198" s="487">
        <f t="shared" si="137"/>
        <v>1.824624920308468</v>
      </c>
      <c r="FI198" s="54" t="e">
        <f>#REF!</f>
        <v>#REF!</v>
      </c>
      <c r="FJ198" s="326"/>
      <c r="FK198" s="75" t="e">
        <f t="shared" si="142"/>
        <v>#REF!</v>
      </c>
    </row>
    <row r="199" ht="21" customHeight="1" spans="6:167" x14ac:dyDescent="0.25">
      <c r="F199" s="403" t="s">
        <v>663</v>
      </c>
      <c r="G199" s="403"/>
      <c r="H199" s="403"/>
      <c r="I199" s="195" t="s">
        <v>292</v>
      </c>
      <c r="J199" s="217" t="s">
        <v>664</v>
      </c>
      <c r="K199" s="121" t="s">
        <v>665</v>
      </c>
      <c r="L199" s="119"/>
      <c r="M199" s="119"/>
      <c r="N199" s="119"/>
      <c r="O199" s="218" t="s">
        <v>283</v>
      </c>
      <c r="P199" s="456"/>
      <c r="U199" s="241">
        <f>U105</f>
        <v>1428.5209</v>
      </c>
      <c r="V199" s="189">
        <f t="shared" ref="V199:AG199" si="158">U199*V127</f>
        <v>1377.0941476</v>
      </c>
      <c r="W199" s="242">
        <f t="shared" si="158"/>
        <v>1396.3734656664</v>
      </c>
      <c r="X199" s="242">
        <f t="shared" si="158"/>
        <v>1322.3656719860808</v>
      </c>
      <c r="Y199" s="242">
        <f t="shared" si="158"/>
        <v>1406.99707499319</v>
      </c>
      <c r="Z199" s="334">
        <f t="shared" si="158"/>
        <v>1547.696782492509</v>
      </c>
      <c r="AA199" s="242">
        <f t="shared" si="158"/>
        <v>1626.629318399627</v>
      </c>
      <c r="AB199" s="242">
        <f t="shared" si="158"/>
        <v>1703.0808963644092</v>
      </c>
      <c r="AC199" s="242">
        <f t="shared" si="158"/>
        <v>1827.405801799011</v>
      </c>
      <c r="AD199" s="242">
        <f t="shared" si="158"/>
        <v>1958.97901952854</v>
      </c>
      <c r="AE199" s="320">
        <f t="shared" si="158"/>
        <v>2084.3536767783667</v>
      </c>
      <c r="AF199" s="490">
        <f t="shared" si="158"/>
        <v>2255.270678274193</v>
      </c>
      <c r="AG199" s="490">
        <f t="shared" si="158"/>
        <v>2446.9686859274993</v>
      </c>
      <c r="AH199" s="490">
        <f t="shared" ref="AH199:AP199" si="159">AG199*AH127</f>
        <v>2574.2110575957295</v>
      </c>
      <c r="AI199" s="490">
        <f t="shared" si="159"/>
        <v>2370.848384045667</v>
      </c>
      <c r="AJ199" s="443">
        <f t="shared" si="159"/>
        <v>2477.5365613277218</v>
      </c>
      <c r="AK199" s="490">
        <f t="shared" si="159"/>
        <v>2584.0706334648135</v>
      </c>
      <c r="AL199" s="490">
        <f t="shared" si="159"/>
        <v>2678.541712402734</v>
      </c>
      <c r="AM199" s="490">
        <f t="shared" si="159"/>
        <v>2726.3631774238834</v>
      </c>
      <c r="AN199" s="490">
        <f t="shared" si="159"/>
        <v>2746.5001169353304</v>
      </c>
      <c r="AO199" s="464">
        <f t="shared" si="159"/>
        <v>2683.3306142458177</v>
      </c>
      <c r="AP199" s="490">
        <f t="shared" si="159"/>
        <v>2688.697275474309</v>
      </c>
      <c r="AQ199" s="490">
        <f>AP199*AQ127</f>
        <v>2737.093826432847</v>
      </c>
      <c r="AR199" s="490">
        <f>AQ199*AR127</f>
        <v>2813.7324535729667</v>
      </c>
      <c r="AT199" s="226"/>
      <c r="BO199" s="281" t="str">
        <f t="shared" si="131"/>
        <v>WWPS</v>
      </c>
      <c r="CS199" s="485">
        <v>2010</v>
      </c>
      <c r="CT199" s="55">
        <f t="shared" si="136"/>
        <v>517.8164405233222</v>
      </c>
      <c r="CU199" s="57">
        <v>1.9395762902879012</v>
      </c>
      <c r="CV199" s="55">
        <v>9152.1</v>
      </c>
      <c r="CW199" s="57"/>
      <c r="CX199" s="46">
        <f t="shared" si="139"/>
        <v>0.1062092918694033</v>
      </c>
      <c r="CY199" s="486">
        <f t="shared" si="140"/>
        <v>424.8371674776132</v>
      </c>
      <c r="CZ199" s="333">
        <v>4875.434450311916</v>
      </c>
      <c r="DP199" s="62">
        <v>2010</v>
      </c>
      <c r="DQ199" s="216">
        <v>17.674409856030426</v>
      </c>
      <c r="DR199" s="57">
        <f>НАСТРОЙКА!DR151</f>
        <v>12.664918040361862</v>
      </c>
      <c r="DS199" s="216">
        <f t="shared" si="157"/>
        <v>17.674409856030426</v>
      </c>
      <c r="DT199" s="75"/>
      <c r="EJ199" s="62">
        <v>2012</v>
      </c>
      <c r="EK199" s="478">
        <f t="shared" si="132"/>
        <v>612.7549779946302</v>
      </c>
      <c r="EL199" s="49"/>
      <c r="EM199" s="479"/>
      <c r="FE199" s="475">
        <f t="shared" si="134"/>
        <v>612.7549779946302</v>
      </c>
      <c r="FG199" s="481">
        <v>2010</v>
      </c>
      <c r="FH199" s="487">
        <f t="shared" si="137"/>
        <v>1.9395762902879012</v>
      </c>
      <c r="FI199" s="54" t="e">
        <f>#REF!</f>
        <v>#REF!</v>
      </c>
      <c r="FJ199" s="326"/>
      <c r="FK199" s="75" t="e">
        <f t="shared" si="142"/>
        <v>#REF!</v>
      </c>
    </row>
    <row r="200" ht="21" customHeight="1" spans="9:167" x14ac:dyDescent="0.25">
      <c r="I200" s="195" t="s">
        <v>666</v>
      </c>
      <c r="J200" s="217" t="s">
        <v>667</v>
      </c>
      <c r="K200" s="187" t="s">
        <v>668</v>
      </c>
      <c r="L200" s="187"/>
      <c r="M200" s="187"/>
      <c r="N200" s="187"/>
      <c r="O200" s="218" t="s">
        <v>283</v>
      </c>
      <c r="P200" s="493"/>
      <c r="U200" s="277"/>
      <c r="W200" s="276"/>
      <c r="X200" s="276"/>
      <c r="Y200" s="276"/>
      <c r="Z200" s="290">
        <v>1132</v>
      </c>
      <c r="AA200" s="276">
        <v>1594</v>
      </c>
      <c r="AB200" s="276">
        <v>2205</v>
      </c>
      <c r="AC200" s="276">
        <v>2586</v>
      </c>
      <c r="AD200" s="276">
        <v>3429</v>
      </c>
      <c r="AE200" s="320">
        <v>5127</v>
      </c>
      <c r="AF200" s="490">
        <v>6279</v>
      </c>
      <c r="AG200" s="490">
        <v>7781</v>
      </c>
      <c r="AH200" s="490">
        <v>9275</v>
      </c>
      <c r="AI200" s="490">
        <v>7337</v>
      </c>
      <c r="AJ200" s="443">
        <v>7432</v>
      </c>
      <c r="AK200" s="490">
        <v>11367.65</v>
      </c>
      <c r="AL200" s="276">
        <v>12858.3</v>
      </c>
      <c r="AM200" s="276"/>
      <c r="AN200" s="276"/>
      <c r="AO200" s="465"/>
      <c r="AT200" s="226"/>
      <c r="BO200" s="281" t="str">
        <f t="shared" si="131"/>
        <v>DHF</v>
      </c>
      <c r="CS200" s="485">
        <v>2011</v>
      </c>
      <c r="CT200" s="55">
        <f t="shared" si="136"/>
        <v>573.740616099841</v>
      </c>
      <c r="CU200" s="57">
        <v>2.149050529638995</v>
      </c>
      <c r="CV200" s="55">
        <v>11035.652</v>
      </c>
      <c r="CW200" s="57"/>
      <c r="CX200" s="46">
        <f t="shared" si="139"/>
        <v>0.112828279378043</v>
      </c>
      <c r="CY200" s="486">
        <f t="shared" si="140"/>
        <v>451.313117512172</v>
      </c>
      <c r="CZ200" s="333">
        <v>5085.078131675329</v>
      </c>
      <c r="DP200" s="62">
        <v>2011</v>
      </c>
      <c r="DQ200" s="216">
        <v>19.234566440524752</v>
      </c>
      <c r="DR200" s="57">
        <f>НАСТРОЙКА!DR152</f>
        <v>13.437478040823935</v>
      </c>
      <c r="DS200" s="216">
        <f t="shared" si="157"/>
        <v>19.234566440524752</v>
      </c>
      <c r="DT200" s="75"/>
      <c r="EJ200" s="62">
        <v>2013</v>
      </c>
      <c r="EK200" s="478">
        <f t="shared" si="132"/>
        <v>617.6570178185872</v>
      </c>
      <c r="EL200" s="49"/>
      <c r="EM200" s="479"/>
      <c r="FE200" s="475">
        <f t="shared" si="134"/>
        <v>617.6570178185872</v>
      </c>
      <c r="FG200" s="481">
        <v>2011</v>
      </c>
      <c r="FH200" s="487">
        <f t="shared" si="137"/>
        <v>2.149050529638995</v>
      </c>
      <c r="FI200" s="54" t="e">
        <f>#REF!</f>
        <v>#REF!</v>
      </c>
      <c r="FJ200" s="326"/>
      <c r="FK200" s="75" t="e">
        <f t="shared" si="142"/>
        <v>#REF!</v>
      </c>
    </row>
    <row r="201" ht="21" customHeight="1" spans="9:167" x14ac:dyDescent="0.25">
      <c r="I201" s="195" t="s">
        <v>666</v>
      </c>
      <c r="J201" s="217" t="s">
        <v>669</v>
      </c>
      <c r="K201" s="121" t="s">
        <v>670</v>
      </c>
      <c r="L201" s="121"/>
      <c r="M201" s="121"/>
      <c r="N201" s="121"/>
      <c r="O201" s="218" t="s">
        <v>283</v>
      </c>
      <c r="P201" s="456"/>
      <c r="U201" s="277"/>
      <c r="W201" s="276"/>
      <c r="X201" s="276"/>
      <c r="Y201" s="276"/>
      <c r="Z201" s="290">
        <v>1029</v>
      </c>
      <c r="AA201" s="276">
        <v>1322</v>
      </c>
      <c r="AB201" s="276">
        <v>2054</v>
      </c>
      <c r="AC201" s="276">
        <v>2359</v>
      </c>
      <c r="AD201" s="276">
        <v>2699</v>
      </c>
      <c r="AE201" s="320">
        <v>3514</v>
      </c>
      <c r="AF201" s="490">
        <v>4285</v>
      </c>
      <c r="AG201" s="490">
        <v>5987</v>
      </c>
      <c r="AH201" s="490">
        <v>7571</v>
      </c>
      <c r="AI201" s="490">
        <v>9660</v>
      </c>
      <c r="AJ201" s="443">
        <v>8323</v>
      </c>
      <c r="AK201" s="490">
        <v>10925.6</v>
      </c>
      <c r="AL201" s="276">
        <v>12871.1</v>
      </c>
      <c r="AM201" s="276"/>
      <c r="AN201" s="276"/>
      <c r="AO201" s="465"/>
      <c r="AT201" s="226"/>
      <c r="BO201" s="281" t="str">
        <f t="shared" si="131"/>
        <v>RHF</v>
      </c>
      <c r="CS201" s="485">
        <v>2012</v>
      </c>
      <c r="CT201" s="55">
        <f t="shared" si="136"/>
        <v>612.7549779946302</v>
      </c>
      <c r="CU201" s="57">
        <v>2.2951859656544467</v>
      </c>
      <c r="CV201" s="55">
        <v>12586.090400000001</v>
      </c>
      <c r="CW201" s="57"/>
      <c r="CX201" s="46">
        <f t="shared" si="139"/>
        <v>0.11597748063113564</v>
      </c>
      <c r="CY201" s="486">
        <f t="shared" si="140"/>
        <v>463.90992252454254</v>
      </c>
      <c r="CZ201" s="333">
        <v>5283.396178810667</v>
      </c>
      <c r="DP201" s="62">
        <v>2012</v>
      </c>
      <c r="DQ201" s="216">
        <v>20.540168341333807</v>
      </c>
      <c r="DR201" s="57">
        <f>НАСТРОЙКА!DR153</f>
        <v>14.321664095910151</v>
      </c>
      <c r="DS201" s="216">
        <f t="shared" si="157"/>
        <v>20.540168341333807</v>
      </c>
      <c r="DT201" s="75"/>
      <c r="EJ201" s="62">
        <v>2014</v>
      </c>
      <c r="EK201" s="478">
        <f t="shared" si="132"/>
        <v>608.3921625513084</v>
      </c>
      <c r="EL201" s="49"/>
      <c r="EM201" s="64"/>
      <c r="FE201" s="475">
        <f t="shared" si="134"/>
        <v>608.3921625513084</v>
      </c>
      <c r="FG201" s="481">
        <v>2012</v>
      </c>
      <c r="FH201" s="487">
        <f t="shared" si="137"/>
        <v>2.2951859656544467</v>
      </c>
      <c r="FI201" s="54" t="e">
        <f>#REF!</f>
        <v>#REF!</v>
      </c>
      <c r="FJ201" s="326"/>
      <c r="FK201" s="75" t="e">
        <f t="shared" si="142"/>
        <v>#REF!</v>
      </c>
    </row>
    <row r="202" ht="21" customHeight="1" spans="9:167" x14ac:dyDescent="0.25">
      <c r="I202" s="195" t="s">
        <v>666</v>
      </c>
      <c r="J202" s="217" t="s">
        <v>671</v>
      </c>
      <c r="K202" s="121" t="s">
        <v>672</v>
      </c>
      <c r="L202" s="121"/>
      <c r="M202" s="121"/>
      <c r="N202" s="121"/>
      <c r="O202" s="218" t="s">
        <v>283</v>
      </c>
      <c r="P202" s="456"/>
      <c r="U202" s="277"/>
      <c r="W202" s="276"/>
      <c r="X202" s="276"/>
      <c r="Y202" s="276"/>
      <c r="Z202" s="290">
        <f>Z200-Z201</f>
        <v>103</v>
      </c>
      <c r="AA202" s="276">
        <f>AA200-AA201</f>
        <v>272</v>
      </c>
      <c r="AB202" s="276">
        <f t="shared" ref="AB202:AJ202" si="160">AB200-AB201</f>
        <v>151</v>
      </c>
      <c r="AC202" s="276">
        <f t="shared" si="160"/>
        <v>227</v>
      </c>
      <c r="AD202" s="276">
        <f t="shared" si="160"/>
        <v>730</v>
      </c>
      <c r="AE202" s="320">
        <f t="shared" si="160"/>
        <v>1613</v>
      </c>
      <c r="AF202" s="490">
        <f t="shared" si="160"/>
        <v>1994</v>
      </c>
      <c r="AG202" s="490">
        <f t="shared" si="160"/>
        <v>1794</v>
      </c>
      <c r="AH202" s="490">
        <f t="shared" si="160"/>
        <v>1704</v>
      </c>
      <c r="AI202" s="490">
        <f t="shared" si="160"/>
        <v>-2323</v>
      </c>
      <c r="AJ202" s="443">
        <f t="shared" si="160"/>
        <v>-891</v>
      </c>
      <c r="AK202" s="276"/>
      <c r="AL202" s="276"/>
      <c r="AM202" s="276"/>
      <c r="AN202" s="276"/>
      <c r="AO202" s="465"/>
      <c r="AT202" s="226"/>
      <c r="BO202" s="281" t="str">
        <f t="shared" si="131"/>
        <v>DF</v>
      </c>
      <c r="CS202" s="485">
        <v>2013</v>
      </c>
      <c r="CT202" s="55">
        <f t="shared" si="136"/>
        <v>617.6570178185872</v>
      </c>
      <c r="CU202" s="57">
        <v>2.313547453379682</v>
      </c>
      <c r="CV202" s="55">
        <v>13450.2382</v>
      </c>
      <c r="CW202" s="57"/>
      <c r="CX202" s="46">
        <f t="shared" si="139"/>
        <v>0.1145007840119341</v>
      </c>
      <c r="CY202" s="486">
        <f t="shared" si="140"/>
        <v>458.0031360477364</v>
      </c>
      <c r="CZ202" s="333">
        <v>5394.347498565691</v>
      </c>
      <c r="DP202" s="62">
        <v>2013</v>
      </c>
      <c r="DQ202" s="216">
        <v>21.77622501158156</v>
      </c>
      <c r="DR202" s="57">
        <f>НАСТРОЙКА!DR154</f>
        <v>15.245411430096356</v>
      </c>
      <c r="DS202" s="216">
        <f t="shared" si="157"/>
        <v>21.77622501158156</v>
      </c>
      <c r="DT202" s="75"/>
      <c r="EJ202" s="62">
        <v>2015</v>
      </c>
      <c r="EK202" s="478">
        <f t="shared" si="132"/>
        <v>546.9445541336263</v>
      </c>
      <c r="EL202" s="49"/>
      <c r="EM202" s="64"/>
      <c r="FE202" s="475">
        <f t="shared" si="134"/>
        <v>546.9445541336263</v>
      </c>
      <c r="FG202" s="481">
        <v>2013</v>
      </c>
      <c r="FH202" s="487">
        <f t="shared" si="137"/>
        <v>2.313547453379682</v>
      </c>
      <c r="FI202" s="54" t="e">
        <f>#REF!</f>
        <v>#REF!</v>
      </c>
      <c r="FJ202" s="326"/>
      <c r="FK202" s="75" t="e">
        <f t="shared" si="142"/>
        <v>#REF!</v>
      </c>
    </row>
    <row r="203" ht="21" customHeight="1" spans="9:167" x14ac:dyDescent="0.25">
      <c r="I203" s="195" t="s">
        <v>666</v>
      </c>
      <c r="J203" s="217" t="s">
        <v>673</v>
      </c>
      <c r="K203" s="187" t="s">
        <v>674</v>
      </c>
      <c r="O203" s="218" t="s">
        <v>283</v>
      </c>
      <c r="P203" s="493"/>
      <c r="U203" s="277"/>
      <c r="W203" s="276"/>
      <c r="X203" s="276"/>
      <c r="Y203" s="276"/>
      <c r="Z203" s="290"/>
      <c r="AA203" s="276"/>
      <c r="AB203" s="276"/>
      <c r="AC203" s="276"/>
      <c r="AD203" s="276"/>
      <c r="AE203" s="320"/>
      <c r="AF203" s="457"/>
      <c r="AG203" s="457"/>
      <c r="AH203" s="457"/>
      <c r="AI203" s="457"/>
      <c r="AJ203" s="443"/>
      <c r="AK203" s="276"/>
      <c r="AL203" s="276"/>
      <c r="AM203" s="276"/>
      <c r="AN203" s="276"/>
      <c r="AO203" s="465"/>
      <c r="AT203" s="226"/>
      <c r="BO203" s="281" t="str">
        <f t="shared" si="131"/>
        <v>NLF</v>
      </c>
      <c r="CS203" s="485">
        <v>2014</v>
      </c>
      <c r="CT203" s="55">
        <f t="shared" si="136"/>
        <v>608.3921625513084</v>
      </c>
      <c r="CU203" s="57">
        <v>2.278844241578987</v>
      </c>
      <c r="CV203" s="55">
        <v>13902.6453</v>
      </c>
      <c r="CW203" s="57"/>
      <c r="CX203" s="46">
        <f t="shared" si="139"/>
        <v>0.1118881669164237</v>
      </c>
      <c r="CY203" s="486">
        <f t="shared" si="140"/>
        <v>447.5526676656948</v>
      </c>
      <c r="CZ203" s="333">
        <v>5437.502278554217</v>
      </c>
      <c r="DP203" s="62">
        <v>2014</v>
      </c>
      <c r="DQ203" s="216">
        <v>22.851453644141124</v>
      </c>
      <c r="DR203" s="57">
        <f>НАСТРОЙКА!DR155</f>
        <v>17.31878738458946</v>
      </c>
      <c r="DS203" s="216"/>
      <c r="DT203" s="75"/>
      <c r="EJ203" s="62">
        <v>2016</v>
      </c>
      <c r="EK203" s="478">
        <f t="shared" si="132"/>
        <v>545.8506650253591</v>
      </c>
      <c r="EL203" s="49"/>
      <c r="EM203" s="64"/>
      <c r="FE203" s="475">
        <f t="shared" si="134"/>
        <v>545.8506650253591</v>
      </c>
      <c r="FG203" s="481">
        <v>2014</v>
      </c>
      <c r="FH203" s="487">
        <f t="shared" si="137"/>
        <v>2.278844241578987</v>
      </c>
      <c r="FI203" s="54" t="e">
        <f>#REF!</f>
        <v>#REF!</v>
      </c>
      <c r="FJ203" s="326"/>
      <c r="FK203" s="75" t="e">
        <f t="shared" si="142"/>
        <v>#REF!</v>
      </c>
    </row>
    <row r="204" ht="21" customHeight="1" spans="9:167" x14ac:dyDescent="0.25">
      <c r="I204" s="195" t="s">
        <v>292</v>
      </c>
      <c r="J204" s="217" t="s">
        <v>675</v>
      </c>
      <c r="K204" s="121" t="s">
        <v>676</v>
      </c>
      <c r="O204" s="218" t="s">
        <v>299</v>
      </c>
      <c r="P204" s="493"/>
      <c r="U204" s="320">
        <f t="shared" ref="U204:AR204" si="161">U101/U56</f>
        <v>0.42181907785329675</v>
      </c>
      <c r="V204" s="320">
        <f t="shared" si="161"/>
        <v>0.35484349212508615</v>
      </c>
      <c r="W204" s="320">
        <f t="shared" si="161"/>
        <v>0.356128126233172</v>
      </c>
      <c r="X204" s="320">
        <f t="shared" si="161"/>
        <v>0.4321362490661735</v>
      </c>
      <c r="Y204" s="320">
        <f t="shared" si="161"/>
        <v>0.5361849897566976</v>
      </c>
      <c r="Z204" s="320">
        <f t="shared" si="161"/>
        <v>0.5131456875691827</v>
      </c>
      <c r="AA204" s="320">
        <f t="shared" si="161"/>
        <v>0.4571921481692257</v>
      </c>
      <c r="AB204" s="320">
        <f t="shared" si="161"/>
        <v>0.41546059298535676</v>
      </c>
      <c r="AC204" s="320">
        <f t="shared" si="161"/>
        <v>0.4174192664022</v>
      </c>
      <c r="AD204" s="320">
        <f t="shared" si="161"/>
        <v>0.4310255563210998</v>
      </c>
      <c r="AE204" s="320">
        <f t="shared" si="161"/>
        <v>0.42626420556970845</v>
      </c>
      <c r="AF204" s="320">
        <f t="shared" si="161"/>
        <v>0.41058116012085905</v>
      </c>
      <c r="AG204" s="320">
        <f t="shared" si="161"/>
        <v>0.38906701438423436</v>
      </c>
      <c r="AH204" s="320">
        <f t="shared" si="161"/>
        <v>0.3706503466397761</v>
      </c>
      <c r="AI204" s="320">
        <f t="shared" si="161"/>
        <v>0.34770432797617995</v>
      </c>
      <c r="AJ204" s="494">
        <f t="shared" si="161"/>
        <v>0.35925034708819953</v>
      </c>
      <c r="AK204" s="320">
        <f t="shared" si="161"/>
        <v>0.5145414512373522</v>
      </c>
      <c r="AL204" s="320">
        <f t="shared" si="161"/>
        <v>0.52003964001786</v>
      </c>
      <c r="AM204" s="320">
        <f t="shared" si="161"/>
        <v>0.49378163820302096</v>
      </c>
      <c r="AN204" s="320">
        <f t="shared" si="161"/>
        <v>0.47791037555498334</v>
      </c>
      <c r="AO204" s="494">
        <f t="shared" si="161"/>
        <v>0.47775705992118184</v>
      </c>
      <c r="AP204" s="270">
        <f t="shared" si="161"/>
        <v>0.4628098470252643</v>
      </c>
      <c r="AQ204" s="270">
        <f t="shared" si="161"/>
        <v>0.45965792071291767</v>
      </c>
      <c r="AR204" s="270">
        <f t="shared" si="161"/>
        <v>0.4680721455938284</v>
      </c>
      <c r="AT204" s="226"/>
      <c r="BO204" s="281" t="str">
        <f t="shared" si="131"/>
        <v>REN</v>
      </c>
      <c r="CS204" s="485">
        <v>2015</v>
      </c>
      <c r="CT204" s="55">
        <f t="shared" si="136"/>
        <v>546.9445541336263</v>
      </c>
      <c r="CU204" s="57">
        <v>2.0486809731795095</v>
      </c>
      <c r="CV204" s="55">
        <v>13897.2</v>
      </c>
      <c r="CW204" s="55">
        <f>CT204</f>
        <v>546.9445541336263</v>
      </c>
      <c r="CX204" s="46">
        <f t="shared" si="139"/>
        <v>0.10191232224707693</v>
      </c>
      <c r="CY204" s="486">
        <f t="shared" si="140"/>
        <v>407.6492889883077</v>
      </c>
      <c r="CZ204" s="333">
        <v>5366.814748933011</v>
      </c>
      <c r="DP204" s="62">
        <v>2015</v>
      </c>
      <c r="DQ204" s="216">
        <v>25.408791247612854</v>
      </c>
      <c r="DR204" s="57">
        <f>НАСТРОЙКА!DR156</f>
        <v>19.5529109572015</v>
      </c>
      <c r="DS204" s="216"/>
      <c r="DT204" s="75">
        <f>DQ204</f>
        <v>25.408791247612854</v>
      </c>
      <c r="EJ204" s="62">
        <v>2017</v>
      </c>
      <c r="EK204" s="478">
        <f t="shared" si="132"/>
        <v>572.0514969465764</v>
      </c>
      <c r="EL204" s="49"/>
      <c r="EM204" s="64"/>
      <c r="FE204" s="475">
        <f t="shared" si="134"/>
        <v>572.0514969465764</v>
      </c>
      <c r="FG204" s="481">
        <v>2015</v>
      </c>
      <c r="FH204" s="487">
        <f t="shared" si="137"/>
        <v>2.0486809731795095</v>
      </c>
      <c r="FI204" s="54" t="e">
        <f>#REF!</f>
        <v>#REF!</v>
      </c>
      <c r="FJ204" s="326"/>
      <c r="FK204" s="75" t="e">
        <f t="shared" si="142"/>
        <v>#REF!</v>
      </c>
    </row>
    <row r="205" ht="21" customHeight="1" spans="6:167" x14ac:dyDescent="0.25">
      <c r="F205" s="495" t="s">
        <v>677</v>
      </c>
      <c r="G205" s="495"/>
      <c r="H205" s="495"/>
      <c r="I205" s="195" t="s">
        <v>292</v>
      </c>
      <c r="J205" s="217" t="s">
        <v>678</v>
      </c>
      <c r="K205" s="121" t="s">
        <v>679</v>
      </c>
      <c r="L205" s="121"/>
      <c r="M205" s="121"/>
      <c r="N205" s="121"/>
      <c r="O205" s="218" t="s">
        <v>299</v>
      </c>
      <c r="P205" s="456"/>
      <c r="U205" s="277"/>
      <c r="W205" s="276"/>
      <c r="X205" s="276"/>
      <c r="Y205" s="171"/>
      <c r="Z205" s="289">
        <f t="shared" ref="Z205:AI205" si="162">Z200/Z65</f>
        <v>0.15494863931688127</v>
      </c>
      <c r="AA205" s="361">
        <f t="shared" si="162"/>
        <v>0.17822835336702764</v>
      </c>
      <c r="AB205" s="361">
        <f t="shared" si="162"/>
        <v>0.20380411612775176</v>
      </c>
      <c r="AC205" s="361">
        <f t="shared" si="162"/>
        <v>0.19578696434037987</v>
      </c>
      <c r="AD205" s="361">
        <f t="shared" si="162"/>
        <v>0.20138377611071476</v>
      </c>
      <c r="AE205" s="320">
        <f t="shared" si="162"/>
        <v>0.23725384710907665</v>
      </c>
      <c r="AF205" s="457">
        <f t="shared" si="162"/>
        <v>0.23327090757659522</v>
      </c>
      <c r="AG205" s="457">
        <f t="shared" si="162"/>
        <v>0.23403254111648866</v>
      </c>
      <c r="AH205" s="457">
        <f t="shared" si="162"/>
        <v>0.2247022284830791</v>
      </c>
      <c r="AI205" s="457">
        <f t="shared" si="162"/>
        <v>0.1890627617505908</v>
      </c>
      <c r="AJ205" s="299"/>
      <c r="AK205" s="171"/>
      <c r="AL205" s="276"/>
      <c r="AM205" s="276"/>
      <c r="AN205" s="276"/>
      <c r="AO205" s="465"/>
      <c r="AT205" s="226"/>
      <c r="BO205" s="281" t="str">
        <f t="shared" si="131"/>
        <v>qDHF</v>
      </c>
      <c r="CS205" s="485">
        <v>2016</v>
      </c>
      <c r="CT205" s="55">
        <f t="shared" si="136"/>
        <v>545.8506650253591</v>
      </c>
      <c r="CU205" s="57">
        <v>2.0445836112331506</v>
      </c>
      <c r="CV205" s="55">
        <v>14748.8</v>
      </c>
      <c r="CW205" s="55">
        <f t="shared" ref="CW205:CW207" si="163">CT205</f>
        <v>545.8506650253591</v>
      </c>
      <c r="CX205" s="46">
        <f t="shared" si="139"/>
        <v>0.1005024679867419</v>
      </c>
      <c r="CY205" s="486">
        <f t="shared" si="140"/>
        <v>402.00987194696756</v>
      </c>
      <c r="CZ205" s="333">
        <v>5431.2165259202075</v>
      </c>
      <c r="DP205" s="62">
        <v>2016</v>
      </c>
      <c r="DQ205" s="216">
        <v>27.019844336572895</v>
      </c>
      <c r="DR205" s="57">
        <f>НАСТРОЙКА!DR157</f>
        <v>20.60681285779466</v>
      </c>
      <c r="DS205" s="216"/>
      <c r="DT205" s="75">
        <f t="shared" ref="DT205:DT207" si="164">DQ205</f>
        <v>27.019844336572895</v>
      </c>
      <c r="EJ205" s="62">
        <v>2018</v>
      </c>
      <c r="EK205" s="478">
        <f t="shared" si="132"/>
        <v>596.6497113152792</v>
      </c>
      <c r="EL205" s="49">
        <f>EK205</f>
        <v>596.6497113152792</v>
      </c>
      <c r="EM205" s="64"/>
      <c r="FE205" s="475">
        <f t="shared" si="134"/>
        <v>596.6497113152792</v>
      </c>
      <c r="FG205" s="481">
        <v>2016</v>
      </c>
      <c r="FH205" s="487">
        <f t="shared" si="137"/>
        <v>2.0445836112331506</v>
      </c>
      <c r="FI205" s="54" t="e">
        <f>#REF!</f>
        <v>#REF!</v>
      </c>
      <c r="FJ205" s="326"/>
      <c r="FK205" s="75" t="e">
        <f t="shared" si="142"/>
        <v>#REF!</v>
      </c>
    </row>
    <row r="206" ht="21" customHeight="1" spans="9:167" x14ac:dyDescent="0.25">
      <c r="I206" s="195" t="s">
        <v>292</v>
      </c>
      <c r="J206" s="217" t="s">
        <v>680</v>
      </c>
      <c r="K206" s="121" t="s">
        <v>681</v>
      </c>
      <c r="L206" s="121"/>
      <c r="M206" s="121"/>
      <c r="N206" s="121"/>
      <c r="O206" s="218" t="s">
        <v>299</v>
      </c>
      <c r="P206" s="456"/>
      <c r="U206" s="277"/>
      <c r="W206" s="276"/>
      <c r="X206" s="276"/>
      <c r="Y206" s="276"/>
      <c r="Z206" s="289">
        <f t="shared" ref="Z206:AI206" si="165">Z201/Z65</f>
        <v>0.14084995570412617</v>
      </c>
      <c r="AA206" s="361">
        <f t="shared" si="165"/>
        <v>0.14781548503840058</v>
      </c>
      <c r="AB206" s="361">
        <f t="shared" si="165"/>
        <v>0.18984746237025038</v>
      </c>
      <c r="AC206" s="361">
        <f t="shared" si="165"/>
        <v>0.1786007149570596</v>
      </c>
      <c r="AD206" s="361">
        <f t="shared" si="165"/>
        <v>0.15851117285588193</v>
      </c>
      <c r="AE206" s="320">
        <f t="shared" si="165"/>
        <v>0.16261166739639077</v>
      </c>
      <c r="AF206" s="457">
        <f t="shared" si="165"/>
        <v>0.159191883893249</v>
      </c>
      <c r="AG206" s="457">
        <f t="shared" si="165"/>
        <v>0.18007361825786117</v>
      </c>
      <c r="AH206" s="457">
        <f t="shared" si="165"/>
        <v>0.1834200077461339</v>
      </c>
      <c r="AI206" s="457">
        <f t="shared" si="165"/>
        <v>0.24892275841770575</v>
      </c>
      <c r="AJ206" s="299"/>
      <c r="AK206" s="276"/>
      <c r="AL206" s="276"/>
      <c r="AM206" s="276"/>
      <c r="AN206" s="276"/>
      <c r="AO206" s="465"/>
      <c r="AT206" s="226"/>
      <c r="BO206" s="281" t="str">
        <f t="shared" si="131"/>
        <v>qRHF</v>
      </c>
      <c r="CS206" s="485">
        <v>2017</v>
      </c>
      <c r="CT206" s="55">
        <f t="shared" si="136"/>
        <v>572.0514969465764</v>
      </c>
      <c r="CU206" s="57">
        <v>2.142723624572342</v>
      </c>
      <c r="CV206" s="55">
        <v>16027.3</v>
      </c>
      <c r="CW206" s="55">
        <f t="shared" si="163"/>
        <v>572.0514969465764</v>
      </c>
      <c r="CX206" s="46">
        <f t="shared" si="139"/>
        <v>0.1027576453171761</v>
      </c>
      <c r="CY206" s="486">
        <f t="shared" si="140"/>
        <v>411.0305812687044</v>
      </c>
      <c r="CZ206" s="333">
        <v>5566.996939068213</v>
      </c>
      <c r="DP206" s="62">
        <v>2017</v>
      </c>
      <c r="DQ206" s="216">
        <v>28.017232863734257</v>
      </c>
      <c r="DR206" s="57">
        <f>НАСТРОЙКА!DR158</f>
        <v>21.124043860525305</v>
      </c>
      <c r="DS206" s="216"/>
      <c r="DT206" s="75">
        <f t="shared" si="164"/>
        <v>28.017232863734257</v>
      </c>
      <c r="EJ206" s="62">
        <v>2019</v>
      </c>
      <c r="EK206" s="478"/>
      <c r="EL206" s="49">
        <f t="array" ref="EL206:EL222">TRANSPOSE(СЧЁТ!AM99:BC99)</f>
        <v>628.005416698003</v>
      </c>
      <c r="EM206" s="496"/>
      <c r="FE206" s="475">
        <f>EM206</f>
        <v>0</v>
      </c>
      <c r="FG206" s="481">
        <v>2017</v>
      </c>
      <c r="FH206" s="487">
        <f t="shared" si="137"/>
        <v>2.142723624572342</v>
      </c>
      <c r="FI206" s="54" t="e">
        <f>#REF!</f>
        <v>#REF!</v>
      </c>
      <c r="FJ206" s="326"/>
      <c r="FK206" s="75" t="e">
        <f t="shared" si="142"/>
        <v>#REF!</v>
      </c>
    </row>
    <row r="207" ht="21" customHeight="1" spans="9:167" x14ac:dyDescent="0.25">
      <c r="I207" s="195" t="s">
        <v>292</v>
      </c>
      <c r="J207" s="217" t="s">
        <v>682</v>
      </c>
      <c r="K207" s="121" t="s">
        <v>683</v>
      </c>
      <c r="L207" s="121"/>
      <c r="M207" s="121"/>
      <c r="N207" s="121"/>
      <c r="O207" s="218" t="s">
        <v>299</v>
      </c>
      <c r="P207" s="456"/>
      <c r="U207" s="277"/>
      <c r="W207" s="276"/>
      <c r="X207" s="276"/>
      <c r="Y207" s="276"/>
      <c r="Z207" s="289">
        <f>Z205-Z206</f>
        <v>0.014098683612755097</v>
      </c>
      <c r="AA207" s="270">
        <f>AA205-AA206</f>
        <v>0.030412868328627052</v>
      </c>
      <c r="AB207" s="270">
        <f t="shared" ref="AB207:AI207" si="166">AB205-AB206</f>
        <v>0.01395665375750138</v>
      </c>
      <c r="AC207" s="270">
        <f t="shared" si="166"/>
        <v>0.01718624938332028</v>
      </c>
      <c r="AD207" s="270">
        <f t="shared" si="166"/>
        <v>0.04287260325483283</v>
      </c>
      <c r="AE207" s="320">
        <f t="shared" si="166"/>
        <v>0.07464217971268589</v>
      </c>
      <c r="AF207" s="457">
        <f t="shared" si="166"/>
        <v>0.0740790236833462</v>
      </c>
      <c r="AG207" s="457">
        <f t="shared" si="166"/>
        <v>0.053958922858627495</v>
      </c>
      <c r="AH207" s="457">
        <f t="shared" si="166"/>
        <v>0.04128222073694521</v>
      </c>
      <c r="AI207" s="457">
        <f t="shared" si="166"/>
        <v>-0.059859996667114945</v>
      </c>
      <c r="AJ207" s="299"/>
      <c r="AK207" s="276"/>
      <c r="AL207" s="276"/>
      <c r="AM207" s="276"/>
      <c r="AN207" s="276"/>
      <c r="AO207" s="465"/>
      <c r="AT207" s="226"/>
      <c r="BO207" s="281" t="str">
        <f t="shared" si="131"/>
        <v>qDEF</v>
      </c>
      <c r="CS207" s="485">
        <v>2018</v>
      </c>
      <c r="CT207" s="55">
        <f t="shared" si="136"/>
        <v>596.6497113152792</v>
      </c>
      <c r="CU207" s="57">
        <v>2.2348607404289527</v>
      </c>
      <c r="CV207" s="55">
        <v>17595</v>
      </c>
      <c r="CW207" s="55">
        <f t="shared" si="163"/>
        <v>596.6497113152792</v>
      </c>
      <c r="CX207" s="46">
        <f t="shared" si="139"/>
        <v>0.10456216982030701</v>
      </c>
      <c r="CY207" s="486">
        <f t="shared" si="140"/>
        <v>418.2486792812281</v>
      </c>
      <c r="CZ207" s="333">
        <v>5706.1718625449175</v>
      </c>
      <c r="DP207" s="62">
        <v>2018</v>
      </c>
      <c r="DQ207" s="216">
        <v>29.48966481725577</v>
      </c>
      <c r="DR207" s="57">
        <f>НАСТРОЙКА!DR159</f>
        <v>22.02392812898368</v>
      </c>
      <c r="DS207" s="216"/>
      <c r="DT207" s="75">
        <f t="shared" si="164"/>
        <v>29.48966481725577</v>
      </c>
      <c r="EJ207" s="62">
        <v>2020</v>
      </c>
      <c r="EK207" s="497"/>
      <c r="EL207" s="49">
        <v>653.3363293823904</v>
      </c>
      <c r="EM207" s="64"/>
      <c r="FE207" s="475">
        <f t="shared" ref="FE207:FE222" si="167">EM207</f>
        <v>0</v>
      </c>
      <c r="FG207" s="481">
        <v>2018</v>
      </c>
      <c r="FH207" s="487">
        <f t="shared" si="137"/>
        <v>2.2348607404289527</v>
      </c>
      <c r="FI207" s="54" t="e">
        <f>#REF!</f>
        <v>#REF!</v>
      </c>
      <c r="FJ207" s="326"/>
      <c r="FK207" s="75" t="e">
        <f t="shared" si="142"/>
        <v>#REF!</v>
      </c>
    </row>
    <row r="208" ht="21" customHeight="1" spans="9:167" x14ac:dyDescent="0.25">
      <c r="I208" s="195" t="s">
        <v>292</v>
      </c>
      <c r="J208" s="217" t="s">
        <v>684</v>
      </c>
      <c r="K208" s="187" t="s">
        <v>685</v>
      </c>
      <c r="L208" s="187"/>
      <c r="M208" s="187"/>
      <c r="N208" s="187"/>
      <c r="O208" s="218" t="s">
        <v>299</v>
      </c>
      <c r="P208" s="493"/>
      <c r="W208" s="276"/>
      <c r="X208" s="276"/>
      <c r="Y208" s="276"/>
      <c r="Z208" s="290">
        <v>0.132</v>
      </c>
      <c r="AA208" s="276">
        <v>0.163</v>
      </c>
      <c r="AB208" s="276">
        <v>0.188</v>
      </c>
      <c r="AC208" s="276">
        <v>0.181</v>
      </c>
      <c r="AD208" s="276">
        <v>0.188</v>
      </c>
      <c r="AE208" s="320">
        <v>0.145</v>
      </c>
      <c r="AF208" s="276"/>
      <c r="AG208" s="276"/>
      <c r="AH208" s="276"/>
      <c r="AI208" s="276"/>
      <c r="AJ208" s="299"/>
      <c r="AK208" s="276"/>
      <c r="AL208" s="276"/>
      <c r="AM208" s="276"/>
      <c r="AN208" s="276"/>
      <c r="AO208" s="465"/>
      <c r="AT208" s="226"/>
      <c r="BO208" s="281" t="str">
        <f t="shared" si="131"/>
        <v>qNLF</v>
      </c>
      <c r="BP208" s="187"/>
      <c r="CS208" s="485">
        <v>2019</v>
      </c>
      <c r="CT208" s="440"/>
      <c r="CU208" s="440"/>
      <c r="CV208" s="440"/>
      <c r="CW208" s="440"/>
      <c r="CX208" s="46">
        <f>0.002+CX207</f>
        <v>0.10656216982030702</v>
      </c>
      <c r="CY208" s="486">
        <f t="shared" si="140"/>
        <v>426.2486792812281</v>
      </c>
      <c r="CZ208" s="498"/>
      <c r="DP208" s="62">
        <v>2019</v>
      </c>
      <c r="DQ208" s="266"/>
      <c r="DR208" s="57">
        <f>НАСТРОЙКА!DR160</f>
        <v>22.693455544104783</v>
      </c>
      <c r="DS208" s="216"/>
      <c r="DT208" s="75"/>
      <c r="EJ208" s="62">
        <v>2021</v>
      </c>
      <c r="EK208" s="497"/>
      <c r="EL208" s="49">
        <v>696.7576153240384</v>
      </c>
      <c r="EM208" s="64"/>
      <c r="FE208" s="475">
        <f t="shared" si="167"/>
        <v>0</v>
      </c>
      <c r="FG208" s="481">
        <v>2019</v>
      </c>
      <c r="FH208" s="487"/>
      <c r="FI208" s="54"/>
      <c r="FJ208" s="326"/>
      <c r="FK208" s="75"/>
    </row>
    <row r="209" ht="21" customHeight="1" spans="9:167" x14ac:dyDescent="0.25">
      <c r="I209" s="195" t="s">
        <v>292</v>
      </c>
      <c r="J209" s="217" t="s">
        <v>448</v>
      </c>
      <c r="K209" s="187" t="s">
        <v>376</v>
      </c>
      <c r="L209" s="187"/>
      <c r="M209" s="187"/>
      <c r="N209" s="187"/>
      <c r="O209" s="218" t="s">
        <v>299</v>
      </c>
      <c r="P209" s="493"/>
      <c r="U209" s="355">
        <f t="shared" ref="U209:AR209" si="168">U88/U65</f>
        <v>0.4535250411807065</v>
      </c>
      <c r="V209" s="283">
        <f t="shared" si="168"/>
        <v>0.5093272063723474</v>
      </c>
      <c r="W209" s="283">
        <f t="shared" si="168"/>
        <v>0.5135082027481848</v>
      </c>
      <c r="X209" s="283">
        <f t="shared" si="168"/>
        <v>0.4803148770875094</v>
      </c>
      <c r="Y209" s="283">
        <f t="shared" si="168"/>
        <v>0.4008941803328634</v>
      </c>
      <c r="Z209" s="283">
        <f t="shared" si="168"/>
        <v>0.40204928609604523</v>
      </c>
      <c r="AA209" s="283">
        <f t="shared" si="168"/>
        <v>0.4302973620437071</v>
      </c>
      <c r="AB209" s="283">
        <f t="shared" si="168"/>
        <v>0.4681579268021204</v>
      </c>
      <c r="AC209" s="283">
        <f t="shared" si="168"/>
        <v>0.4717804889250219</v>
      </c>
      <c r="AD209" s="457">
        <f t="shared" si="168"/>
        <v>0.460735834000663</v>
      </c>
      <c r="AE209" s="457">
        <f t="shared" si="168"/>
        <v>0.4368315334102075</v>
      </c>
      <c r="AF209" s="457">
        <f t="shared" si="168"/>
        <v>0.4452879339826168</v>
      </c>
      <c r="AG209" s="457">
        <f t="shared" si="168"/>
        <v>0.4669856030014299</v>
      </c>
      <c r="AH209" s="457">
        <f t="shared" si="168"/>
        <v>0.47386756448454886</v>
      </c>
      <c r="AI209" s="457">
        <f t="shared" si="168"/>
        <v>0.5259745615886571</v>
      </c>
      <c r="AJ209" s="455">
        <f t="shared" si="168"/>
        <v>0.49657427125592235</v>
      </c>
      <c r="AK209" s="457">
        <f t="shared" si="168"/>
        <v>0.4377167124164529</v>
      </c>
      <c r="AL209" s="457">
        <f t="shared" si="168"/>
        <v>0.4430669164738357</v>
      </c>
      <c r="AM209" s="457">
        <f t="shared" si="168"/>
        <v>0.46206047351633545</v>
      </c>
      <c r="AN209" s="457">
        <f t="shared" si="168"/>
        <v>0.47345281619378465</v>
      </c>
      <c r="AO209" s="455">
        <f t="shared" si="168"/>
        <v>0.4542488473938645</v>
      </c>
      <c r="AP209" s="457">
        <f t="shared" si="168"/>
        <v>0.4795180330689584</v>
      </c>
      <c r="AQ209" s="457">
        <f t="shared" si="168"/>
        <v>0.47647862669533364</v>
      </c>
      <c r="AR209" s="457">
        <f t="shared" si="168"/>
        <v>0.4644428249890735</v>
      </c>
      <c r="AT209" s="226"/>
      <c r="BO209" s="281" t="str">
        <f t="shared" si="131"/>
        <v>sOT</v>
      </c>
      <c r="CS209" s="485">
        <v>2020</v>
      </c>
      <c r="CT209" s="440"/>
      <c r="CU209" s="440"/>
      <c r="CV209" s="440"/>
      <c r="CW209" s="440"/>
      <c r="CX209" s="46">
        <f t="shared" ref="CX209:CX224" si="169">0.002+CX208</f>
        <v>0.10856216982030702</v>
      </c>
      <c r="CY209" s="486">
        <f t="shared" si="140"/>
        <v>434.2486792812281</v>
      </c>
      <c r="CZ209" s="499"/>
      <c r="DP209" s="62">
        <v>2020</v>
      </c>
      <c r="DQ209" s="266"/>
      <c r="DR209" s="57">
        <f>НАСТРОЙКА!DR161</f>
        <v>23.807704211320324</v>
      </c>
      <c r="DS209" s="216"/>
      <c r="DT209" s="75"/>
      <c r="EJ209" s="62">
        <v>2022</v>
      </c>
      <c r="EK209" s="497"/>
      <c r="EL209" s="49">
        <v>731.8564994344829</v>
      </c>
      <c r="EM209" s="64"/>
      <c r="FE209" s="475">
        <f t="shared" si="167"/>
        <v>0</v>
      </c>
      <c r="FG209" s="481">
        <v>2020</v>
      </c>
      <c r="FH209" s="439"/>
      <c r="FI209" s="57"/>
      <c r="FJ209" s="326"/>
      <c r="FK209" s="66"/>
    </row>
    <row r="210" ht="21.5" customHeight="1" spans="8:167" x14ac:dyDescent="0.25">
      <c r="H210" s="187"/>
      <c r="J210" s="500" t="s">
        <v>347</v>
      </c>
      <c r="K210" s="501" t="s">
        <v>686</v>
      </c>
      <c r="L210" s="501"/>
      <c r="M210" s="501"/>
      <c r="N210" s="502"/>
      <c r="O210" s="218" t="s">
        <v>283</v>
      </c>
      <c r="P210" s="456">
        <v>1.927</v>
      </c>
      <c r="Q210" s="220">
        <v>2.061</v>
      </c>
      <c r="R210" s="220">
        <v>43.215</v>
      </c>
      <c r="S210" s="220">
        <v>63.861</v>
      </c>
      <c r="T210" s="220">
        <v>1221.494</v>
      </c>
      <c r="U210" s="277">
        <v>5306.46</v>
      </c>
      <c r="V210" s="236">
        <v>13250.16</v>
      </c>
      <c r="W210" s="236">
        <v>13411.951</v>
      </c>
      <c r="X210" s="236">
        <v>14277.54</v>
      </c>
      <c r="Y210" s="236">
        <v>14334.783</v>
      </c>
      <c r="Z210" s="290">
        <v>17464.172</v>
      </c>
      <c r="AA210" s="236">
        <v>21495.236</v>
      </c>
      <c r="AB210" s="236">
        <v>26333.273</v>
      </c>
      <c r="AC210" s="236">
        <v>32173.286</v>
      </c>
      <c r="AD210" s="236">
        <v>34873.724</v>
      </c>
      <c r="AE210" s="320">
        <v>41493.568</v>
      </c>
      <c r="AF210" s="236">
        <v>47489.498</v>
      </c>
      <c r="AG210" s="236">
        <v>60391.454</v>
      </c>
      <c r="AH210" s="503">
        <v>74471.182</v>
      </c>
      <c r="AI210" s="236">
        <v>82302.969</v>
      </c>
      <c r="AJ210" s="503">
        <v>93186</v>
      </c>
      <c r="AK210" s="236">
        <f>AK82</f>
        <v>108001</v>
      </c>
      <c r="AL210" s="236">
        <f>AL82</f>
        <v>121269</v>
      </c>
      <c r="AM210" s="236">
        <f>AM82</f>
        <v>133522.8</v>
      </c>
      <c r="AN210" s="236">
        <f>AN82</f>
        <v>147430</v>
      </c>
      <c r="AO210" s="465">
        <v>160725</v>
      </c>
      <c r="AP210" s="236">
        <v>183404</v>
      </c>
      <c r="AQ210" s="236">
        <v>194649</v>
      </c>
      <c r="AR210" s="236">
        <v>206484</v>
      </c>
      <c r="AS210" s="236"/>
      <c r="AT210" s="226"/>
      <c r="BO210" s="504" t="str">
        <f t="shared" si="131"/>
        <v>F</v>
      </c>
      <c r="BP210" s="187"/>
      <c r="CS210" s="485">
        <v>2021</v>
      </c>
      <c r="CT210" s="440"/>
      <c r="CU210" s="440"/>
      <c r="CV210" s="440"/>
      <c r="CW210" s="440"/>
      <c r="CX210" s="46">
        <f t="shared" si="169"/>
        <v>0.11056216982030702</v>
      </c>
      <c r="CY210" s="486">
        <f t="shared" si="140"/>
        <v>442.2486792812281</v>
      </c>
      <c r="CZ210" s="499"/>
      <c r="DP210" s="62">
        <v>2021</v>
      </c>
      <c r="DQ210" s="266"/>
      <c r="DR210" s="57">
        <f>НАСТРОЙКА!DR162</f>
        <v>24.99808942188634</v>
      </c>
      <c r="DS210" s="216"/>
      <c r="DT210" s="75"/>
      <c r="EJ210" s="62">
        <v>2023</v>
      </c>
      <c r="EK210" s="497"/>
      <c r="EL210" s="49">
        <v>766.5018745286775</v>
      </c>
      <c r="EM210" s="64"/>
      <c r="FE210" s="475">
        <f t="shared" si="167"/>
        <v>0</v>
      </c>
      <c r="FG210" s="481">
        <v>2021</v>
      </c>
      <c r="FH210" s="439"/>
      <c r="FI210" s="57"/>
      <c r="FJ210" s="326"/>
      <c r="FK210" s="438"/>
    </row>
    <row r="211" ht="21.5" customHeight="1" spans="16:167" x14ac:dyDescent="0.25">
      <c r="P211" s="505">
        <v>1990</v>
      </c>
      <c r="Q211" s="184">
        <v>1991</v>
      </c>
      <c r="R211" s="184">
        <v>1992</v>
      </c>
      <c r="S211" s="184">
        <v>1993</v>
      </c>
      <c r="T211" s="184">
        <v>1994</v>
      </c>
      <c r="U211" s="506">
        <v>1995</v>
      </c>
      <c r="V211" s="184">
        <v>1996</v>
      </c>
      <c r="W211" s="422">
        <v>1997</v>
      </c>
      <c r="X211" s="422">
        <v>1998</v>
      </c>
      <c r="Y211" s="422">
        <v>1999</v>
      </c>
      <c r="Z211" s="507">
        <v>2000</v>
      </c>
      <c r="AA211" s="422">
        <v>2001</v>
      </c>
      <c r="AB211" s="422">
        <v>2002</v>
      </c>
      <c r="AC211" s="422">
        <v>2003</v>
      </c>
      <c r="AD211" s="508">
        <v>2004</v>
      </c>
      <c r="AE211" s="425">
        <v>2005</v>
      </c>
      <c r="AF211" s="426">
        <v>2006</v>
      </c>
      <c r="AG211" s="425">
        <v>2007</v>
      </c>
      <c r="AH211" s="509">
        <v>2008</v>
      </c>
      <c r="AI211" s="425">
        <v>2009</v>
      </c>
      <c r="AJ211" s="426">
        <v>2010</v>
      </c>
      <c r="AK211" s="510">
        <v>2011</v>
      </c>
      <c r="AL211" s="352">
        <v>2012</v>
      </c>
      <c r="AM211" s="352">
        <v>2013</v>
      </c>
      <c r="AN211" s="352">
        <v>2014</v>
      </c>
      <c r="AO211" s="210">
        <v>2015</v>
      </c>
      <c r="AP211" s="352">
        <v>2016</v>
      </c>
      <c r="AQ211" s="210">
        <v>2017</v>
      </c>
      <c r="AR211" s="352">
        <v>2018</v>
      </c>
      <c r="AS211" s="352">
        <v>2019</v>
      </c>
      <c r="AT211" s="210">
        <v>2020</v>
      </c>
      <c r="AU211" s="352">
        <v>2021</v>
      </c>
      <c r="AV211" s="210">
        <v>2022</v>
      </c>
      <c r="AW211" s="210">
        <v>2023</v>
      </c>
      <c r="AX211" s="352">
        <v>2024</v>
      </c>
      <c r="AY211" s="352">
        <v>2025</v>
      </c>
      <c r="AZ211" s="210">
        <v>2026</v>
      </c>
      <c r="BA211" s="352">
        <v>2027</v>
      </c>
      <c r="BB211" s="352">
        <v>2028</v>
      </c>
      <c r="BC211" s="210">
        <v>2029</v>
      </c>
      <c r="BD211" s="352">
        <v>2030</v>
      </c>
      <c r="BE211" s="352">
        <v>2031</v>
      </c>
      <c r="BF211" s="210">
        <v>2032</v>
      </c>
      <c r="BG211" s="352">
        <v>2033</v>
      </c>
      <c r="BH211" s="352">
        <v>2034</v>
      </c>
      <c r="BI211" s="210">
        <v>2035</v>
      </c>
      <c r="BJ211" s="352">
        <v>2036</v>
      </c>
      <c r="BK211" s="352">
        <v>2037</v>
      </c>
      <c r="BL211" s="210">
        <v>2038</v>
      </c>
      <c r="BM211" s="352">
        <v>2039</v>
      </c>
      <c r="BN211" s="352">
        <v>2040</v>
      </c>
      <c r="BO211" s="504">
        <f t="shared" si="131"/>
        <v>0</v>
      </c>
      <c r="CS211" s="485">
        <v>2022</v>
      </c>
      <c r="CT211" s="440"/>
      <c r="CU211" s="440"/>
      <c r="CV211" s="440"/>
      <c r="CW211" s="440"/>
      <c r="CX211" s="46">
        <f t="shared" si="169"/>
        <v>0.11256216982030702</v>
      </c>
      <c r="CY211" s="486">
        <f t="shared" si="140"/>
        <v>450.2486792812281</v>
      </c>
      <c r="CZ211" s="499"/>
      <c r="DP211" s="62">
        <v>2022</v>
      </c>
      <c r="DQ211" s="266"/>
      <c r="DR211" s="57">
        <f>НАСТРОЙКА!DR163</f>
        <v>26.24799389298066</v>
      </c>
      <c r="DS211" s="216"/>
      <c r="DT211" s="75"/>
      <c r="EJ211" s="62">
        <v>2024</v>
      </c>
      <c r="EK211" s="497"/>
      <c r="EL211" s="49">
        <v>801.5190921033573</v>
      </c>
      <c r="EM211" s="64"/>
      <c r="FE211" s="475">
        <f t="shared" si="167"/>
        <v>0</v>
      </c>
      <c r="FG211" s="481">
        <v>2022</v>
      </c>
      <c r="FH211" s="439"/>
      <c r="FI211" s="57"/>
      <c r="FJ211" s="326"/>
      <c r="FK211" s="438"/>
    </row>
    <row r="212" ht="21" customHeight="1" spans="21:167" x14ac:dyDescent="0.25">
      <c r="U212" s="444">
        <v>0.5221387246866992</v>
      </c>
      <c r="V212" s="444">
        <v>0.5051576373922004</v>
      </c>
      <c r="W212" s="444">
        <v>0.5142502258642649</v>
      </c>
      <c r="X212" s="444">
        <v>0.4894068245167679</v>
      </c>
      <c r="Y212" s="444">
        <v>0.5181711219698267</v>
      </c>
      <c r="Z212" s="444">
        <v>0.5654929726845863</v>
      </c>
      <c r="AA212" s="444">
        <v>0.5885109117691246</v>
      </c>
      <c r="AB212" s="444">
        <v>0.6092102159528697</v>
      </c>
      <c r="AC212" s="444">
        <v>0.6464506520706398</v>
      </c>
      <c r="AD212" s="444">
        <v>0.6887884644403037</v>
      </c>
      <c r="AE212" s="444">
        <v>0.7159398678069868</v>
      </c>
      <c r="AF212" s="444">
        <v>0.7566306271411272</v>
      </c>
      <c r="AG212" s="444">
        <v>0.7984626827793467</v>
      </c>
      <c r="AH212" s="444">
        <v>0.8092527216327611</v>
      </c>
      <c r="AI212" s="444">
        <v>0.726133323235561</v>
      </c>
      <c r="AJ212" s="444">
        <v>0.7402314578604593</v>
      </c>
      <c r="AK212" s="444">
        <v>0.742367142159845</v>
      </c>
      <c r="AL212" s="444">
        <v>0.7382757107455172</v>
      </c>
      <c r="AM212" s="444">
        <v>0.7212362554375349</v>
      </c>
      <c r="AN212" s="444"/>
      <c r="AO212" s="444"/>
      <c r="CS212" s="485">
        <v>2023</v>
      </c>
      <c r="CT212" s="440"/>
      <c r="CU212" s="440"/>
      <c r="CV212" s="440"/>
      <c r="CW212" s="440"/>
      <c r="CX212" s="46">
        <f t="shared" si="169"/>
        <v>0.11456216982030702</v>
      </c>
      <c r="CY212" s="486">
        <f t="shared" si="140"/>
        <v>458.2486792812281</v>
      </c>
      <c r="CZ212" s="499"/>
      <c r="DP212" s="62">
        <v>2023</v>
      </c>
      <c r="DQ212" s="266"/>
      <c r="DR212" s="57">
        <f>НАСТРОЙКА!DR164</f>
        <v>27.560393587629694</v>
      </c>
      <c r="DS212" s="216"/>
      <c r="DT212" s="75"/>
      <c r="EJ212" s="62">
        <v>2025</v>
      </c>
      <c r="EK212" s="497"/>
      <c r="EL212" s="49">
        <v>837.4472425814299</v>
      </c>
      <c r="EM212" s="64"/>
      <c r="FE212" s="475">
        <f t="shared" si="167"/>
        <v>0</v>
      </c>
      <c r="FG212" s="481">
        <v>2023</v>
      </c>
      <c r="FH212" s="439"/>
      <c r="FI212" s="57"/>
      <c r="FJ212" s="326"/>
      <c r="FK212" s="438"/>
    </row>
    <row r="213" ht="21" customHeight="1" spans="21:167" x14ac:dyDescent="0.25">
      <c r="U213" s="283">
        <v>2767.6205</v>
      </c>
      <c r="V213" s="283">
        <v>2690.127126</v>
      </c>
      <c r="W213" s="283">
        <v>2727.788905764</v>
      </c>
      <c r="X213" s="283">
        <v>2588.671671570036</v>
      </c>
      <c r="Y213" s="283">
        <v>2738.8146285210983</v>
      </c>
      <c r="Z213" s="283">
        <v>2996.263203602082</v>
      </c>
      <c r="AA213" s="283">
        <v>3143.0801005785834</v>
      </c>
      <c r="AB213" s="283">
        <v>3281.3756250040415</v>
      </c>
      <c r="AC213" s="283">
        <v>3530.7601725043487</v>
      </c>
      <c r="AD213" s="283">
        <v>3813.2209863046965</v>
      </c>
      <c r="AE213" s="283">
        <v>4030.5745825240638</v>
      </c>
      <c r="AF213" s="283">
        <v>4389.295720368706</v>
      </c>
      <c r="AG213" s="283">
        <v>4775.553743761152</v>
      </c>
      <c r="AH213" s="283">
        <v>5014.33143094921</v>
      </c>
      <c r="AI213" s="283">
        <v>4643.270905058968</v>
      </c>
      <c r="AJ213" s="283">
        <v>4875.434450311916</v>
      </c>
      <c r="AK213" s="283">
        <v>5085.078131675329</v>
      </c>
      <c r="AL213" s="283">
        <v>5273.226022547316</v>
      </c>
      <c r="AM213" s="283">
        <v>5352.324412885525</v>
      </c>
      <c r="AN213" s="283"/>
      <c r="AO213" s="283" t="s">
        <v>687</v>
      </c>
      <c r="CS213" s="485">
        <v>2024</v>
      </c>
      <c r="CT213" s="440"/>
      <c r="CU213" s="440"/>
      <c r="CV213" s="440"/>
      <c r="CW213" s="440"/>
      <c r="CX213" s="46">
        <f t="shared" si="169"/>
        <v>0.11656216982030702</v>
      </c>
      <c r="CY213" s="486">
        <f t="shared" si="140"/>
        <v>466.2486792812281</v>
      </c>
      <c r="CZ213" s="499"/>
      <c r="DG213" s="31">
        <f t="array" ref="DG213">TRANSPOSE(U62:AR62)</f>
        <v>418.4685</v>
      </c>
      <c r="DP213" s="62">
        <v>2024</v>
      </c>
      <c r="DQ213" s="266"/>
      <c r="DR213" s="57">
        <f>НАСТРОЙКА!DR165</f>
        <v>28.938413267011178</v>
      </c>
      <c r="DS213" s="216"/>
      <c r="DT213" s="75"/>
      <c r="EJ213" s="62">
        <v>2026</v>
      </c>
      <c r="EK213" s="497"/>
      <c r="EL213" s="49">
        <v>874.651285838929</v>
      </c>
      <c r="EM213" s="64"/>
      <c r="FE213" s="475">
        <f t="shared" si="167"/>
        <v>0</v>
      </c>
      <c r="FG213" s="481">
        <v>2024</v>
      </c>
      <c r="FH213" s="439"/>
      <c r="FI213" s="57"/>
      <c r="FJ213" s="326"/>
      <c r="FK213" s="438"/>
    </row>
    <row r="214" ht="21" customHeight="1" spans="21:167" x14ac:dyDescent="0.25">
      <c r="U214" s="283">
        <v>2767.6229163589906</v>
      </c>
      <c r="V214" s="283">
        <v>2677.6860575790124</v>
      </c>
      <c r="W214" s="283">
        <v>2714.9795543904047</v>
      </c>
      <c r="X214" s="283">
        <v>2576.0675778969785</v>
      </c>
      <c r="Y214" s="283">
        <v>2732.9277969996183</v>
      </c>
      <c r="Z214" s="283">
        <v>2997.4243170355257</v>
      </c>
      <c r="AA214" s="283">
        <v>3147.506964742226</v>
      </c>
      <c r="AB214" s="283">
        <v>3290.7942621811135</v>
      </c>
      <c r="AC214" s="283">
        <v>3537.352804405437</v>
      </c>
      <c r="AD214" s="283">
        <v>3829.3280443018266</v>
      </c>
      <c r="AE214" s="283">
        <v>4055.9018649649197</v>
      </c>
      <c r="AF214" s="283">
        <v>4389.294943244503</v>
      </c>
      <c r="AG214" s="283">
        <v>4775.558140222551</v>
      </c>
      <c r="AH214" s="283">
        <v>5014.336063341707</v>
      </c>
      <c r="AI214" s="283">
        <v>4643.284918729312</v>
      </c>
      <c r="AJ214" s="283">
        <v>4875.439011416357</v>
      </c>
      <c r="AK214" s="283">
        <v>5085.0856373852575</v>
      </c>
      <c r="AL214" s="283">
        <v>5274.513626661082</v>
      </c>
      <c r="AM214" s="283">
        <v>5369.19413555276</v>
      </c>
      <c r="AO214" s="31" t="s">
        <v>688</v>
      </c>
      <c r="CS214" s="485">
        <v>2025</v>
      </c>
      <c r="CT214" s="440"/>
      <c r="CU214" s="440"/>
      <c r="CV214" s="440"/>
      <c r="CW214" s="440"/>
      <c r="CX214" s="46">
        <f t="shared" si="169"/>
        <v>0.11856216982030703</v>
      </c>
      <c r="CY214" s="486">
        <f t="shared" si="140"/>
        <v>474.2486792812281</v>
      </c>
      <c r="CZ214" s="499"/>
      <c r="DP214" s="62">
        <v>2025</v>
      </c>
      <c r="DQ214" s="266"/>
      <c r="DR214" s="57">
        <f>НАСТРОЙКА!DR166</f>
        <v>30.38533393036174</v>
      </c>
      <c r="DS214" s="216"/>
      <c r="DT214" s="75"/>
      <c r="EJ214" s="62">
        <v>2027</v>
      </c>
      <c r="EK214" s="497"/>
      <c r="EL214" s="49">
        <v>913.390943609721</v>
      </c>
      <c r="EM214" s="64"/>
      <c r="FE214" s="475">
        <f t="shared" si="167"/>
        <v>0</v>
      </c>
      <c r="FG214" s="481">
        <v>2025</v>
      </c>
      <c r="FH214" s="439"/>
      <c r="FI214" s="57"/>
      <c r="FJ214" s="326"/>
      <c r="FK214" s="438"/>
    </row>
    <row r="215" ht="21" customHeight="1" spans="21:167" x14ac:dyDescent="0.25">
      <c r="U215" s="31">
        <v>5306</v>
      </c>
      <c r="V215" s="51">
        <v>5300.694</v>
      </c>
      <c r="W215" s="51">
        <v>5279.491224</v>
      </c>
      <c r="X215" s="51">
        <v>5263.652750328</v>
      </c>
      <c r="Y215" s="51">
        <v>5274.180055828657</v>
      </c>
      <c r="Z215" s="51">
        <v>5300.5509561078</v>
      </c>
      <c r="AA215" s="51">
        <v>5348.25591471277</v>
      </c>
      <c r="AB215" s="51">
        <v>5401.7384738598985</v>
      </c>
      <c r="AC215" s="51">
        <v>5471.961074020077</v>
      </c>
      <c r="AD215" s="51">
        <v>5559.5124512043985</v>
      </c>
      <c r="AE215" s="51">
        <v>5665.143187777283</v>
      </c>
      <c r="AF215" s="51">
        <v>5801.106624283938</v>
      </c>
      <c r="AG215" s="51">
        <v>5980.940929636739</v>
      </c>
      <c r="AH215" s="51">
        <v>6196.254803103662</v>
      </c>
      <c r="AI215" s="51">
        <v>6394.53495680298</v>
      </c>
      <c r="AJ215" s="51">
        <v>6586.37100550707</v>
      </c>
      <c r="AK215" s="51">
        <v>6849.825845727352</v>
      </c>
      <c r="AL215" s="51">
        <v>7144.368357093628</v>
      </c>
      <c r="AM215" s="51">
        <v>7444.43182809156</v>
      </c>
      <c r="AO215" s="31" t="s">
        <v>689</v>
      </c>
      <c r="CS215" s="485">
        <v>2026</v>
      </c>
      <c r="CT215" s="440"/>
      <c r="CU215" s="440"/>
      <c r="CV215" s="440"/>
      <c r="CW215" s="440"/>
      <c r="CX215" s="46">
        <f t="shared" si="169"/>
        <v>0.12056216982030703</v>
      </c>
      <c r="CY215" s="486">
        <f t="shared" si="140"/>
        <v>482.24867928122814</v>
      </c>
      <c r="CZ215" s="499"/>
      <c r="DP215" s="62">
        <v>2026</v>
      </c>
      <c r="DQ215" s="266"/>
      <c r="DR215" s="57">
        <f>НАСТРОЙКА!DR167</f>
        <v>31.904600626879827</v>
      </c>
      <c r="DS215" s="216"/>
      <c r="DT215" s="75"/>
      <c r="EJ215" s="62">
        <v>2028</v>
      </c>
      <c r="EK215" s="497"/>
      <c r="EL215" s="49">
        <v>953.8630754810779</v>
      </c>
      <c r="EM215" s="64"/>
      <c r="FE215" s="475">
        <f t="shared" si="167"/>
        <v>0</v>
      </c>
      <c r="FG215" s="481">
        <v>2026</v>
      </c>
      <c r="FH215" s="439"/>
      <c r="FI215" s="57"/>
      <c r="FJ215" s="326"/>
      <c r="FK215" s="438"/>
    </row>
    <row r="216" ht="21" customHeight="1" spans="21:167" x14ac:dyDescent="0.25">
      <c r="U216" s="51">
        <v>5300.5509561078</v>
      </c>
      <c r="V216" s="51">
        <v>5300.694</v>
      </c>
      <c r="W216" s="51">
        <v>5279.491224</v>
      </c>
      <c r="X216" s="51">
        <v>5263.652750328</v>
      </c>
      <c r="Y216" s="51">
        <v>5274.180055828657</v>
      </c>
      <c r="Z216" s="51">
        <v>5300.5509561078</v>
      </c>
      <c r="AA216" s="51">
        <v>5348.25591471277</v>
      </c>
      <c r="AB216" s="51">
        <v>5401.7384738598985</v>
      </c>
      <c r="AC216" s="51">
        <v>5471.961074020077</v>
      </c>
      <c r="AD216" s="51">
        <v>5559.5124512043985</v>
      </c>
      <c r="AE216" s="51">
        <v>5665.143187777283</v>
      </c>
      <c r="AF216" s="51">
        <v>5801.106624283938</v>
      </c>
      <c r="AG216" s="51">
        <v>5980.940929636739</v>
      </c>
      <c r="AH216" s="51">
        <v>6196.254803103662</v>
      </c>
      <c r="AI216" s="51">
        <v>6394.53495680298</v>
      </c>
      <c r="AJ216" s="51">
        <v>6586.37100550707</v>
      </c>
      <c r="AK216" s="51">
        <v>6849.825845727352</v>
      </c>
      <c r="AL216" s="51">
        <v>7144.368357093628</v>
      </c>
      <c r="AM216" s="51">
        <v>7444.43182809156</v>
      </c>
      <c r="AO216" s="31" t="s">
        <v>690</v>
      </c>
      <c r="CS216" s="485">
        <v>2027</v>
      </c>
      <c r="CT216" s="440"/>
      <c r="CU216" s="440"/>
      <c r="CV216" s="440"/>
      <c r="CW216" s="440"/>
      <c r="CX216" s="46">
        <f t="shared" si="169"/>
        <v>0.12256216982030703</v>
      </c>
      <c r="CY216" s="486">
        <f t="shared" si="140"/>
        <v>490.24867928122814</v>
      </c>
      <c r="CZ216" s="499"/>
      <c r="DP216" s="62">
        <v>2027</v>
      </c>
      <c r="DQ216" s="266"/>
      <c r="DR216" s="57">
        <f>НАСТРОЙКА!DR168</f>
        <v>33.49983065822382</v>
      </c>
      <c r="DS216" s="216"/>
      <c r="DT216" s="75"/>
      <c r="EJ216" s="62">
        <v>2029</v>
      </c>
      <c r="EK216" s="497"/>
      <c r="EL216" s="49">
        <v>996.2277884072805</v>
      </c>
      <c r="EM216" s="64"/>
      <c r="FE216" s="475">
        <f t="shared" si="167"/>
        <v>0</v>
      </c>
      <c r="FG216" s="481">
        <v>2027</v>
      </c>
      <c r="FH216" s="439"/>
      <c r="FI216" s="57"/>
      <c r="FJ216" s="326"/>
      <c r="FK216" s="438"/>
    </row>
    <row r="217" ht="21" customHeight="1" spans="21:167" x14ac:dyDescent="0.25">
      <c r="U217" s="511">
        <f>U214/U216</f>
        <v>0.5221387246866992</v>
      </c>
      <c r="V217" s="511">
        <f t="shared" ref="V217:AG217" si="170">V214/V216</f>
        <v>0.5051576373922004</v>
      </c>
      <c r="W217" s="511">
        <f t="shared" si="170"/>
        <v>0.5142502258642649</v>
      </c>
      <c r="X217" s="511">
        <f t="shared" si="170"/>
        <v>0.4894068245167679</v>
      </c>
      <c r="Y217" s="511">
        <f t="shared" si="170"/>
        <v>0.5181711219698267</v>
      </c>
      <c r="Z217" s="511">
        <f t="shared" si="170"/>
        <v>0.5654929726845863</v>
      </c>
      <c r="AA217" s="511">
        <f t="shared" si="170"/>
        <v>0.5885109117691246</v>
      </c>
      <c r="AB217" s="511">
        <f t="shared" si="170"/>
        <v>0.6092102159528697</v>
      </c>
      <c r="AC217" s="511">
        <f t="shared" si="170"/>
        <v>0.6464506520706398</v>
      </c>
      <c r="AD217" s="511">
        <f t="shared" si="170"/>
        <v>0.6887884644403037</v>
      </c>
      <c r="AE217" s="511">
        <f t="shared" si="170"/>
        <v>0.7159398678069868</v>
      </c>
      <c r="AF217" s="511">
        <f t="shared" si="170"/>
        <v>0.7566306271411272</v>
      </c>
      <c r="AG217" s="511">
        <f t="shared" si="170"/>
        <v>0.7984626827793467</v>
      </c>
      <c r="AH217" s="511">
        <f t="shared" ref="AH217:AM217" si="171">AH214/AH216</f>
        <v>0.8092527216327611</v>
      </c>
      <c r="AI217" s="511">
        <f t="shared" si="171"/>
        <v>0.726133323235561</v>
      </c>
      <c r="AJ217" s="511">
        <f t="shared" si="171"/>
        <v>0.7402314578604593</v>
      </c>
      <c r="AK217" s="312">
        <f t="shared" si="171"/>
        <v>0.742367142159845</v>
      </c>
      <c r="AL217" s="312">
        <f t="shared" si="171"/>
        <v>0.7382757107455172</v>
      </c>
      <c r="AM217" s="312">
        <f t="shared" si="171"/>
        <v>0.7212362554375349</v>
      </c>
      <c r="CS217" s="485">
        <v>2028</v>
      </c>
      <c r="CT217" s="440"/>
      <c r="CU217" s="440"/>
      <c r="CV217" s="440"/>
      <c r="CW217" s="440"/>
      <c r="CX217" s="46">
        <f t="shared" si="169"/>
        <v>0.12456216982030703</v>
      </c>
      <c r="CY217" s="486">
        <f t="shared" si="140"/>
        <v>498.24867928122814</v>
      </c>
      <c r="CZ217" s="499"/>
      <c r="DP217" s="62">
        <v>2028</v>
      </c>
      <c r="DQ217" s="266"/>
      <c r="DR217" s="57">
        <f>НАСТРОЙКА!DR169</f>
        <v>35.174822191135014</v>
      </c>
      <c r="DS217" s="216"/>
      <c r="DT217" s="75"/>
      <c r="EJ217" s="62">
        <v>2030</v>
      </c>
      <c r="EK217" s="497"/>
      <c r="EL217" s="49">
        <v>1040.6245652048178</v>
      </c>
      <c r="EM217" s="64"/>
      <c r="FE217" s="475">
        <f t="shared" si="167"/>
        <v>0</v>
      </c>
      <c r="FG217" s="481">
        <v>2028</v>
      </c>
      <c r="FH217" s="439"/>
      <c r="FI217" s="57"/>
      <c r="FJ217" s="326"/>
      <c r="FK217" s="438"/>
    </row>
    <row r="218" ht="21" customHeight="1" spans="21:167" x14ac:dyDescent="0.25">
      <c r="U218" s="444">
        <f>U213/U215</f>
        <v>0.5216020542781756</v>
      </c>
      <c r="V218" s="444">
        <f t="shared" ref="V218:AM218" si="172">V213/V215</f>
        <v>0.5075047014598465</v>
      </c>
      <c r="W218" s="444">
        <f t="shared" si="172"/>
        <v>0.5166764731729763</v>
      </c>
      <c r="X218" s="444">
        <f t="shared" si="172"/>
        <v>0.4918013771726725</v>
      </c>
      <c r="Y218" s="444">
        <f t="shared" si="172"/>
        <v>0.5192872824837201</v>
      </c>
      <c r="Z218" s="444">
        <f t="shared" si="172"/>
        <v>0.5652739174499402</v>
      </c>
      <c r="AA218" s="444">
        <f t="shared" si="172"/>
        <v>0.587683190688788</v>
      </c>
      <c r="AB218" s="444">
        <f t="shared" si="172"/>
        <v>0.6074665852268265</v>
      </c>
      <c r="AC218" s="444">
        <f t="shared" si="172"/>
        <v>0.6452458496585047</v>
      </c>
      <c r="AD218" s="444">
        <f t="shared" si="172"/>
        <v>0.6858912575110089</v>
      </c>
      <c r="AE218" s="444">
        <f t="shared" si="172"/>
        <v>0.7114691454260414</v>
      </c>
      <c r="AF218" s="444">
        <f t="shared" si="172"/>
        <v>0.7566307611024992</v>
      </c>
      <c r="AG218" s="444">
        <f t="shared" si="172"/>
        <v>0.7984619477007946</v>
      </c>
      <c r="AH218" s="444">
        <f t="shared" si="172"/>
        <v>0.8092519740210756</v>
      </c>
      <c r="AI218" s="444">
        <f t="shared" si="172"/>
        <v>0.7261311317282132</v>
      </c>
      <c r="AJ218" s="444">
        <f t="shared" si="172"/>
        <v>0.7402307653540036</v>
      </c>
      <c r="AK218" s="444">
        <f t="shared" si="172"/>
        <v>0.7423660464079095</v>
      </c>
      <c r="AL218" s="444">
        <f t="shared" si="172"/>
        <v>0.7380954843000977</v>
      </c>
      <c r="AM218" s="444">
        <f t="shared" si="172"/>
        <v>0.718970169447792</v>
      </c>
      <c r="AO218" s="31" t="s">
        <v>691</v>
      </c>
      <c r="CS218" s="485">
        <v>2029</v>
      </c>
      <c r="CT218" s="440"/>
      <c r="CU218" s="440"/>
      <c r="CV218" s="440"/>
      <c r="CW218" s="440"/>
      <c r="CX218" s="46">
        <f t="shared" si="169"/>
        <v>0.12656216982030702</v>
      </c>
      <c r="CY218" s="486">
        <f t="shared" si="140"/>
        <v>506.2486792812281</v>
      </c>
      <c r="CZ218" s="499"/>
      <c r="DP218" s="62">
        <v>2029</v>
      </c>
      <c r="DQ218" s="266"/>
      <c r="DR218" s="57">
        <f>НАСТРОЙКА!DR170</f>
        <v>36.933563300691766</v>
      </c>
      <c r="DS218" s="216"/>
      <c r="DT218" s="75"/>
      <c r="EJ218" s="62">
        <v>2031</v>
      </c>
      <c r="EK218" s="497"/>
      <c r="EL218" s="49">
        <v>1087.1822680012208</v>
      </c>
      <c r="EM218" s="64"/>
      <c r="FE218" s="475">
        <f t="shared" si="167"/>
        <v>0</v>
      </c>
      <c r="FG218" s="481">
        <v>2029</v>
      </c>
      <c r="FH218" s="439"/>
      <c r="FI218" s="57"/>
      <c r="FJ218" s="326"/>
      <c r="FK218" s="438"/>
    </row>
    <row r="219" ht="21" customHeight="1" spans="24:167" x14ac:dyDescent="0.25">
      <c r="X219" s="181" t="s">
        <v>269</v>
      </c>
      <c r="CS219" s="485">
        <v>2030</v>
      </c>
      <c r="CT219" s="440"/>
      <c r="CU219" s="440"/>
      <c r="CV219" s="440"/>
      <c r="CW219" s="440"/>
      <c r="CX219" s="46">
        <f t="shared" si="169"/>
        <v>0.12856216982030702</v>
      </c>
      <c r="CY219" s="486">
        <f t="shared" si="140"/>
        <v>514.2486792812281</v>
      </c>
      <c r="CZ219" s="499"/>
      <c r="DP219" s="34">
        <v>2030</v>
      </c>
      <c r="DQ219" s="86"/>
      <c r="DR219" s="94">
        <f>НАСТРОЙКА!DR171</f>
        <v>38.780241465726355</v>
      </c>
      <c r="DS219" s="180"/>
      <c r="DT219" s="36"/>
      <c r="EJ219" s="62">
        <v>2032</v>
      </c>
      <c r="EK219" s="497"/>
      <c r="EL219" s="49">
        <v>1136.0253831947402</v>
      </c>
      <c r="EM219" s="64"/>
      <c r="FE219" s="475">
        <f t="shared" si="167"/>
        <v>0</v>
      </c>
      <c r="FG219" s="512">
        <v>2030</v>
      </c>
      <c r="FH219" s="513"/>
      <c r="FI219" s="94"/>
      <c r="FJ219" s="388"/>
      <c r="FK219" s="514"/>
    </row>
    <row r="220" ht="21" customHeight="1" spans="97:161" x14ac:dyDescent="0.25">
      <c r="CS220" s="485">
        <v>2031</v>
      </c>
      <c r="CT220" s="440"/>
      <c r="CU220" s="440"/>
      <c r="CV220" s="440"/>
      <c r="CW220" s="440"/>
      <c r="CX220" s="46">
        <f t="shared" si="169"/>
        <v>0.13056216982030702</v>
      </c>
      <c r="CY220" s="486">
        <f t="shared" si="140"/>
        <v>522.2486792812281</v>
      </c>
      <c r="CZ220" s="499"/>
      <c r="EJ220" s="62">
        <v>2033</v>
      </c>
      <c r="EK220" s="497"/>
      <c r="EL220" s="49">
        <v>1187.2779610337795</v>
      </c>
      <c r="EM220" s="64"/>
      <c r="FE220" s="475">
        <f t="shared" si="167"/>
        <v>0</v>
      </c>
    </row>
    <row r="221" ht="21" customHeight="1" spans="18:161" x14ac:dyDescent="0.25">
      <c r="R221" s="31" t="s">
        <v>692</v>
      </c>
      <c r="CS221" s="485">
        <v>2032</v>
      </c>
      <c r="CT221" s="440"/>
      <c r="CU221" s="440"/>
      <c r="CV221" s="440"/>
      <c r="CW221" s="440"/>
      <c r="CX221" s="46">
        <f t="shared" si="169"/>
        <v>0.13256216982030702</v>
      </c>
      <c r="CY221" s="486">
        <f t="shared" si="140"/>
        <v>530.2486792812281</v>
      </c>
      <c r="CZ221" s="499"/>
      <c r="EJ221" s="62">
        <v>2034</v>
      </c>
      <c r="EK221" s="497"/>
      <c r="EL221" s="49">
        <v>1241.0661424988334</v>
      </c>
      <c r="EM221" s="64"/>
      <c r="FE221" s="475">
        <f t="shared" si="167"/>
        <v>0</v>
      </c>
    </row>
    <row r="222" ht="21" customHeight="1" spans="97:161" x14ac:dyDescent="0.25">
      <c r="CS222" s="485">
        <v>2033</v>
      </c>
      <c r="CT222" s="440"/>
      <c r="CU222" s="440"/>
      <c r="CV222" s="440"/>
      <c r="CW222" s="440"/>
      <c r="CX222" s="46">
        <f t="shared" si="169"/>
        <v>0.13456216982030703</v>
      </c>
      <c r="CY222" s="486">
        <f t="shared" si="140"/>
        <v>538.2486792812281</v>
      </c>
      <c r="CZ222" s="499"/>
      <c r="EJ222" s="34">
        <v>2035</v>
      </c>
      <c r="EK222" s="515"/>
      <c r="EL222" s="516">
        <v>1297.5198222028266</v>
      </c>
      <c r="EM222" s="517"/>
      <c r="FE222" s="518">
        <f t="shared" si="167"/>
        <v>0</v>
      </c>
    </row>
    <row r="223" ht="21" customHeight="1" spans="97:104" x14ac:dyDescent="0.25">
      <c r="CS223" s="485">
        <v>2034</v>
      </c>
      <c r="CT223" s="440"/>
      <c r="CU223" s="440"/>
      <c r="CV223" s="440"/>
      <c r="CW223" s="440"/>
      <c r="CX223" s="46">
        <f t="shared" si="169"/>
        <v>0.13656216982030703</v>
      </c>
      <c r="CY223" s="486">
        <f t="shared" si="140"/>
        <v>546.2486792812281</v>
      </c>
      <c r="CZ223" s="499"/>
    </row>
    <row r="224" ht="21.5" customHeight="1" spans="41:140" x14ac:dyDescent="0.25">
      <c r="AO224" s="519"/>
      <c r="AP224" s="520"/>
      <c r="AQ224" s="520"/>
      <c r="AR224" s="520"/>
      <c r="CS224" s="521">
        <v>2035</v>
      </c>
      <c r="CT224" s="522"/>
      <c r="CU224" s="522"/>
      <c r="CV224" s="522"/>
      <c r="CW224" s="522"/>
      <c r="CX224" s="523">
        <f t="shared" si="169"/>
        <v>0.13856216982030703</v>
      </c>
      <c r="CY224" s="524">
        <f t="shared" si="140"/>
        <v>554.2486792812281</v>
      </c>
      <c r="CZ224" s="525"/>
      <c r="EJ224" s="31" t="s">
        <v>97</v>
      </c>
    </row>
    <row r="225" ht="21.5" customHeight="1" spans="41:165" x14ac:dyDescent="0.25">
      <c r="AO225" s="526"/>
      <c r="AP225" s="520"/>
      <c r="AQ225" s="520"/>
      <c r="AR225" s="520"/>
      <c r="DO225" s="28" t="s">
        <v>13</v>
      </c>
      <c r="DP225" s="527" t="s">
        <v>28</v>
      </c>
      <c r="DQ225" s="310" t="s">
        <v>693</v>
      </c>
      <c r="DR225" s="528" t="s">
        <v>694</v>
      </c>
      <c r="EG225" s="529" t="s">
        <v>694</v>
      </c>
      <c r="EJ225" s="530" t="s">
        <v>13</v>
      </c>
      <c r="EK225" s="531" t="s">
        <v>695</v>
      </c>
      <c r="EL225" s="468" t="s">
        <v>695</v>
      </c>
      <c r="EM225" s="532" t="s">
        <v>696</v>
      </c>
      <c r="EN225" s="533" t="s">
        <v>696</v>
      </c>
      <c r="FE225" s="28" t="s">
        <v>13</v>
      </c>
      <c r="FF225" s="534" t="s">
        <v>394</v>
      </c>
      <c r="FG225" s="534" t="s">
        <v>390</v>
      </c>
      <c r="FH225" s="535" t="s">
        <v>393</v>
      </c>
      <c r="FI225" s="534" t="s">
        <v>381</v>
      </c>
    </row>
    <row r="226" ht="21" customHeight="1" spans="41:165" x14ac:dyDescent="0.25">
      <c r="AO226" s="526"/>
      <c r="AP226" s="520"/>
      <c r="AQ226" s="520"/>
      <c r="AR226" s="520"/>
      <c r="CQ226" s="536" t="s">
        <v>697</v>
      </c>
      <c r="CR226" s="537"/>
      <c r="CS226" s="538" t="s">
        <v>698</v>
      </c>
      <c r="CT226" s="538"/>
      <c r="CU226" s="538"/>
      <c r="CV226" s="539"/>
      <c r="CW226" s="540">
        <v>0.75</v>
      </c>
      <c r="DO226" s="129">
        <v>43936</v>
      </c>
      <c r="DP226" s="541" t="s">
        <v>56</v>
      </c>
      <c r="DQ226" s="476" t="s">
        <v>56</v>
      </c>
      <c r="DR226" s="325" t="s">
        <v>55</v>
      </c>
      <c r="EG226" s="307" t="s">
        <v>699</v>
      </c>
      <c r="EJ226" s="129">
        <v>44339</v>
      </c>
      <c r="EK226" s="541" t="s">
        <v>127</v>
      </c>
      <c r="EL226" s="477" t="s">
        <v>700</v>
      </c>
      <c r="EM226" s="542" t="s">
        <v>127</v>
      </c>
      <c r="EN226" s="543" t="s">
        <v>700</v>
      </c>
      <c r="FE226" s="41">
        <v>44341</v>
      </c>
      <c r="FF226" s="544" t="s">
        <v>633</v>
      </c>
      <c r="FG226" s="544" t="s">
        <v>633</v>
      </c>
      <c r="FH226" s="544" t="s">
        <v>633</v>
      </c>
      <c r="FI226" s="544" t="s">
        <v>55</v>
      </c>
    </row>
    <row r="227" ht="18" customHeight="1" spans="41:165" x14ac:dyDescent="0.25">
      <c r="AO227" s="519"/>
      <c r="AP227" s="520"/>
      <c r="AQ227" s="520"/>
      <c r="AR227" s="520"/>
      <c r="CQ227" s="545" t="s">
        <v>13</v>
      </c>
      <c r="CR227" s="214" t="s">
        <v>28</v>
      </c>
      <c r="CS227" s="300" t="s">
        <v>701</v>
      </c>
      <c r="CT227" s="214" t="s">
        <v>702</v>
      </c>
      <c r="CU227" s="214" t="s">
        <v>703</v>
      </c>
      <c r="CV227" s="214" t="s">
        <v>703</v>
      </c>
      <c r="CW227" s="214" t="s">
        <v>630</v>
      </c>
      <c r="CX227" s="546" t="s">
        <v>704</v>
      </c>
      <c r="CY227" s="546" t="s">
        <v>705</v>
      </c>
      <c r="DO227" s="215">
        <v>1995</v>
      </c>
      <c r="DP227" s="547">
        <f t="shared" ref="DP227:DP250" si="173">CR229</f>
        <v>369.9027</v>
      </c>
      <c r="DQ227" s="55">
        <v>2767.6205</v>
      </c>
      <c r="DR227" s="72">
        <f>DP227/DQ227</f>
        <v>0.13365369276604216</v>
      </c>
      <c r="EG227" s="548">
        <f>DR227</f>
        <v>0.13365369276604216</v>
      </c>
      <c r="EJ227" s="62">
        <v>1995</v>
      </c>
      <c r="EK227" s="549">
        <v>1</v>
      </c>
      <c r="EL227" s="115"/>
      <c r="EM227" s="143">
        <v>1</v>
      </c>
      <c r="EN227" s="66"/>
      <c r="FE227" s="550">
        <v>1995</v>
      </c>
      <c r="FF227" s="551"/>
      <c r="FG227" s="551">
        <f>1</f>
        <v>1</v>
      </c>
      <c r="FH227" s="322">
        <f t="shared" ref="FH227:FH267" si="174">FB319</f>
        <v>3.6</v>
      </c>
      <c r="FI227" s="201">
        <v>1</v>
      </c>
    </row>
    <row r="228" ht="18.5" customHeight="1" spans="41:165" x14ac:dyDescent="0.25">
      <c r="AO228" s="519"/>
      <c r="AP228" s="520"/>
      <c r="AQ228" s="520"/>
      <c r="AR228" s="520"/>
      <c r="CQ228" s="305">
        <v>43671</v>
      </c>
      <c r="CR228" s="40" t="s">
        <v>706</v>
      </c>
      <c r="CS228" s="40" t="s">
        <v>55</v>
      </c>
      <c r="CT228" s="40" t="s">
        <v>56</v>
      </c>
      <c r="CU228" s="40" t="s">
        <v>55</v>
      </c>
      <c r="CV228" s="40" t="s">
        <v>619</v>
      </c>
      <c r="CW228" s="40" t="s">
        <v>55</v>
      </c>
      <c r="CX228" s="552" t="s">
        <v>707</v>
      </c>
      <c r="CY228" s="40" t="s">
        <v>55</v>
      </c>
      <c r="DO228" s="215">
        <v>1996</v>
      </c>
      <c r="DP228" s="547">
        <f t="shared" si="173"/>
        <v>374.71143509999996</v>
      </c>
      <c r="DQ228" s="55">
        <v>2690.127126</v>
      </c>
      <c r="DR228" s="72">
        <f>DP228/DQ228</f>
        <v>0.13929134853086492</v>
      </c>
      <c r="EG228" s="548">
        <f>DR228</f>
        <v>0.13929134853086492</v>
      </c>
      <c r="EJ228" s="62">
        <v>1996</v>
      </c>
      <c r="EK228" s="143">
        <f>DQ228/DQ$227</f>
        <v>0.972</v>
      </c>
      <c r="EL228" s="115"/>
      <c r="EM228" s="143">
        <f t="shared" ref="EM228:EM250" si="175">CS230</f>
        <v>1.013</v>
      </c>
      <c r="EN228" s="66"/>
      <c r="FE228" s="553">
        <v>1996</v>
      </c>
      <c r="FF228" s="554"/>
      <c r="FG228" s="554">
        <f t="shared" ref="FG228:FG250" si="176">CU230</f>
        <v>1.170751567490661</v>
      </c>
      <c r="FH228" s="326">
        <f t="shared" si="174"/>
        <v>4.6</v>
      </c>
      <c r="FI228" s="75">
        <f>НАСТРОЙКА!DR137</f>
        <v>1.218</v>
      </c>
    </row>
    <row r="229" ht="18" customHeight="1" spans="41:165" x14ac:dyDescent="0.25">
      <c r="AO229" s="519"/>
      <c r="AP229" s="520"/>
      <c r="AQ229" s="520"/>
      <c r="AR229" s="520"/>
      <c r="CQ229" s="62">
        <v>1995</v>
      </c>
      <c r="CR229" s="140">
        <f>CT229</f>
        <v>369.9027</v>
      </c>
      <c r="CS229" s="315">
        <f t="array" ref="CS229:CS252">TRANSPOSE(U163:AR163)</f>
        <v>1</v>
      </c>
      <c r="CT229" s="140">
        <f t="array" ref="CT229:CT252">TRANSPOSE(U52:AR52)</f>
        <v>369.9027</v>
      </c>
      <c r="CU229" s="315">
        <v>1</v>
      </c>
      <c r="CV229" s="315"/>
      <c r="CW229" s="555">
        <f>CW226*CY229+(1-CW226)*CX229</f>
        <v>1.65</v>
      </c>
      <c r="CX229" s="556">
        <v>3.6</v>
      </c>
      <c r="CY229" s="56">
        <v>1</v>
      </c>
      <c r="DO229" s="215">
        <v>1997</v>
      </c>
      <c r="DP229" s="547">
        <f t="shared" si="173"/>
        <v>376.21028084039995</v>
      </c>
      <c r="DQ229" s="55">
        <v>2727.788905764</v>
      </c>
      <c r="DR229" s="72">
        <f t="shared" ref="DR229:DR250" si="177">DP229/DQ229</f>
        <v>0.1379176665926907</v>
      </c>
      <c r="EG229" s="548">
        <f t="shared" ref="EG229:EG267" si="178">DR229</f>
        <v>0.1379176665926907</v>
      </c>
      <c r="EJ229" s="62">
        <v>1997</v>
      </c>
      <c r="EK229" s="143">
        <f t="shared" ref="EK229:EK250" si="179">DQ229/DQ$227</f>
        <v>0.985608</v>
      </c>
      <c r="EL229" s="115"/>
      <c r="EM229" s="143">
        <f t="shared" si="175"/>
        <v>1.0170519999999998</v>
      </c>
      <c r="EN229" s="66"/>
      <c r="FE229" s="553">
        <v>1997</v>
      </c>
      <c r="FF229" s="554"/>
      <c r="FG229" s="554">
        <f t="shared" si="176"/>
        <v>1.4027022303089887</v>
      </c>
      <c r="FH229" s="326">
        <f t="shared" si="174"/>
        <v>5.5</v>
      </c>
      <c r="FI229" s="75">
        <f>НАСТРОЙКА!DR138</f>
        <v>1.3519800000000002</v>
      </c>
    </row>
    <row r="230" ht="18" customHeight="1" spans="95:165" x14ac:dyDescent="0.25">
      <c r="CQ230" s="62">
        <v>1996</v>
      </c>
      <c r="CR230" s="55">
        <f>CR$229*CS230</f>
        <v>374.71143509999996</v>
      </c>
      <c r="CS230" s="272">
        <v>1.013</v>
      </c>
      <c r="CT230" s="55">
        <v>438.694</v>
      </c>
      <c r="CU230" s="57">
        <f t="shared" ref="CU230:CU252" si="180">CT230/CR230</f>
        <v>1.170751567490661</v>
      </c>
      <c r="CV230" s="57"/>
      <c r="CW230" s="316">
        <f t="shared" ref="CW230:CW264" si="181">CW$226*CY230+(1-CW$226)*CX230</f>
        <v>2.0635</v>
      </c>
      <c r="CX230" s="557">
        <f>FB320</f>
        <v>4.6</v>
      </c>
      <c r="CY230" s="75">
        <f>НАСТРОЙКА!DR137</f>
        <v>1.218</v>
      </c>
      <c r="DO230" s="215">
        <v>1998</v>
      </c>
      <c r="DP230" s="547">
        <f t="shared" si="173"/>
        <v>310.7496919741703</v>
      </c>
      <c r="DQ230" s="55">
        <v>2588.671671570036</v>
      </c>
      <c r="DR230" s="72">
        <f t="shared" si="177"/>
        <v>0.12004214183937038</v>
      </c>
      <c r="EG230" s="548">
        <f t="shared" si="178"/>
        <v>0.12004214183937038</v>
      </c>
      <c r="EJ230" s="62">
        <v>1998</v>
      </c>
      <c r="EK230" s="143">
        <f t="shared" si="179"/>
        <v>0.9353419919999999</v>
      </c>
      <c r="EL230" s="115"/>
      <c r="EM230" s="143">
        <f t="shared" si="175"/>
        <v>0.8400849519999998</v>
      </c>
      <c r="EN230" s="66"/>
      <c r="FE230" s="553">
        <v>1998</v>
      </c>
      <c r="FF230" s="554"/>
      <c r="FG230" s="554">
        <f t="shared" si="176"/>
        <v>2.0776657762662096</v>
      </c>
      <c r="FH230" s="326">
        <f t="shared" si="174"/>
        <v>9.7</v>
      </c>
      <c r="FI230" s="75">
        <f>НАСТРОЙКА!DR139</f>
        <v>2.4930511200000005</v>
      </c>
    </row>
    <row r="231" ht="18" customHeight="1" spans="95:165" x14ac:dyDescent="0.25">
      <c r="CQ231" s="62">
        <v>1997</v>
      </c>
      <c r="CR231" s="55">
        <f t="shared" ref="CR231:CR252" si="182">CR$229*CS231</f>
        <v>376.21028084039995</v>
      </c>
      <c r="CS231" s="46">
        <v>1.0170519999999998</v>
      </c>
      <c r="CT231" s="55">
        <v>527.711</v>
      </c>
      <c r="CU231" s="57">
        <f t="shared" si="180"/>
        <v>1.4027022303089887</v>
      </c>
      <c r="CV231" s="57"/>
      <c r="CW231" s="316">
        <f t="shared" si="181"/>
        <v>2.388985</v>
      </c>
      <c r="CX231" s="557">
        <f t="shared" ref="CX231:CX264" si="183">FB321</f>
        <v>5.5</v>
      </c>
      <c r="CY231" s="75">
        <f>НАСТРОЙКА!DR138</f>
        <v>1.3519800000000002</v>
      </c>
      <c r="DO231" s="215">
        <v>1999</v>
      </c>
      <c r="DP231" s="547">
        <f t="shared" si="173"/>
        <v>257.9222443385613</v>
      </c>
      <c r="DQ231" s="55">
        <v>2738.8146285210983</v>
      </c>
      <c r="DR231" s="72">
        <f t="shared" si="177"/>
        <v>0.09417294681160435</v>
      </c>
      <c r="EG231" s="548">
        <f t="shared" si="178"/>
        <v>0.09417294681160435</v>
      </c>
      <c r="EJ231" s="62">
        <v>1999</v>
      </c>
      <c r="EK231" s="143">
        <f t="shared" si="179"/>
        <v>0.9895918275360001</v>
      </c>
      <c r="EL231" s="115"/>
      <c r="EM231" s="143">
        <f t="shared" si="175"/>
        <v>0.6972705101599997</v>
      </c>
      <c r="EN231" s="66"/>
      <c r="FE231" s="553">
        <v>1999</v>
      </c>
      <c r="FF231" s="554"/>
      <c r="FG231" s="554">
        <f t="shared" si="176"/>
        <v>4.894300618534395</v>
      </c>
      <c r="FH231" s="326">
        <f t="shared" si="174"/>
        <v>24.62</v>
      </c>
      <c r="FI231" s="75">
        <f>НАСТРОЙКА!DR140</f>
        <v>3.4030147788000007</v>
      </c>
    </row>
    <row r="232" ht="18" customHeight="1" spans="26:165" x14ac:dyDescent="0.25">
      <c r="Z232" s="51"/>
      <c r="CQ232" s="62">
        <v>1998</v>
      </c>
      <c r="CR232" s="55">
        <f t="shared" si="182"/>
        <v>310.7496919741703</v>
      </c>
      <c r="CS232" s="46">
        <v>0.8400849519999998</v>
      </c>
      <c r="CT232" s="55">
        <v>645.634</v>
      </c>
      <c r="CU232" s="57">
        <f t="shared" si="180"/>
        <v>2.0776657762662096</v>
      </c>
      <c r="CV232" s="57"/>
      <c r="CW232" s="316">
        <f t="shared" si="181"/>
        <v>4.29478834</v>
      </c>
      <c r="CX232" s="557">
        <f t="shared" si="183"/>
        <v>9.7</v>
      </c>
      <c r="CY232" s="75">
        <f>НАСТРОЙКА!DR139</f>
        <v>2.4930511200000005</v>
      </c>
      <c r="DO232" s="215">
        <v>2000</v>
      </c>
      <c r="DP232" s="547">
        <f t="shared" si="173"/>
        <v>341.4890515042552</v>
      </c>
      <c r="DQ232" s="55">
        <v>2996.263203602082</v>
      </c>
      <c r="DR232" s="72">
        <f t="shared" si="177"/>
        <v>0.11397164678113725</v>
      </c>
      <c r="EG232" s="548">
        <f t="shared" si="178"/>
        <v>0.11397164678113725</v>
      </c>
      <c r="EJ232" s="62">
        <v>2000</v>
      </c>
      <c r="EK232" s="143">
        <f t="shared" si="179"/>
        <v>1.0826134593243841</v>
      </c>
      <c r="EL232" s="115"/>
      <c r="EM232" s="143">
        <f t="shared" si="175"/>
        <v>0.9231861554518397</v>
      </c>
      <c r="EN232" s="66"/>
      <c r="FE232" s="553">
        <v>2000</v>
      </c>
      <c r="FF232" s="554"/>
      <c r="FG232" s="554">
        <f t="shared" si="176"/>
        <v>5.141611399445178</v>
      </c>
      <c r="FH232" s="326">
        <f t="shared" si="174"/>
        <v>28.14</v>
      </c>
      <c r="FI232" s="75">
        <f>НАСТРОЙКА!DR141</f>
        <v>4.090423764117601</v>
      </c>
    </row>
    <row r="233" ht="18" customHeight="1" spans="26:165" x14ac:dyDescent="0.25">
      <c r="Z233" s="51"/>
      <c r="CQ233" s="62">
        <v>1999</v>
      </c>
      <c r="CR233" s="55">
        <f t="shared" si="182"/>
        <v>257.9222443385613</v>
      </c>
      <c r="CS233" s="46">
        <v>0.6972705101599997</v>
      </c>
      <c r="CT233" s="55">
        <v>1262.349</v>
      </c>
      <c r="CU233" s="57">
        <f t="shared" si="180"/>
        <v>4.894300618534395</v>
      </c>
      <c r="CV233" s="57"/>
      <c r="CW233" s="316">
        <f t="shared" si="181"/>
        <v>8.7072610841</v>
      </c>
      <c r="CX233" s="557">
        <f t="shared" si="183"/>
        <v>24.62</v>
      </c>
      <c r="CY233" s="75">
        <f>НАСТРОЙКА!DR140</f>
        <v>3.4030147788000007</v>
      </c>
      <c r="DO233" s="215">
        <v>2001</v>
      </c>
      <c r="DP233" s="547">
        <f t="shared" si="173"/>
        <v>405.34750413555093</v>
      </c>
      <c r="DQ233" s="55">
        <v>3143.0801005785834</v>
      </c>
      <c r="DR233" s="72">
        <f t="shared" si="177"/>
        <v>0.12896505693918964</v>
      </c>
      <c r="EG233" s="548">
        <f t="shared" si="178"/>
        <v>0.12896505693918964</v>
      </c>
      <c r="EJ233" s="62">
        <v>2001</v>
      </c>
      <c r="EK233" s="143">
        <f t="shared" si="179"/>
        <v>1.1356615188312789</v>
      </c>
      <c r="EL233" s="115"/>
      <c r="EM233" s="143">
        <f t="shared" si="175"/>
        <v>1.0958219665213338</v>
      </c>
      <c r="EN233" s="66"/>
      <c r="FE233" s="553">
        <v>2001</v>
      </c>
      <c r="FF233" s="554"/>
      <c r="FG233" s="554">
        <f t="shared" si="176"/>
        <v>5.343385559062673</v>
      </c>
      <c r="FH233" s="326">
        <f t="shared" si="174"/>
        <v>29.17</v>
      </c>
      <c r="FI233" s="75">
        <f>НАСТРОЙКА!DR142</f>
        <v>4.851242584243474</v>
      </c>
    </row>
    <row r="234" ht="18" customHeight="1" spans="26:165" x14ac:dyDescent="0.25">
      <c r="Z234" s="51"/>
      <c r="CQ234" s="62">
        <v>2000</v>
      </c>
      <c r="CR234" s="55">
        <f t="shared" si="182"/>
        <v>341.4890515042552</v>
      </c>
      <c r="CS234" s="46">
        <v>0.9231861554518397</v>
      </c>
      <c r="CT234" s="55">
        <v>1755.804</v>
      </c>
      <c r="CU234" s="57">
        <f t="shared" si="180"/>
        <v>5.141611399445178</v>
      </c>
      <c r="CV234" s="57"/>
      <c r="CW234" s="316">
        <f t="shared" si="181"/>
        <v>10.1028178230882</v>
      </c>
      <c r="CX234" s="557">
        <f t="shared" si="183"/>
        <v>28.14</v>
      </c>
      <c r="CY234" s="75">
        <f>НАСТРОЙКА!DR141</f>
        <v>4.090423764117601</v>
      </c>
      <c r="DO234" s="215">
        <v>2002</v>
      </c>
      <c r="DP234" s="547">
        <f t="shared" si="173"/>
        <v>464.5282397393413</v>
      </c>
      <c r="DQ234" s="55">
        <v>3281.3756250040415</v>
      </c>
      <c r="DR234" s="72">
        <f t="shared" si="177"/>
        <v>0.14156509123784608</v>
      </c>
      <c r="EG234" s="548">
        <f t="shared" si="178"/>
        <v>0.14156509123784608</v>
      </c>
      <c r="EJ234" s="62">
        <v>2002</v>
      </c>
      <c r="EK234" s="143">
        <f t="shared" si="179"/>
        <v>1.1856306256598552</v>
      </c>
      <c r="EL234" s="115"/>
      <c r="EM234" s="143">
        <f t="shared" si="175"/>
        <v>1.2558119736334483</v>
      </c>
      <c r="EN234" s="66"/>
      <c r="FE234" s="553">
        <v>2002</v>
      </c>
      <c r="FF234" s="554"/>
      <c r="FG234" s="554">
        <f t="shared" si="176"/>
        <v>5.696540648389543</v>
      </c>
      <c r="FH234" s="326">
        <f t="shared" si="174"/>
        <v>31.35</v>
      </c>
      <c r="FI234" s="75">
        <f>НАСТРОЙКА!DR143</f>
        <v>5.583780214464239</v>
      </c>
    </row>
    <row r="235" ht="18" customHeight="1" spans="26:165" x14ac:dyDescent="0.25">
      <c r="Z235" s="51"/>
      <c r="CQ235" s="62">
        <v>2001</v>
      </c>
      <c r="CR235" s="55">
        <f t="shared" si="182"/>
        <v>405.34750413555093</v>
      </c>
      <c r="CS235" s="46">
        <v>1.0958219665213338</v>
      </c>
      <c r="CT235" s="55">
        <v>2165.928</v>
      </c>
      <c r="CU235" s="57">
        <f t="shared" si="180"/>
        <v>5.343385559062673</v>
      </c>
      <c r="CV235" s="57"/>
      <c r="CW235" s="316">
        <f t="shared" si="181"/>
        <v>10.930931938182606</v>
      </c>
      <c r="CX235" s="557">
        <f t="shared" si="183"/>
        <v>29.17</v>
      </c>
      <c r="CY235" s="75">
        <f>НАСТРОЙКА!DR142</f>
        <v>4.851242584243474</v>
      </c>
      <c r="DO235" s="215">
        <v>2003</v>
      </c>
      <c r="DP235" s="547">
        <f t="shared" si="173"/>
        <v>544.8916252142474</v>
      </c>
      <c r="DQ235" s="55">
        <v>3530.7601725043487</v>
      </c>
      <c r="DR235" s="72">
        <f t="shared" si="177"/>
        <v>0.15432700002044</v>
      </c>
      <c r="EG235" s="548">
        <f t="shared" si="178"/>
        <v>0.15432700002044</v>
      </c>
      <c r="EJ235" s="62">
        <v>2003</v>
      </c>
      <c r="EK235" s="143">
        <f t="shared" si="179"/>
        <v>1.2757385532100043</v>
      </c>
      <c r="EL235" s="115"/>
      <c r="EM235" s="143">
        <f t="shared" si="175"/>
        <v>1.473067445072035</v>
      </c>
      <c r="EN235" s="66"/>
      <c r="FE235" s="553">
        <v>2003</v>
      </c>
      <c r="FF235" s="554"/>
      <c r="FG235" s="554">
        <f t="shared" si="176"/>
        <v>5.788123461724907</v>
      </c>
      <c r="FH235" s="326">
        <f t="shared" si="174"/>
        <v>30.69</v>
      </c>
      <c r="FI235" s="75">
        <f>НАСТРОЙКА!DR144</f>
        <v>6.253833840199949</v>
      </c>
    </row>
    <row r="236" ht="18" customHeight="1" spans="26:165" x14ac:dyDescent="0.25">
      <c r="Z236" s="51"/>
      <c r="CQ236" s="62">
        <v>2002</v>
      </c>
      <c r="CR236" s="55">
        <f t="shared" si="182"/>
        <v>464.5282397393413</v>
      </c>
      <c r="CS236" s="46">
        <v>1.2558119736334483</v>
      </c>
      <c r="CT236" s="55">
        <v>2646.204</v>
      </c>
      <c r="CU236" s="57">
        <f t="shared" si="180"/>
        <v>5.696540648389543</v>
      </c>
      <c r="CV236" s="57"/>
      <c r="CW236" s="316">
        <f t="shared" si="181"/>
        <v>12.02533516084818</v>
      </c>
      <c r="CX236" s="557">
        <f t="shared" si="183"/>
        <v>31.35</v>
      </c>
      <c r="CY236" s="75">
        <f>НАСТРОЙКА!DR143</f>
        <v>5.583780214464239</v>
      </c>
      <c r="DO236" s="215">
        <v>2004</v>
      </c>
      <c r="DP236" s="547">
        <f t="shared" si="173"/>
        <v>671.851373889167</v>
      </c>
      <c r="DQ236" s="55">
        <v>3813.2209863046965</v>
      </c>
      <c r="DR236" s="72">
        <f t="shared" si="177"/>
        <v>0.17618999169000235</v>
      </c>
      <c r="EG236" s="548">
        <f t="shared" si="178"/>
        <v>0.17618999169000235</v>
      </c>
      <c r="EJ236" s="62">
        <v>2004</v>
      </c>
      <c r="EK236" s="143">
        <f t="shared" si="179"/>
        <v>1.3777976374668046</v>
      </c>
      <c r="EL236" s="115"/>
      <c r="EM236" s="143">
        <f t="shared" si="175"/>
        <v>1.816292159773819</v>
      </c>
      <c r="EN236" s="66"/>
      <c r="FE236" s="553">
        <v>2004</v>
      </c>
      <c r="FF236" s="554"/>
      <c r="FG236" s="554">
        <f t="shared" si="176"/>
        <v>5.617164966343534</v>
      </c>
      <c r="FH236" s="326">
        <f t="shared" si="174"/>
        <v>28.81</v>
      </c>
      <c r="FI236" s="75">
        <f>НАСТРОЙКА!DR145</f>
        <v>6.9855323995033425</v>
      </c>
    </row>
    <row r="237" ht="18" customHeight="1" spans="26:165" x14ac:dyDescent="0.25">
      <c r="Z237" s="51"/>
      <c r="CQ237" s="62">
        <v>2003</v>
      </c>
      <c r="CR237" s="55">
        <f t="shared" si="182"/>
        <v>544.8916252142474</v>
      </c>
      <c r="CS237" s="46">
        <v>1.473067445072035</v>
      </c>
      <c r="CT237" s="55">
        <v>3153.9</v>
      </c>
      <c r="CU237" s="57">
        <f t="shared" si="180"/>
        <v>5.788123461724907</v>
      </c>
      <c r="CV237" s="57"/>
      <c r="CW237" s="316">
        <f t="shared" si="181"/>
        <v>12.362875380149962</v>
      </c>
      <c r="CX237" s="557">
        <f t="shared" si="183"/>
        <v>30.69</v>
      </c>
      <c r="CY237" s="75">
        <f>НАСТРОЙКА!DR144</f>
        <v>6.253833840199949</v>
      </c>
      <c r="DO237" s="215">
        <v>2005</v>
      </c>
      <c r="DP237" s="547">
        <f t="shared" si="173"/>
        <v>783.3787019547686</v>
      </c>
      <c r="DQ237" s="55">
        <v>4030.5745825240638</v>
      </c>
      <c r="DR237" s="72">
        <f t="shared" si="177"/>
        <v>0.19435906368074052</v>
      </c>
      <c r="EG237" s="548">
        <f t="shared" si="178"/>
        <v>0.19435906368074052</v>
      </c>
      <c r="EJ237" s="62">
        <v>2005</v>
      </c>
      <c r="EK237" s="143">
        <f t="shared" si="179"/>
        <v>1.4563321028024123</v>
      </c>
      <c r="EL237" s="115"/>
      <c r="EM237" s="143">
        <f t="shared" si="175"/>
        <v>2.117796658296273</v>
      </c>
      <c r="EN237" s="66"/>
      <c r="FE237" s="553">
        <v>2005</v>
      </c>
      <c r="FF237" s="554"/>
      <c r="FG237" s="554">
        <f t="shared" si="176"/>
        <v>5.933656338117279</v>
      </c>
      <c r="FH237" s="326">
        <f t="shared" si="174"/>
        <v>28.3</v>
      </c>
      <c r="FI237" s="75">
        <f>НАСТРОЙКА!DR146</f>
        <v>7.746955431049207</v>
      </c>
    </row>
    <row r="238" ht="18" customHeight="1" spans="26:165" x14ac:dyDescent="0.25">
      <c r="Z238" s="51"/>
      <c r="CQ238" s="62">
        <v>2004</v>
      </c>
      <c r="CR238" s="55">
        <f t="shared" si="182"/>
        <v>671.851373889167</v>
      </c>
      <c r="CS238" s="46">
        <v>1.816292159773819</v>
      </c>
      <c r="CT238" s="55">
        <v>3773.9</v>
      </c>
      <c r="CU238" s="57">
        <f t="shared" si="180"/>
        <v>5.617164966343534</v>
      </c>
      <c r="CV238" s="57"/>
      <c r="CW238" s="316">
        <f t="shared" si="181"/>
        <v>12.441649299627507</v>
      </c>
      <c r="CX238" s="557">
        <f t="shared" si="183"/>
        <v>28.81</v>
      </c>
      <c r="CY238" s="75">
        <f>НАСТРОЙКА!DR145</f>
        <v>6.9855323995033425</v>
      </c>
      <c r="DO238" s="215">
        <v>2006</v>
      </c>
      <c r="DP238" s="547">
        <f t="shared" si="173"/>
        <v>950.2383654711344</v>
      </c>
      <c r="DQ238" s="55">
        <v>4389.295720368706</v>
      </c>
      <c r="DR238" s="72">
        <f t="shared" si="177"/>
        <v>0.2164899396186761</v>
      </c>
      <c r="EG238" s="548">
        <f t="shared" si="178"/>
        <v>0.2164899396186761</v>
      </c>
      <c r="EJ238" s="62">
        <v>2006</v>
      </c>
      <c r="EK238" s="143">
        <f t="shared" si="179"/>
        <v>1.5859456599518271</v>
      </c>
      <c r="EL238" s="115"/>
      <c r="EM238" s="143">
        <f t="shared" si="175"/>
        <v>2.568887346513379</v>
      </c>
      <c r="EN238" s="66"/>
      <c r="FE238" s="553">
        <v>2006</v>
      </c>
      <c r="FF238" s="554"/>
      <c r="FG238" s="554">
        <f t="shared" si="176"/>
        <v>5.949475526803211</v>
      </c>
      <c r="FH238" s="326">
        <f t="shared" si="174"/>
        <v>27.17</v>
      </c>
      <c r="FI238" s="75">
        <f>НАСТРОЙКА!DR147</f>
        <v>8.444181419843636</v>
      </c>
    </row>
    <row r="239" ht="18" customHeight="1" spans="26:165" x14ac:dyDescent="0.25">
      <c r="Z239" s="51"/>
      <c r="CQ239" s="62">
        <v>2005</v>
      </c>
      <c r="CR239" s="55">
        <f t="shared" si="182"/>
        <v>783.3787019547686</v>
      </c>
      <c r="CS239" s="46">
        <v>2.117796658296273</v>
      </c>
      <c r="CT239" s="55">
        <v>4648.3</v>
      </c>
      <c r="CU239" s="57">
        <f t="shared" si="180"/>
        <v>5.933656338117279</v>
      </c>
      <c r="CV239" s="57"/>
      <c r="CW239" s="316">
        <f t="shared" si="181"/>
        <v>12.885216573286904</v>
      </c>
      <c r="CX239" s="557">
        <f t="shared" si="183"/>
        <v>28.3</v>
      </c>
      <c r="CY239" s="75">
        <f>НАСТРОЙКА!DR146</f>
        <v>7.746955431049207</v>
      </c>
      <c r="DO239" s="215">
        <v>2007</v>
      </c>
      <c r="DP239" s="547">
        <f t="shared" si="173"/>
        <v>1199.2008172245717</v>
      </c>
      <c r="DQ239" s="55">
        <v>4775.553743761152</v>
      </c>
      <c r="DR239" s="72">
        <f t="shared" si="177"/>
        <v>0.2511124115797511</v>
      </c>
      <c r="EG239" s="548">
        <f t="shared" si="178"/>
        <v>0.2511124115797511</v>
      </c>
      <c r="EJ239" s="62">
        <v>2007</v>
      </c>
      <c r="EK239" s="143">
        <f t="shared" si="179"/>
        <v>1.725508878027588</v>
      </c>
      <c r="EL239" s="115"/>
      <c r="EM239" s="143">
        <f t="shared" si="175"/>
        <v>3.2419358312998843</v>
      </c>
      <c r="EN239" s="66"/>
      <c r="FE239" s="553">
        <v>2007</v>
      </c>
      <c r="FF239" s="554"/>
      <c r="FG239" s="554">
        <f t="shared" si="176"/>
        <v>5.972486590341231</v>
      </c>
      <c r="FH239" s="326">
        <f t="shared" si="174"/>
        <v>25.58</v>
      </c>
      <c r="FI239" s="75">
        <f>НАСТРОЙКА!DR148</f>
        <v>9.446505754379075</v>
      </c>
    </row>
    <row r="240" ht="18" customHeight="1" spans="26:165" x14ac:dyDescent="0.25">
      <c r="Z240" s="51"/>
      <c r="CQ240" s="62">
        <v>2006</v>
      </c>
      <c r="CR240" s="55">
        <f t="shared" si="182"/>
        <v>950.2383654711344</v>
      </c>
      <c r="CS240" s="46">
        <v>2.568887346513379</v>
      </c>
      <c r="CT240" s="55">
        <v>5653.4199</v>
      </c>
      <c r="CU240" s="57">
        <f t="shared" si="180"/>
        <v>5.949475526803211</v>
      </c>
      <c r="CV240" s="57"/>
      <c r="CW240" s="316">
        <f t="shared" si="181"/>
        <v>13.125636064882727</v>
      </c>
      <c r="CX240" s="557">
        <f t="shared" si="183"/>
        <v>27.17</v>
      </c>
      <c r="CY240" s="75">
        <f>НАСТРОЙКА!DR147</f>
        <v>8.444181419843636</v>
      </c>
      <c r="DO240" s="215">
        <v>2008</v>
      </c>
      <c r="DP240" s="547">
        <f t="shared" si="173"/>
        <v>1376.682538173808</v>
      </c>
      <c r="DQ240" s="55">
        <v>5014.33143094921</v>
      </c>
      <c r="DR240" s="72">
        <f t="shared" si="177"/>
        <v>0.27454956999386115</v>
      </c>
      <c r="EG240" s="548">
        <f t="shared" si="178"/>
        <v>0.27454956999386115</v>
      </c>
      <c r="EJ240" s="62">
        <v>2008</v>
      </c>
      <c r="EK240" s="143">
        <f t="shared" si="179"/>
        <v>1.8117843219289673</v>
      </c>
      <c r="EL240" s="115"/>
      <c r="EM240" s="143">
        <f t="shared" si="175"/>
        <v>3.7217423343322666</v>
      </c>
      <c r="EN240" s="66"/>
      <c r="FE240" s="553">
        <v>2008</v>
      </c>
      <c r="FF240" s="554"/>
      <c r="FG240" s="554">
        <f t="shared" si="176"/>
        <v>6.618073700626634</v>
      </c>
      <c r="FH240" s="326">
        <f t="shared" si="174"/>
        <v>24.86</v>
      </c>
      <c r="FI240" s="75">
        <f>НАСТРОЙКА!DR149</f>
        <v>10.701001718560617</v>
      </c>
    </row>
    <row r="241" ht="18" customHeight="1" spans="26:165" x14ac:dyDescent="0.25">
      <c r="Z241" s="51"/>
      <c r="CQ241" s="62">
        <v>2007</v>
      </c>
      <c r="CR241" s="55">
        <f t="shared" si="182"/>
        <v>1199.2008172245717</v>
      </c>
      <c r="CS241" s="46">
        <v>3.2419358312998843</v>
      </c>
      <c r="CT241" s="55">
        <v>7162.2108</v>
      </c>
      <c r="CU241" s="57">
        <f t="shared" si="180"/>
        <v>5.972486590341231</v>
      </c>
      <c r="CV241" s="57"/>
      <c r="CW241" s="316">
        <f t="shared" si="181"/>
        <v>13.479879315784306</v>
      </c>
      <c r="CX241" s="557">
        <f t="shared" si="183"/>
        <v>25.58</v>
      </c>
      <c r="CY241" s="75">
        <f>НАСТРОЙКА!DR148</f>
        <v>9.446505754379075</v>
      </c>
      <c r="DO241" s="215">
        <v>2009</v>
      </c>
      <c r="DP241" s="547">
        <f t="shared" si="173"/>
        <v>958.1710465689704</v>
      </c>
      <c r="DQ241" s="55">
        <v>4643.270905058968</v>
      </c>
      <c r="DR241" s="72">
        <f t="shared" si="177"/>
        <v>0.20635691222000796</v>
      </c>
      <c r="EG241" s="548">
        <f t="shared" si="178"/>
        <v>0.20635691222000796</v>
      </c>
      <c r="EJ241" s="62">
        <v>2009</v>
      </c>
      <c r="EK241" s="143">
        <f t="shared" si="179"/>
        <v>1.6777122821062238</v>
      </c>
      <c r="EL241" s="115"/>
      <c r="EM241" s="143">
        <f t="shared" si="175"/>
        <v>2.5903326646952576</v>
      </c>
      <c r="EN241" s="66"/>
      <c r="FE241" s="553">
        <v>2009</v>
      </c>
      <c r="FF241" s="554"/>
      <c r="FG241" s="554">
        <f t="shared" si="176"/>
        <v>8.301573219607233</v>
      </c>
      <c r="FH241" s="326">
        <f t="shared" si="174"/>
        <v>31.83</v>
      </c>
      <c r="FI241" s="75">
        <f>НАСТРОЙКА!DR150</f>
        <v>11.642689869793951</v>
      </c>
    </row>
    <row r="242" ht="18" customHeight="1" spans="26:165" x14ac:dyDescent="0.25">
      <c r="Z242" s="51"/>
      <c r="CQ242" s="62">
        <v>2008</v>
      </c>
      <c r="CR242" s="55">
        <f t="shared" si="182"/>
        <v>1376.682538173808</v>
      </c>
      <c r="CS242" s="46">
        <v>3.7217423343322666</v>
      </c>
      <c r="CT242" s="55">
        <v>9110.9865</v>
      </c>
      <c r="CU242" s="57">
        <f t="shared" si="180"/>
        <v>6.618073700626634</v>
      </c>
      <c r="CV242" s="57"/>
      <c r="CW242" s="316">
        <f t="shared" si="181"/>
        <v>14.240751288920462</v>
      </c>
      <c r="CX242" s="557">
        <f t="shared" si="183"/>
        <v>24.86</v>
      </c>
      <c r="CY242" s="75">
        <f>НАСТРОЙКА!DR149</f>
        <v>10.701001718560617</v>
      </c>
      <c r="DO242" s="215">
        <v>2010</v>
      </c>
      <c r="DP242" s="547">
        <f t="shared" si="173"/>
        <v>1205.3791765837648</v>
      </c>
      <c r="DQ242" s="55">
        <v>4875.434450311916</v>
      </c>
      <c r="DR242" s="72">
        <f t="shared" si="177"/>
        <v>0.2472352338788286</v>
      </c>
      <c r="EG242" s="548">
        <f t="shared" si="178"/>
        <v>0.2472352338788286</v>
      </c>
      <c r="EJ242" s="62">
        <v>2010</v>
      </c>
      <c r="EK242" s="143">
        <f t="shared" si="179"/>
        <v>1.7615978962115348</v>
      </c>
      <c r="EL242" s="115"/>
      <c r="EM242" s="143">
        <f t="shared" si="175"/>
        <v>3.258638492186634</v>
      </c>
      <c r="EN242" s="66"/>
      <c r="FE242" s="553">
        <v>2010</v>
      </c>
      <c r="FF242" s="554"/>
      <c r="FG242" s="554">
        <f t="shared" si="176"/>
        <v>8.121605375451495</v>
      </c>
      <c r="FH242" s="326">
        <f t="shared" si="174"/>
        <v>30.36</v>
      </c>
      <c r="FI242" s="75">
        <f>НАСТРОЙКА!DR151</f>
        <v>12.664918040361862</v>
      </c>
    </row>
    <row r="243" ht="18" customHeight="1" spans="26:165" x14ac:dyDescent="0.25">
      <c r="Z243" s="51"/>
      <c r="CQ243" s="62">
        <v>2009</v>
      </c>
      <c r="CR243" s="55">
        <f t="shared" si="182"/>
        <v>958.1710465689704</v>
      </c>
      <c r="CS243" s="46">
        <v>2.5903326646952576</v>
      </c>
      <c r="CT243" s="55">
        <v>7954.3271</v>
      </c>
      <c r="CU243" s="57">
        <f t="shared" si="180"/>
        <v>8.301573219607233</v>
      </c>
      <c r="CV243" s="57"/>
      <c r="CW243" s="316">
        <f t="shared" si="181"/>
        <v>16.689517402345462</v>
      </c>
      <c r="CX243" s="557">
        <f t="shared" si="183"/>
        <v>31.83</v>
      </c>
      <c r="CY243" s="75">
        <f>НАСТРОЙКА!DR150</f>
        <v>11.642689869793951</v>
      </c>
      <c r="DO243" s="215">
        <v>2011</v>
      </c>
      <c r="DP243" s="547">
        <f t="shared" si="173"/>
        <v>1450.071149430269</v>
      </c>
      <c r="DQ243" s="55">
        <v>5085.078131675329</v>
      </c>
      <c r="DR243" s="72">
        <f t="shared" si="177"/>
        <v>0.2851620195169998</v>
      </c>
      <c r="EG243" s="548">
        <f t="shared" si="178"/>
        <v>0.2851620195169998</v>
      </c>
      <c r="EJ243" s="62">
        <v>2011</v>
      </c>
      <c r="EK243" s="143">
        <f t="shared" si="179"/>
        <v>1.837346605748631</v>
      </c>
      <c r="EL243" s="115"/>
      <c r="EM243" s="143">
        <f t="shared" si="175"/>
        <v>3.920142106100521</v>
      </c>
      <c r="EN243" s="66"/>
      <c r="FE243" s="553">
        <v>2011</v>
      </c>
      <c r="FF243" s="554"/>
      <c r="FG243" s="554">
        <f t="shared" si="176"/>
        <v>8.28287419187604</v>
      </c>
      <c r="FH243" s="326">
        <f t="shared" si="174"/>
        <v>29.39</v>
      </c>
      <c r="FI243" s="75">
        <f>НАСТРОЙКА!DR152</f>
        <v>13.437478040823935</v>
      </c>
    </row>
    <row r="244" ht="18" customHeight="1" spans="26:165" x14ac:dyDescent="0.25">
      <c r="Z244" s="51"/>
      <c r="CQ244" s="62">
        <v>2010</v>
      </c>
      <c r="CR244" s="55">
        <f t="shared" si="182"/>
        <v>1205.3791765837648</v>
      </c>
      <c r="CS244" s="46">
        <v>3.258638492186634</v>
      </c>
      <c r="CT244" s="55">
        <v>9789.614</v>
      </c>
      <c r="CU244" s="57">
        <f t="shared" si="180"/>
        <v>8.121605375451495</v>
      </c>
      <c r="CV244" s="57">
        <f t="shared" ref="CV244:CV249" si="184">CU244</f>
        <v>8.121605375451495</v>
      </c>
      <c r="CW244" s="316">
        <f t="shared" si="181"/>
        <v>17.088688530271398</v>
      </c>
      <c r="CX244" s="557">
        <f t="shared" si="183"/>
        <v>30.36</v>
      </c>
      <c r="CY244" s="75">
        <f>НАСТРОЙКА!DR151</f>
        <v>12.664918040361862</v>
      </c>
      <c r="DO244" s="215">
        <v>2012</v>
      </c>
      <c r="DP244" s="547">
        <f t="shared" si="173"/>
        <v>1590.7280509250054</v>
      </c>
      <c r="DQ244" s="55">
        <v>5283.396178810667</v>
      </c>
      <c r="DR244" s="72">
        <f t="shared" si="177"/>
        <v>0.3010805923100566</v>
      </c>
      <c r="EG244" s="548">
        <f t="shared" si="178"/>
        <v>0.3010805923100566</v>
      </c>
      <c r="EJ244" s="62">
        <v>2012</v>
      </c>
      <c r="EK244" s="143">
        <f t="shared" si="179"/>
        <v>1.9090031233728277</v>
      </c>
      <c r="EL244" s="115"/>
      <c r="EM244" s="143">
        <f t="shared" si="175"/>
        <v>4.300395890392272</v>
      </c>
      <c r="EN244" s="66"/>
      <c r="FE244" s="553">
        <v>2012</v>
      </c>
      <c r="FF244" s="554"/>
      <c r="FG244" s="554">
        <f t="shared" si="176"/>
        <v>8.667019917064366</v>
      </c>
      <c r="FH244" s="326">
        <f t="shared" si="174"/>
        <v>31.08</v>
      </c>
      <c r="FI244" s="75">
        <f>НАСТРОЙКА!DR153</f>
        <v>14.321664095910151</v>
      </c>
    </row>
    <row r="245" ht="18" customHeight="1" spans="26:165" x14ac:dyDescent="0.25">
      <c r="Z245" s="51"/>
      <c r="CQ245" s="62">
        <v>2011</v>
      </c>
      <c r="CR245" s="55">
        <f t="shared" si="182"/>
        <v>1450.071149430269</v>
      </c>
      <c r="CS245" s="46">
        <v>3.920142106100521</v>
      </c>
      <c r="CT245" s="55">
        <v>12010.7569</v>
      </c>
      <c r="CU245" s="57">
        <f t="shared" si="180"/>
        <v>8.28287419187604</v>
      </c>
      <c r="CV245" s="57">
        <f t="shared" si="184"/>
        <v>8.28287419187604</v>
      </c>
      <c r="CW245" s="316">
        <f t="shared" si="181"/>
        <v>17.42560853061795</v>
      </c>
      <c r="CX245" s="557">
        <f t="shared" si="183"/>
        <v>29.39</v>
      </c>
      <c r="CY245" s="75">
        <f>НАСТРОЙКА!DR152</f>
        <v>13.437478040823935</v>
      </c>
      <c r="DO245" s="215">
        <v>2013</v>
      </c>
      <c r="DP245" s="547">
        <f t="shared" si="173"/>
        <v>1646.4035327073805</v>
      </c>
      <c r="DQ245" s="55">
        <v>5394.347498565691</v>
      </c>
      <c r="DR245" s="72">
        <f t="shared" si="177"/>
        <v>0.3052090235464335</v>
      </c>
      <c r="EG245" s="548">
        <f t="shared" si="178"/>
        <v>0.3052090235464335</v>
      </c>
      <c r="EJ245" s="62">
        <v>2013</v>
      </c>
      <c r="EK245" s="143">
        <f t="shared" si="179"/>
        <v>1.9490921889636572</v>
      </c>
      <c r="EL245" s="115"/>
      <c r="EM245" s="143">
        <f t="shared" si="175"/>
        <v>4.450909746556001</v>
      </c>
      <c r="EN245" s="66"/>
      <c r="FE245" s="553">
        <v>2013</v>
      </c>
      <c r="FF245" s="554"/>
      <c r="FG245" s="554">
        <f t="shared" si="176"/>
        <v>9.0619465420278</v>
      </c>
      <c r="FH245" s="326">
        <f t="shared" si="174"/>
        <v>31.85</v>
      </c>
      <c r="FI245" s="75">
        <f>НАСТРОЙКА!DR154</f>
        <v>15.245411430096356</v>
      </c>
    </row>
    <row r="246" ht="18" customHeight="1" spans="26:165" x14ac:dyDescent="0.25">
      <c r="Z246" s="51"/>
      <c r="CQ246" s="62">
        <v>2012</v>
      </c>
      <c r="CR246" s="55">
        <f t="shared" si="182"/>
        <v>1590.7280509250054</v>
      </c>
      <c r="CS246" s="46">
        <v>4.300395890392272</v>
      </c>
      <c r="CT246" s="55">
        <v>13786.8717</v>
      </c>
      <c r="CU246" s="57">
        <f t="shared" si="180"/>
        <v>8.667019917064366</v>
      </c>
      <c r="CV246" s="57">
        <f t="shared" si="184"/>
        <v>8.667019917064366</v>
      </c>
      <c r="CW246" s="316">
        <f t="shared" si="181"/>
        <v>18.511248071932613</v>
      </c>
      <c r="CX246" s="557">
        <f t="shared" si="183"/>
        <v>31.08</v>
      </c>
      <c r="CY246" s="75">
        <f>НАСТРОЙКА!DR153</f>
        <v>14.321664095910151</v>
      </c>
      <c r="DO246" s="215">
        <v>2014</v>
      </c>
      <c r="DP246" s="547">
        <f t="shared" si="173"/>
        <v>1526.2160748197416</v>
      </c>
      <c r="DQ246" s="55">
        <v>5437.502278554217</v>
      </c>
      <c r="DR246" s="72">
        <f t="shared" si="177"/>
        <v>0.2806832984400236</v>
      </c>
      <c r="EG246" s="548">
        <f t="shared" si="178"/>
        <v>0.2806832984400236</v>
      </c>
      <c r="EJ246" s="62">
        <v>2014</v>
      </c>
      <c r="EK246" s="143">
        <f t="shared" si="179"/>
        <v>1.9646849264753665</v>
      </c>
      <c r="EL246" s="115"/>
      <c r="EM246" s="143">
        <f t="shared" si="175"/>
        <v>4.125993335057413</v>
      </c>
      <c r="EN246" s="66"/>
      <c r="FE246" s="553">
        <v>2014</v>
      </c>
      <c r="FF246" s="554"/>
      <c r="FG246" s="554">
        <f t="shared" si="176"/>
        <v>10.713774916786438</v>
      </c>
      <c r="FH246" s="326">
        <f t="shared" si="174"/>
        <v>32.73</v>
      </c>
      <c r="FI246" s="75">
        <f>НАСТРОЙКА!DR155</f>
        <v>17.31878738458946</v>
      </c>
    </row>
    <row r="247" ht="18" customHeight="1" spans="20:165" x14ac:dyDescent="0.25">
      <c r="T247" s="520"/>
      <c r="Y247" s="520"/>
      <c r="CQ247" s="62">
        <v>2013</v>
      </c>
      <c r="CR247" s="55">
        <f t="shared" si="182"/>
        <v>1646.4035327073805</v>
      </c>
      <c r="CS247" s="46">
        <v>4.450909746556001</v>
      </c>
      <c r="CT247" s="55">
        <v>14919.6208</v>
      </c>
      <c r="CU247" s="57">
        <f t="shared" si="180"/>
        <v>9.0619465420278</v>
      </c>
      <c r="CV247" s="57">
        <f t="shared" si="184"/>
        <v>9.0619465420278</v>
      </c>
      <c r="CW247" s="316">
        <f t="shared" si="181"/>
        <v>19.396558572572268</v>
      </c>
      <c r="CX247" s="557">
        <f t="shared" si="183"/>
        <v>31.85</v>
      </c>
      <c r="CY247" s="75">
        <f>НАСТРОЙКА!DR154</f>
        <v>15.245411430096356</v>
      </c>
      <c r="DO247" s="215">
        <v>2015</v>
      </c>
      <c r="DP247" s="547">
        <f t="shared" si="173"/>
        <v>1143.1358400399865</v>
      </c>
      <c r="DQ247" s="55">
        <v>5366.814748933011</v>
      </c>
      <c r="DR247" s="72">
        <f t="shared" si="177"/>
        <v>0.21300080094384774</v>
      </c>
      <c r="EG247" s="548">
        <f t="shared" si="178"/>
        <v>0.21300080094384774</v>
      </c>
      <c r="EJ247" s="62">
        <v>2015</v>
      </c>
      <c r="EK247" s="143">
        <f t="shared" si="179"/>
        <v>1.9391440224311864</v>
      </c>
      <c r="EL247" s="115"/>
      <c r="EM247" s="143">
        <f t="shared" si="175"/>
        <v>3.0903690079580026</v>
      </c>
      <c r="EN247" s="66"/>
      <c r="FE247" s="553">
        <v>2015</v>
      </c>
      <c r="FF247" s="554"/>
      <c r="FG247" s="554">
        <f t="shared" si="176"/>
        <v>15.005583237946574</v>
      </c>
      <c r="FH247" s="326">
        <f t="shared" si="174"/>
        <v>56.26</v>
      </c>
      <c r="FI247" s="75">
        <f>НАСТРОЙКА!DR156</f>
        <v>19.5529109572015</v>
      </c>
    </row>
    <row r="248" ht="18" customHeight="1" spans="20:165" x14ac:dyDescent="0.25">
      <c r="T248" s="520"/>
      <c r="Y248" s="520"/>
      <c r="CQ248" s="62">
        <v>2014</v>
      </c>
      <c r="CR248" s="55">
        <f t="shared" si="182"/>
        <v>1526.2160748197416</v>
      </c>
      <c r="CS248" s="46">
        <v>4.125993335057413</v>
      </c>
      <c r="CT248" s="55">
        <v>16351.5355</v>
      </c>
      <c r="CU248" s="57">
        <f t="shared" si="180"/>
        <v>10.713774916786438</v>
      </c>
      <c r="CV248" s="57">
        <f t="shared" si="184"/>
        <v>10.713774916786438</v>
      </c>
      <c r="CW248" s="316">
        <f t="shared" si="181"/>
        <v>21.171590538442096</v>
      </c>
      <c r="CX248" s="557">
        <f t="shared" si="183"/>
        <v>32.73</v>
      </c>
      <c r="CY248" s="75">
        <f>НАСТРОЙКА!DR155</f>
        <v>17.31878738458946</v>
      </c>
      <c r="DO248" s="215">
        <v>2016</v>
      </c>
      <c r="DP248" s="547">
        <f t="shared" si="173"/>
        <v>1101.982949798547</v>
      </c>
      <c r="DQ248" s="55">
        <v>5431.2165259202075</v>
      </c>
      <c r="DR248" s="72">
        <f t="shared" si="177"/>
        <v>0.20289799615599724</v>
      </c>
      <c r="EG248" s="548">
        <f t="shared" si="178"/>
        <v>0.20289799615599724</v>
      </c>
      <c r="EJ248" s="62">
        <v>2016</v>
      </c>
      <c r="EK248" s="143">
        <f t="shared" si="179"/>
        <v>1.9624137507003607</v>
      </c>
      <c r="EL248" s="115"/>
      <c r="EM248" s="143">
        <f t="shared" si="175"/>
        <v>2.9791157236715144</v>
      </c>
      <c r="EN248" s="66"/>
      <c r="FE248" s="553">
        <v>2016</v>
      </c>
      <c r="FF248" s="554"/>
      <c r="FG248" s="554">
        <f t="shared" si="176"/>
        <v>16.052012422908838</v>
      </c>
      <c r="FH248" s="326">
        <f t="shared" si="174"/>
        <v>72.88</v>
      </c>
      <c r="FI248" s="75">
        <f>НАСТРОЙКА!DR157</f>
        <v>20.60681285779466</v>
      </c>
    </row>
    <row r="249" ht="18" customHeight="1" spans="20:165" x14ac:dyDescent="0.25">
      <c r="T249" s="520"/>
      <c r="Y249" s="520"/>
      <c r="CQ249" s="62">
        <v>2015</v>
      </c>
      <c r="CR249" s="55">
        <f t="shared" si="182"/>
        <v>1143.1358400399865</v>
      </c>
      <c r="CS249" s="46">
        <v>3.0903690079580026</v>
      </c>
      <c r="CT249" s="55">
        <v>17153.42</v>
      </c>
      <c r="CU249" s="57">
        <f t="shared" si="180"/>
        <v>15.005583237946574</v>
      </c>
      <c r="CV249" s="57">
        <f t="shared" si="184"/>
        <v>15.005583237946574</v>
      </c>
      <c r="CW249" s="316">
        <f t="shared" si="181"/>
        <v>28.729683217901126</v>
      </c>
      <c r="CX249" s="557">
        <f t="shared" si="183"/>
        <v>56.26</v>
      </c>
      <c r="CY249" s="75">
        <f>НАСТРОЙКА!DR156</f>
        <v>19.5529109572015</v>
      </c>
      <c r="DO249" s="215">
        <v>2017</v>
      </c>
      <c r="DP249" s="547">
        <f t="shared" si="173"/>
        <v>1293.727983063494</v>
      </c>
      <c r="DQ249" s="55">
        <v>5566.996939068213</v>
      </c>
      <c r="DR249" s="72">
        <f t="shared" si="177"/>
        <v>0.23239243657282024</v>
      </c>
      <c r="EG249" s="548">
        <f t="shared" si="178"/>
        <v>0.23239243657282024</v>
      </c>
      <c r="EJ249" s="62">
        <v>2017</v>
      </c>
      <c r="EK249" s="143">
        <f t="shared" si="179"/>
        <v>2.0114740944678697</v>
      </c>
      <c r="EL249" s="115"/>
      <c r="EM249" s="143">
        <f t="shared" si="175"/>
        <v>3.4974818595903576</v>
      </c>
      <c r="EN249" s="66"/>
      <c r="FE249" s="553">
        <v>2017</v>
      </c>
      <c r="FF249" s="554"/>
      <c r="FG249" s="554">
        <f t="shared" si="176"/>
        <v>14.742627700481556</v>
      </c>
      <c r="FH249" s="326">
        <f t="shared" si="174"/>
        <v>60.66</v>
      </c>
      <c r="FI249" s="75">
        <f>НАСТРОЙКА!DR158</f>
        <v>21.124043860525305</v>
      </c>
    </row>
    <row r="250" ht="18" customHeight="1" spans="20:165" x14ac:dyDescent="0.25">
      <c r="T250" s="520"/>
      <c r="Y250" s="520"/>
      <c r="CQ250" s="62">
        <v>2016</v>
      </c>
      <c r="CR250" s="55">
        <f t="shared" si="182"/>
        <v>1101.982949798547</v>
      </c>
      <c r="CS250" s="46">
        <v>2.9791157236715144</v>
      </c>
      <c r="CT250" s="55">
        <v>17689.044</v>
      </c>
      <c r="CU250" s="57">
        <f t="shared" si="180"/>
        <v>16.052012422908838</v>
      </c>
      <c r="CV250" s="326"/>
      <c r="CW250" s="316">
        <f t="shared" si="181"/>
        <v>33.67510964334599</v>
      </c>
      <c r="CX250" s="557">
        <f t="shared" si="183"/>
        <v>72.88</v>
      </c>
      <c r="CY250" s="75">
        <f>НАСТРОЙКА!DR157</f>
        <v>20.60681285779466</v>
      </c>
      <c r="DO250" s="215">
        <v>2018</v>
      </c>
      <c r="DP250" s="547">
        <f t="shared" si="173"/>
        <v>1328.6586386062083</v>
      </c>
      <c r="DQ250" s="55">
        <v>5706.1718625449175</v>
      </c>
      <c r="DR250" s="72">
        <f t="shared" si="177"/>
        <v>0.23284588522954772</v>
      </c>
      <c r="EG250" s="548">
        <f t="shared" si="178"/>
        <v>0.23284588522954772</v>
      </c>
      <c r="EJ250" s="62">
        <v>2018</v>
      </c>
      <c r="EK250" s="143">
        <f t="shared" si="179"/>
        <v>2.0617609468295663</v>
      </c>
      <c r="EL250" s="75">
        <f>EK250</f>
        <v>2.0617609468295663</v>
      </c>
      <c r="EM250" s="143">
        <f t="shared" si="175"/>
        <v>3.591913869799297</v>
      </c>
      <c r="EN250" s="63">
        <f>EM250</f>
        <v>3.591913869799297</v>
      </c>
      <c r="FE250" s="553">
        <v>2018</v>
      </c>
      <c r="FF250" s="554"/>
      <c r="FG250" s="554">
        <f t="shared" si="176"/>
        <v>16.237654558609506</v>
      </c>
      <c r="FH250" s="326">
        <f t="shared" si="174"/>
        <v>57.6</v>
      </c>
      <c r="FI250" s="75">
        <f>НАСТРОЙКА!DR159</f>
        <v>22.02392812898368</v>
      </c>
    </row>
    <row r="251" ht="18" customHeight="1" spans="95:165" x14ac:dyDescent="0.25">
      <c r="CQ251" s="62">
        <v>2017</v>
      </c>
      <c r="CR251" s="55">
        <f t="shared" si="182"/>
        <v>1293.727983063494</v>
      </c>
      <c r="CS251" s="272">
        <v>3.4974818595903576</v>
      </c>
      <c r="CT251" s="272">
        <v>19072.95</v>
      </c>
      <c r="CU251" s="57">
        <f t="shared" si="180"/>
        <v>14.742627700481556</v>
      </c>
      <c r="CV251" s="326"/>
      <c r="CW251" s="316">
        <f t="shared" si="181"/>
        <v>31.008032895393978</v>
      </c>
      <c r="CX251" s="557">
        <f t="shared" si="183"/>
        <v>60.66</v>
      </c>
      <c r="CY251" s="75">
        <f>НАСТРОЙКА!DR158</f>
        <v>21.124043860525305</v>
      </c>
      <c r="DO251" s="215">
        <v>2019</v>
      </c>
      <c r="DP251" s="266"/>
      <c r="DQ251" s="167"/>
      <c r="DR251" s="437">
        <f>DR250+0.001</f>
        <v>0.23384588522954772</v>
      </c>
      <c r="EG251" s="548">
        <f t="shared" si="178"/>
        <v>0.23384588522954772</v>
      </c>
      <c r="EJ251" s="62">
        <v>2019</v>
      </c>
      <c r="EK251" s="558"/>
      <c r="EL251" s="75">
        <f t="array" ref="EL251:EL267">TRANSPOSE(СЧЁТ!AM132:BC132)</f>
        <v>2.1487156906873497</v>
      </c>
      <c r="EM251" s="143"/>
      <c r="EN251" s="63">
        <f t="array" ref="EN251:EN267">TRANSPOSE(СЧЁТ!AM183:BC183)</f>
        <v>3.7594795354810144</v>
      </c>
      <c r="FE251" s="553">
        <v>2019</v>
      </c>
      <c r="FF251" s="554">
        <f t="shared" ref="FF251:FF267" si="185">0.25*FH251+0.75*FI251</f>
        <v>34.38759165807859</v>
      </c>
      <c r="FG251" s="554">
        <f>0.6044*FF251-2.3458</f>
        <v>18.438060398142703</v>
      </c>
      <c r="FH251" s="326">
        <f t="shared" si="174"/>
        <v>69.47</v>
      </c>
      <c r="FI251" s="75">
        <f>НАСТРОЙКА!DR160</f>
        <v>22.693455544104783</v>
      </c>
    </row>
    <row r="252" ht="18" customHeight="1" spans="95:165" x14ac:dyDescent="0.25">
      <c r="CQ252" s="62">
        <v>2018</v>
      </c>
      <c r="CR252" s="55">
        <f t="shared" si="182"/>
        <v>1328.6586386062083</v>
      </c>
      <c r="CS252" s="272">
        <v>3.591913869799297</v>
      </c>
      <c r="CT252" s="272">
        <v>21574.3</v>
      </c>
      <c r="CU252" s="57">
        <f t="shared" si="180"/>
        <v>16.237654558609506</v>
      </c>
      <c r="CV252" s="326"/>
      <c r="CW252" s="316">
        <f t="shared" si="181"/>
        <v>30.917946096737758</v>
      </c>
      <c r="CX252" s="557">
        <f t="shared" si="183"/>
        <v>57.6</v>
      </c>
      <c r="CY252" s="75">
        <f>НАСТРОЙКА!DR159</f>
        <v>22.02392812898368</v>
      </c>
      <c r="DO252" s="215">
        <v>2020</v>
      </c>
      <c r="DP252" s="266"/>
      <c r="DQ252" s="167"/>
      <c r="DR252" s="437">
        <f t="shared" ref="DR252:DR267" si="186">DR251+0.001</f>
        <v>0.23484588522954772</v>
      </c>
      <c r="EG252" s="548">
        <f t="shared" si="178"/>
        <v>0.23484588522954772</v>
      </c>
      <c r="EJ252" s="62">
        <v>2020</v>
      </c>
      <c r="EK252" s="558"/>
      <c r="EL252" s="75">
        <v>2.2073861787158706</v>
      </c>
      <c r="EM252" s="143"/>
      <c r="EN252" s="63">
        <v>3.878647499036463</v>
      </c>
      <c r="FE252" s="553">
        <v>2020</v>
      </c>
      <c r="FF252" s="554">
        <f t="shared" si="185"/>
        <v>33.33077815849024</v>
      </c>
      <c r="FG252" s="554">
        <f t="shared" ref="FG252:FG267" si="187">0.6044*FF252-2.3458</f>
        <v>17.799322318991504</v>
      </c>
      <c r="FH252" s="326">
        <f t="shared" si="174"/>
        <v>61.9</v>
      </c>
      <c r="FI252" s="75">
        <f>НАСТРОЙКА!DR161</f>
        <v>23.807704211320324</v>
      </c>
    </row>
    <row r="253" ht="18" customHeight="1" spans="95:165" x14ac:dyDescent="0.25">
      <c r="CQ253" s="62">
        <v>2019</v>
      </c>
      <c r="CR253" s="272"/>
      <c r="CS253" s="272"/>
      <c r="CT253" s="272"/>
      <c r="CU253" s="272"/>
      <c r="CV253" s="326"/>
      <c r="CW253" s="316">
        <f t="shared" si="181"/>
        <v>34.38759165807859</v>
      </c>
      <c r="CX253" s="557">
        <f t="shared" si="183"/>
        <v>69.47</v>
      </c>
      <c r="CY253" s="75">
        <f>НАСТРОЙКА!DR160</f>
        <v>22.693455544104783</v>
      </c>
      <c r="DO253" s="215">
        <v>2021</v>
      </c>
      <c r="DP253" s="266"/>
      <c r="DQ253" s="167"/>
      <c r="DR253" s="437">
        <f t="shared" si="186"/>
        <v>0.23584588522954772</v>
      </c>
      <c r="EG253" s="548">
        <f t="shared" si="178"/>
        <v>0.23584588522954772</v>
      </c>
      <c r="EJ253" s="62">
        <v>2021</v>
      </c>
      <c r="EK253" s="558"/>
      <c r="EL253" s="75">
        <v>2.307956895166708</v>
      </c>
      <c r="EM253" s="143"/>
      <c r="EN253" s="63">
        <v>4.072630735052377</v>
      </c>
      <c r="FE253" s="553">
        <v>2021</v>
      </c>
      <c r="FF253" s="554">
        <f t="shared" si="185"/>
        <v>37.21606706641476</v>
      </c>
      <c r="FG253" s="554">
        <f t="shared" si="187"/>
        <v>20.147590934941082</v>
      </c>
      <c r="FH253" s="326">
        <f t="shared" si="174"/>
        <v>73.87</v>
      </c>
      <c r="FI253" s="75">
        <f>НАСТРОЙКА!DR162</f>
        <v>24.99808942188634</v>
      </c>
    </row>
    <row r="254" ht="18" customHeight="1" spans="95:165" x14ac:dyDescent="0.25">
      <c r="CQ254" s="62">
        <v>2020</v>
      </c>
      <c r="CR254" s="272"/>
      <c r="CS254" s="272"/>
      <c r="CT254" s="272"/>
      <c r="CU254" s="272"/>
      <c r="CV254" s="326"/>
      <c r="CW254" s="316">
        <f t="shared" si="181"/>
        <v>33.33077815849024</v>
      </c>
      <c r="CX254" s="557">
        <f t="shared" si="183"/>
        <v>61.9</v>
      </c>
      <c r="CY254" s="75">
        <f>НАСТРОЙКА!DR161</f>
        <v>23.807704211320324</v>
      </c>
      <c r="DO254" s="215">
        <v>2022</v>
      </c>
      <c r="DP254" s="266"/>
      <c r="DQ254" s="167"/>
      <c r="DR254" s="437">
        <f t="shared" si="186"/>
        <v>0.23684588522954772</v>
      </c>
      <c r="EG254" s="548">
        <f t="shared" si="178"/>
        <v>0.23684588522954772</v>
      </c>
      <c r="EJ254" s="62">
        <v>2022</v>
      </c>
      <c r="EK254" s="558"/>
      <c r="EL254" s="75">
        <v>2.3892515838213932</v>
      </c>
      <c r="EM254" s="143"/>
      <c r="EN254" s="63">
        <v>4.233960130056751</v>
      </c>
      <c r="FE254" s="553">
        <v>2022</v>
      </c>
      <c r="FF254" s="554">
        <f t="shared" si="185"/>
        <v>38.478495419735495</v>
      </c>
      <c r="FG254" s="554">
        <f t="shared" si="187"/>
        <v>20.910602631688135</v>
      </c>
      <c r="FH254" s="326">
        <f t="shared" si="174"/>
        <v>75.17</v>
      </c>
      <c r="FI254" s="75">
        <f>НАСТРОЙКА!DR163</f>
        <v>26.24799389298066</v>
      </c>
    </row>
    <row r="255" ht="18" customHeight="1" spans="95:165" x14ac:dyDescent="0.25">
      <c r="CQ255" s="62">
        <v>2021</v>
      </c>
      <c r="CR255" s="272"/>
      <c r="CS255" s="272"/>
      <c r="CT255" s="272"/>
      <c r="CU255" s="272"/>
      <c r="CV255" s="326"/>
      <c r="CW255" s="316">
        <f t="shared" si="181"/>
        <v>37.21606706641476</v>
      </c>
      <c r="CX255" s="557">
        <f t="shared" si="183"/>
        <v>73.87</v>
      </c>
      <c r="CY255" s="75">
        <f>НАСТРОЙКА!DR162</f>
        <v>24.99808942188634</v>
      </c>
      <c r="DO255" s="215">
        <v>2023</v>
      </c>
      <c r="DP255" s="266"/>
      <c r="DQ255" s="167"/>
      <c r="DR255" s="437">
        <f t="shared" si="186"/>
        <v>0.23784588522954772</v>
      </c>
      <c r="EG255" s="548">
        <f t="shared" si="178"/>
        <v>0.23784588522954772</v>
      </c>
      <c r="EJ255" s="62">
        <v>2023</v>
      </c>
      <c r="EK255" s="558"/>
      <c r="EL255" s="75">
        <v>2.469495872293494</v>
      </c>
      <c r="EM255" s="143"/>
      <c r="EN255" s="63">
        <v>4.394636763568665</v>
      </c>
      <c r="FE255" s="553">
        <v>2023</v>
      </c>
      <c r="FF255" s="554">
        <f t="shared" si="185"/>
        <v>39.78779519072227</v>
      </c>
      <c r="FG255" s="554">
        <f t="shared" si="187"/>
        <v>21.70194341327254</v>
      </c>
      <c r="FH255" s="326">
        <f t="shared" si="174"/>
        <v>76.47</v>
      </c>
      <c r="FI255" s="75">
        <f>НАСТРОЙКА!DR164</f>
        <v>27.560393587629694</v>
      </c>
    </row>
    <row r="256" ht="18" customHeight="1" spans="95:165" x14ac:dyDescent="0.25">
      <c r="CQ256" s="62">
        <v>2022</v>
      </c>
      <c r="CR256" s="272"/>
      <c r="CS256" s="272"/>
      <c r="CT256" s="272"/>
      <c r="CU256" s="272"/>
      <c r="CV256" s="326"/>
      <c r="CW256" s="316">
        <f t="shared" si="181"/>
        <v>38.478495419735495</v>
      </c>
      <c r="CX256" s="557">
        <f t="shared" si="183"/>
        <v>75.17</v>
      </c>
      <c r="CY256" s="75">
        <f>НАСТРОЙКА!DR163</f>
        <v>26.24799389298066</v>
      </c>
      <c r="DO256" s="215">
        <v>2024</v>
      </c>
      <c r="DP256" s="266"/>
      <c r="DQ256" s="167"/>
      <c r="DR256" s="437">
        <f t="shared" si="186"/>
        <v>0.23884588522954772</v>
      </c>
      <c r="EG256" s="548">
        <f t="shared" si="178"/>
        <v>0.23884588522954772</v>
      </c>
      <c r="EJ256" s="62">
        <v>2024</v>
      </c>
      <c r="EK256" s="558"/>
      <c r="EL256" s="75">
        <v>2.550601408051534</v>
      </c>
      <c r="EM256" s="143"/>
      <c r="EN256" s="63">
        <v>4.558053268608086</v>
      </c>
      <c r="FE256" s="559">
        <v>2024</v>
      </c>
      <c r="FF256" s="554">
        <f t="shared" si="185"/>
        <v>41.146309950258384</v>
      </c>
      <c r="FG256" s="554">
        <f t="shared" si="187"/>
        <v>22.52302973393617</v>
      </c>
      <c r="FH256" s="326">
        <f t="shared" si="174"/>
        <v>77.77</v>
      </c>
      <c r="FI256" s="75">
        <f>НАСТРОЙКА!DR165</f>
        <v>28.938413267011178</v>
      </c>
    </row>
    <row r="257" ht="18" customHeight="1" spans="95:165" x14ac:dyDescent="0.25">
      <c r="CQ257" s="62">
        <v>2023</v>
      </c>
      <c r="CR257" s="272"/>
      <c r="CS257" s="272"/>
      <c r="CT257" s="272"/>
      <c r="CU257" s="272"/>
      <c r="CV257" s="326"/>
      <c r="CW257" s="316">
        <f t="shared" si="181"/>
        <v>39.78779519072227</v>
      </c>
      <c r="CX257" s="557">
        <f t="shared" si="183"/>
        <v>76.47</v>
      </c>
      <c r="CY257" s="75">
        <f>НАСТРОЙКА!DR164</f>
        <v>27.560393587629694</v>
      </c>
      <c r="DO257" s="215">
        <v>2025</v>
      </c>
      <c r="DP257" s="266"/>
      <c r="DQ257" s="167"/>
      <c r="DR257" s="437">
        <f t="shared" si="186"/>
        <v>0.23984588522954772</v>
      </c>
      <c r="EG257" s="548">
        <f t="shared" si="178"/>
        <v>0.23984588522954772</v>
      </c>
      <c r="EJ257" s="62">
        <v>2025</v>
      </c>
      <c r="EK257" s="558"/>
      <c r="EL257" s="75">
        <v>2.633816811648495</v>
      </c>
      <c r="EM257" s="143"/>
      <c r="EN257" s="63">
        <v>4.72646966685831</v>
      </c>
      <c r="FE257" s="553">
        <v>2025</v>
      </c>
      <c r="FF257" s="554">
        <f t="shared" si="185"/>
        <v>42.5565004477713</v>
      </c>
      <c r="FG257" s="554">
        <f t="shared" si="187"/>
        <v>23.375348870632976</v>
      </c>
      <c r="FH257" s="326">
        <f t="shared" si="174"/>
        <v>79.07</v>
      </c>
      <c r="FI257" s="75">
        <f>НАСТРОЙКА!DR166</f>
        <v>30.38533393036174</v>
      </c>
    </row>
    <row r="258" ht="18" customHeight="1" spans="95:165" x14ac:dyDescent="0.25">
      <c r="CQ258" s="62">
        <v>2024</v>
      </c>
      <c r="CR258" s="272"/>
      <c r="CS258" s="272"/>
      <c r="CT258" s="272"/>
      <c r="CU258" s="272"/>
      <c r="CV258" s="326"/>
      <c r="CW258" s="316">
        <f t="shared" si="181"/>
        <v>41.146309950258384</v>
      </c>
      <c r="CX258" s="557">
        <f t="shared" si="183"/>
        <v>77.77</v>
      </c>
      <c r="CY258" s="75">
        <f>НАСТРОЙКА!DR165</f>
        <v>28.938413267011178</v>
      </c>
      <c r="DO258" s="215">
        <v>2026</v>
      </c>
      <c r="DP258" s="266"/>
      <c r="DQ258" s="167"/>
      <c r="DR258" s="437">
        <f t="shared" si="186"/>
        <v>0.24084588522954772</v>
      </c>
      <c r="EG258" s="548">
        <f t="shared" si="178"/>
        <v>0.24084588522954772</v>
      </c>
      <c r="EJ258" s="62">
        <v>2026</v>
      </c>
      <c r="EK258" s="558"/>
      <c r="EL258" s="75">
        <v>2.719987389145966</v>
      </c>
      <c r="EM258" s="143"/>
      <c r="EN258" s="63">
        <v>4.9014565702932025</v>
      </c>
      <c r="FE258" s="559">
        <v>2026</v>
      </c>
      <c r="FF258" s="554">
        <f t="shared" si="185"/>
        <v>44.02095047015987</v>
      </c>
      <c r="FG258" s="554">
        <f t="shared" si="187"/>
        <v>24.260462464164625</v>
      </c>
      <c r="FH258" s="326">
        <f t="shared" si="174"/>
        <v>80.36999999999999</v>
      </c>
      <c r="FI258" s="75">
        <f>НАСТРОЙКА!DR167</f>
        <v>31.904600626879827</v>
      </c>
    </row>
    <row r="259" ht="18" customHeight="1" spans="95:165" x14ac:dyDescent="0.25">
      <c r="CQ259" s="62">
        <v>2025</v>
      </c>
      <c r="CR259" s="272"/>
      <c r="CS259" s="272"/>
      <c r="CT259" s="272"/>
      <c r="CU259" s="272"/>
      <c r="CV259" s="326"/>
      <c r="CW259" s="316">
        <f t="shared" si="181"/>
        <v>42.5565004477713</v>
      </c>
      <c r="CX259" s="557">
        <f t="shared" si="183"/>
        <v>79.07</v>
      </c>
      <c r="CY259" s="75">
        <f>НАСТРОЙКА!DR166</f>
        <v>30.38533393036174</v>
      </c>
      <c r="DO259" s="215">
        <v>2027</v>
      </c>
      <c r="DP259" s="266"/>
      <c r="DQ259" s="167"/>
      <c r="DR259" s="437">
        <f t="shared" si="186"/>
        <v>0.24184588522954772</v>
      </c>
      <c r="EG259" s="548">
        <f t="shared" si="178"/>
        <v>0.24184588522954772</v>
      </c>
      <c r="EJ259" s="62">
        <v>2027</v>
      </c>
      <c r="EK259" s="558"/>
      <c r="EL259" s="75">
        <v>2.8097146980585723</v>
      </c>
      <c r="EM259" s="143"/>
      <c r="EN259" s="63">
        <v>5.08416882714889</v>
      </c>
      <c r="FE259" s="553">
        <v>2027</v>
      </c>
      <c r="FF259" s="554">
        <f t="shared" si="185"/>
        <v>45.54237299366786</v>
      </c>
      <c r="FG259" s="554">
        <f t="shared" si="187"/>
        <v>25.18001023737286</v>
      </c>
      <c r="FH259" s="326">
        <f t="shared" si="174"/>
        <v>81.66999999999999</v>
      </c>
      <c r="FI259" s="75">
        <f>НАСТРОЙКА!DR168</f>
        <v>33.49983065822382</v>
      </c>
    </row>
    <row r="260" ht="18" customHeight="1" spans="95:165" x14ac:dyDescent="0.25">
      <c r="CQ260" s="62">
        <v>2026</v>
      </c>
      <c r="CR260" s="272"/>
      <c r="CS260" s="272"/>
      <c r="CT260" s="272"/>
      <c r="CU260" s="272"/>
      <c r="CV260" s="326"/>
      <c r="CW260" s="316">
        <f t="shared" si="181"/>
        <v>44.02095047015987</v>
      </c>
      <c r="CX260" s="557">
        <f t="shared" si="183"/>
        <v>80.36999999999999</v>
      </c>
      <c r="CY260" s="75">
        <f>НАСТРОЙКА!DR167</f>
        <v>31.904600626879827</v>
      </c>
      <c r="DO260" s="215">
        <v>2028</v>
      </c>
      <c r="DP260" s="266"/>
      <c r="DQ260" s="167"/>
      <c r="DR260" s="437">
        <f t="shared" si="186"/>
        <v>0.24284588522954773</v>
      </c>
      <c r="EG260" s="548">
        <f t="shared" si="178"/>
        <v>0.24284588522954773</v>
      </c>
      <c r="EJ260" s="62">
        <v>2028</v>
      </c>
      <c r="EK260" s="558"/>
      <c r="EL260" s="75">
        <v>2.903454697008972</v>
      </c>
      <c r="EM260" s="143"/>
      <c r="EN260" s="63">
        <v>5.275514739074813</v>
      </c>
      <c r="FE260" s="559">
        <v>2028</v>
      </c>
      <c r="FF260" s="554">
        <f t="shared" si="185"/>
        <v>47.123616643351255</v>
      </c>
      <c r="FG260" s="554">
        <f t="shared" si="187"/>
        <v>26.1357138992415</v>
      </c>
      <c r="FH260" s="326">
        <f t="shared" si="174"/>
        <v>82.96999999999998</v>
      </c>
      <c r="FI260" s="75">
        <f>НАСТРОЙКА!DR169</f>
        <v>35.174822191135014</v>
      </c>
    </row>
    <row r="261" ht="18" customHeight="1" spans="95:165" x14ac:dyDescent="0.25">
      <c r="CQ261" s="62">
        <v>2027</v>
      </c>
      <c r="CR261" s="272"/>
      <c r="CS261" s="272"/>
      <c r="CT261" s="272"/>
      <c r="CU261" s="272"/>
      <c r="CV261" s="326"/>
      <c r="CW261" s="316">
        <f t="shared" si="181"/>
        <v>45.54237299366786</v>
      </c>
      <c r="CX261" s="557">
        <f t="shared" si="183"/>
        <v>81.66999999999999</v>
      </c>
      <c r="CY261" s="75">
        <f>НАСТРОЙКА!DR168</f>
        <v>33.49983065822382</v>
      </c>
      <c r="DO261" s="215">
        <v>2029</v>
      </c>
      <c r="DP261" s="266"/>
      <c r="DQ261" s="167"/>
      <c r="DR261" s="437">
        <f t="shared" si="186"/>
        <v>0.24384588522954773</v>
      </c>
      <c r="EG261" s="548">
        <f t="shared" si="178"/>
        <v>0.24384588522954773</v>
      </c>
      <c r="EJ261" s="62">
        <v>2029</v>
      </c>
      <c r="EK261" s="558"/>
      <c r="EL261" s="75">
        <v>3.0015782195814724</v>
      </c>
      <c r="EM261" s="143"/>
      <c r="EN261" s="63">
        <v>5.476260946420598</v>
      </c>
      <c r="FE261" s="553">
        <v>2029</v>
      </c>
      <c r="FF261" s="554">
        <f t="shared" si="185"/>
        <v>48.76767247551882</v>
      </c>
      <c r="FG261" s="554">
        <f t="shared" si="187"/>
        <v>27.12938124420358</v>
      </c>
      <c r="FH261" s="326">
        <f t="shared" si="174"/>
        <v>84.26999999999998</v>
      </c>
      <c r="FI261" s="75">
        <f>НАСТРОЙКА!DR170</f>
        <v>36.933563300691766</v>
      </c>
    </row>
    <row r="262" ht="18" customHeight="1" spans="95:165" x14ac:dyDescent="0.25">
      <c r="CQ262" s="62">
        <v>2028</v>
      </c>
      <c r="CR262" s="272"/>
      <c r="CS262" s="272"/>
      <c r="CT262" s="272"/>
      <c r="CU262" s="272"/>
      <c r="CV262" s="326"/>
      <c r="CW262" s="316">
        <f t="shared" si="181"/>
        <v>47.123616643351255</v>
      </c>
      <c r="CX262" s="557">
        <f t="shared" si="183"/>
        <v>82.96999999999998</v>
      </c>
      <c r="CY262" s="75">
        <f>НАСТРОЙКА!DR169</f>
        <v>35.174822191135014</v>
      </c>
      <c r="DO262" s="215">
        <v>2030</v>
      </c>
      <c r="DP262" s="266"/>
      <c r="DQ262" s="167"/>
      <c r="DR262" s="437">
        <f t="shared" si="186"/>
        <v>0.24484588522954773</v>
      </c>
      <c r="EG262" s="548">
        <f t="shared" si="178"/>
        <v>0.24484588522954773</v>
      </c>
      <c r="EJ262" s="62">
        <v>2030</v>
      </c>
      <c r="EK262" s="558"/>
      <c r="EL262" s="75">
        <v>3.1044083305237553</v>
      </c>
      <c r="EM262" s="143"/>
      <c r="EN262" s="63">
        <v>5.687097678113633</v>
      </c>
      <c r="FE262" s="559">
        <v>2030</v>
      </c>
      <c r="FF262" s="554">
        <f t="shared" si="185"/>
        <v>50.477681099294756</v>
      </c>
      <c r="FG262" s="554">
        <f t="shared" si="187"/>
        <v>28.16291045641375</v>
      </c>
      <c r="FH262" s="326">
        <f t="shared" si="174"/>
        <v>85.56999999999998</v>
      </c>
      <c r="FI262" s="75">
        <f>НАСТРОЙКА!DR171</f>
        <v>38.780241465726355</v>
      </c>
    </row>
    <row r="263" ht="18" customHeight="1" spans="95:165" x14ac:dyDescent="0.25">
      <c r="CQ263" s="62">
        <v>2029</v>
      </c>
      <c r="CR263" s="272"/>
      <c r="CS263" s="272"/>
      <c r="CT263" s="272"/>
      <c r="CU263" s="272"/>
      <c r="CV263" s="326"/>
      <c r="CW263" s="316">
        <f t="shared" si="181"/>
        <v>48.76767247551882</v>
      </c>
      <c r="CX263" s="557">
        <f t="shared" si="183"/>
        <v>84.26999999999998</v>
      </c>
      <c r="CY263" s="75">
        <f>НАСТРОЙКА!DR170</f>
        <v>36.933563300691766</v>
      </c>
      <c r="DO263" s="215">
        <v>2031</v>
      </c>
      <c r="DP263" s="266"/>
      <c r="DQ263" s="167"/>
      <c r="DR263" s="437">
        <f t="shared" si="186"/>
        <v>0.24584588522954773</v>
      </c>
      <c r="EG263" s="548">
        <f t="shared" si="178"/>
        <v>0.24584588522954773</v>
      </c>
      <c r="EJ263" s="62">
        <v>2031</v>
      </c>
      <c r="EK263" s="558"/>
      <c r="EL263" s="75">
        <v>3.21224349535125</v>
      </c>
      <c r="EM263" s="143"/>
      <c r="EN263" s="63">
        <v>5.908679583360757</v>
      </c>
      <c r="FE263" s="553">
        <v>2031</v>
      </c>
      <c r="FF263" s="554">
        <f t="shared" si="185"/>
        <v>52.2569401542595</v>
      </c>
      <c r="FG263" s="554">
        <f t="shared" si="187"/>
        <v>29.238294629234446</v>
      </c>
      <c r="FH263" s="326">
        <f t="shared" si="174"/>
        <v>86.86999999999998</v>
      </c>
      <c r="FI263" s="75">
        <f>НАСТРОЙКА!DR172</f>
        <v>40.719253539012676</v>
      </c>
    </row>
    <row r="264" ht="18" customHeight="1" spans="95:165" x14ac:dyDescent="0.25">
      <c r="CQ264" s="34">
        <v>2030</v>
      </c>
      <c r="CR264" s="297"/>
      <c r="CS264" s="297"/>
      <c r="CT264" s="297"/>
      <c r="CU264" s="297"/>
      <c r="CV264" s="388"/>
      <c r="CW264" s="386">
        <f t="shared" si="181"/>
        <v>50.477681099294756</v>
      </c>
      <c r="CX264" s="557">
        <f t="shared" si="183"/>
        <v>85.56999999999998</v>
      </c>
      <c r="CY264" s="36">
        <f>НАСТРОЙКА!DR171</f>
        <v>38.780241465726355</v>
      </c>
      <c r="DO264" s="215">
        <v>2032</v>
      </c>
      <c r="DP264" s="266"/>
      <c r="DQ264" s="167"/>
      <c r="DR264" s="437">
        <f t="shared" si="186"/>
        <v>0.24684588522954773</v>
      </c>
      <c r="EG264" s="548">
        <f t="shared" si="178"/>
        <v>0.24684588522954773</v>
      </c>
      <c r="EJ264" s="62">
        <v>2032</v>
      </c>
      <c r="EK264" s="558"/>
      <c r="EL264" s="75">
        <v>3.325372044683123</v>
      </c>
      <c r="EM264" s="143"/>
      <c r="EN264" s="63">
        <v>6.141651525665542</v>
      </c>
      <c r="FE264" s="559">
        <v>2032</v>
      </c>
      <c r="FF264" s="554">
        <f t="shared" si="185"/>
        <v>54.10891216197248</v>
      </c>
      <c r="FG264" s="554">
        <f t="shared" si="187"/>
        <v>30.357626510696168</v>
      </c>
      <c r="FH264" s="326">
        <f t="shared" si="174"/>
        <v>88.16999999999997</v>
      </c>
      <c r="FI264" s="75">
        <f>НАСТРОЙКА!DR173</f>
        <v>42.755216215963316</v>
      </c>
    </row>
    <row r="265" ht="18" customHeight="1" spans="119:165" x14ac:dyDescent="0.25">
      <c r="DO265" s="215">
        <v>2033</v>
      </c>
      <c r="DP265" s="266"/>
      <c r="DQ265" s="167"/>
      <c r="DR265" s="437">
        <f t="shared" si="186"/>
        <v>0.24784588522954773</v>
      </c>
      <c r="EG265" s="548">
        <f t="shared" si="178"/>
        <v>0.24784588522954773</v>
      </c>
      <c r="EJ265" s="62">
        <v>2033</v>
      </c>
      <c r="EK265" s="558"/>
      <c r="EL265" s="75">
        <v>3.444081298944994</v>
      </c>
      <c r="EM265" s="143"/>
      <c r="EN265" s="63">
        <v>6.386665124425428</v>
      </c>
      <c r="FE265" s="553">
        <v>2033</v>
      </c>
      <c r="FF265" s="554">
        <f t="shared" si="185"/>
        <v>56.03723277007111</v>
      </c>
      <c r="FG265" s="554">
        <f t="shared" si="187"/>
        <v>31.523103486230976</v>
      </c>
      <c r="FH265" s="326">
        <f t="shared" si="174"/>
        <v>89.46999999999997</v>
      </c>
      <c r="FI265" s="75">
        <f>НАСТРОЙКА!DR174</f>
        <v>44.892977026761486</v>
      </c>
    </row>
    <row r="266" ht="18" customHeight="1" spans="119:165" x14ac:dyDescent="0.25">
      <c r="DO266" s="215">
        <v>2034</v>
      </c>
      <c r="DP266" s="266"/>
      <c r="DQ266" s="167"/>
      <c r="DR266" s="437">
        <f t="shared" si="186"/>
        <v>0.24884588522954773</v>
      </c>
      <c r="EG266" s="548">
        <f t="shared" si="178"/>
        <v>0.24884588522954773</v>
      </c>
      <c r="EJ266" s="62">
        <v>2034</v>
      </c>
      <c r="EK266" s="558"/>
      <c r="EL266" s="75">
        <v>3.568663421035937</v>
      </c>
      <c r="EM266" s="143"/>
      <c r="EN266" s="63">
        <v>6.644389614049055</v>
      </c>
      <c r="FE266" s="559">
        <v>2034</v>
      </c>
      <c r="FF266" s="554">
        <f t="shared" si="185"/>
        <v>58.04571940857467</v>
      </c>
      <c r="FG266" s="554">
        <f t="shared" si="187"/>
        <v>32.73703281054254</v>
      </c>
      <c r="FH266" s="326">
        <f t="shared" si="174"/>
        <v>90.76999999999997</v>
      </c>
      <c r="FI266" s="75">
        <f>НАСТРОЙКА!DR175</f>
        <v>47.13762587809956</v>
      </c>
    </row>
    <row r="267" ht="18" customHeight="1" spans="119:165" x14ac:dyDescent="0.25">
      <c r="DO267" s="34">
        <v>2035</v>
      </c>
      <c r="DP267" s="86"/>
      <c r="DQ267" s="179"/>
      <c r="DR267" s="437">
        <f t="shared" si="186"/>
        <v>0.24984588522954773</v>
      </c>
      <c r="EG267" s="560">
        <f t="shared" si="178"/>
        <v>0.24984588522954773</v>
      </c>
      <c r="EJ267" s="34">
        <v>2035</v>
      </c>
      <c r="EK267" s="185"/>
      <c r="EL267" s="36">
        <v>3.699419267874434</v>
      </c>
      <c r="EM267" s="180"/>
      <c r="EN267" s="87">
        <v>6.915519225011411</v>
      </c>
      <c r="FE267" s="561">
        <v>2035</v>
      </c>
      <c r="FF267" s="562">
        <f t="shared" si="185"/>
        <v>60.1383803790034</v>
      </c>
      <c r="FG267" s="563">
        <f t="shared" si="187"/>
        <v>34.00183710106966</v>
      </c>
      <c r="FH267" s="388">
        <f t="shared" si="174"/>
        <v>92.06999999999996</v>
      </c>
      <c r="FI267" s="36">
        <f>НАСТРОЙКА!DR176</f>
        <v>49.494507172004546</v>
      </c>
    </row>
    <row r="271" ht="16.25" customHeight="1" x14ac:dyDescent="0.25"/>
    <row r="272" ht="21" customHeight="1" spans="142:145" x14ac:dyDescent="0.25">
      <c r="EL272" s="530" t="s">
        <v>13</v>
      </c>
      <c r="EM272" s="564" t="s">
        <v>708</v>
      </c>
      <c r="EN272" s="564" t="s">
        <v>708</v>
      </c>
      <c r="EO272" s="565" t="s">
        <v>709</v>
      </c>
    </row>
    <row r="273" ht="21" customHeight="1" spans="95:145" x14ac:dyDescent="0.25">
      <c r="CQ273" s="536" t="s">
        <v>697</v>
      </c>
      <c r="CR273" s="537"/>
      <c r="CS273" s="538" t="s">
        <v>698</v>
      </c>
      <c r="CT273" s="538"/>
      <c r="CU273" s="538"/>
      <c r="CV273" s="537"/>
      <c r="CW273" s="566"/>
      <c r="CX273" s="539"/>
      <c r="CY273" s="539"/>
      <c r="CZ273" s="539"/>
      <c r="DA273" s="567">
        <v>0.42</v>
      </c>
      <c r="EL273" s="41">
        <v>43929</v>
      </c>
      <c r="EM273" s="568" t="s">
        <v>127</v>
      </c>
      <c r="EN273" s="568" t="s">
        <v>50</v>
      </c>
      <c r="EO273" s="568" t="s">
        <v>710</v>
      </c>
    </row>
    <row r="274" ht="20.5" customHeight="1" spans="95:145" x14ac:dyDescent="0.25">
      <c r="CQ274" s="212" t="s">
        <v>13</v>
      </c>
      <c r="CR274" s="213" t="s">
        <v>711</v>
      </c>
      <c r="CS274" s="300" t="s">
        <v>712</v>
      </c>
      <c r="CT274" s="214" t="s">
        <v>709</v>
      </c>
      <c r="CU274" s="214" t="s">
        <v>713</v>
      </c>
      <c r="CV274" s="214" t="s">
        <v>714</v>
      </c>
      <c r="CW274" s="214" t="s">
        <v>715</v>
      </c>
      <c r="CX274" s="300" t="s">
        <v>716</v>
      </c>
      <c r="CY274" s="214" t="s">
        <v>713</v>
      </c>
      <c r="CZ274" s="214" t="s">
        <v>713</v>
      </c>
      <c r="DA274" s="546" t="s">
        <v>717</v>
      </c>
      <c r="DP274" s="565" t="s">
        <v>713</v>
      </c>
      <c r="DT274" s="28" t="s">
        <v>13</v>
      </c>
      <c r="DU274" s="32" t="s">
        <v>718</v>
      </c>
      <c r="DV274" s="32" t="s">
        <v>719</v>
      </c>
      <c r="EL274" s="43">
        <v>1995</v>
      </c>
      <c r="EM274" s="139">
        <v>1</v>
      </c>
      <c r="EN274" s="105"/>
      <c r="EO274" s="201"/>
    </row>
    <row r="275" ht="18" customHeight="1" spans="95:145" x14ac:dyDescent="0.25">
      <c r="CQ275" s="228">
        <v>43671</v>
      </c>
      <c r="CR275" s="542" t="s">
        <v>55</v>
      </c>
      <c r="CS275" s="476" t="s">
        <v>55</v>
      </c>
      <c r="CT275" s="476" t="s">
        <v>56</v>
      </c>
      <c r="CU275" s="476" t="s">
        <v>55</v>
      </c>
      <c r="CV275" s="476" t="s">
        <v>55</v>
      </c>
      <c r="CW275" s="476" t="s">
        <v>720</v>
      </c>
      <c r="CX275" s="569" t="s">
        <v>399</v>
      </c>
      <c r="CY275" s="476" t="s">
        <v>117</v>
      </c>
      <c r="CZ275" s="476" t="s">
        <v>118</v>
      </c>
      <c r="DA275" s="325" t="s">
        <v>55</v>
      </c>
      <c r="DP275" s="570" t="s">
        <v>699</v>
      </c>
      <c r="DT275" s="324">
        <v>43929</v>
      </c>
      <c r="DU275" s="40" t="s">
        <v>721</v>
      </c>
      <c r="DV275" s="40" t="s">
        <v>721</v>
      </c>
      <c r="EL275" s="62">
        <v>1996</v>
      </c>
      <c r="EM275" s="143">
        <f t="shared" ref="EM275:EM297" si="188">CS277</f>
        <v>1.037</v>
      </c>
      <c r="EN275" s="114"/>
      <c r="EO275" s="75"/>
    </row>
    <row r="276" ht="17.5" customHeight="1" spans="95:145" x14ac:dyDescent="0.25">
      <c r="CQ276" s="332">
        <v>1995</v>
      </c>
      <c r="CR276" s="46">
        <f t="array" ref="CR276:CR299">TRANSPOSE(U139:AR139)</f>
        <v>1.05</v>
      </c>
      <c r="CS276" s="272">
        <v>1</v>
      </c>
      <c r="CT276" s="55">
        <f t="array" ref="CT276:CT299">TRANSPOSE(U62:AR62)</f>
        <v>418.4685</v>
      </c>
      <c r="CU276" s="272">
        <v>1</v>
      </c>
      <c r="CV276" s="272"/>
      <c r="CW276" s="326">
        <f>DN321</f>
        <v>3.6</v>
      </c>
      <c r="CX276" s="57">
        <f t="shared" ref="CX276:CX310" si="189">GW319</f>
        <v>17.1</v>
      </c>
      <c r="CY276" s="272">
        <f>CU276</f>
        <v>1</v>
      </c>
      <c r="CZ276" s="272"/>
      <c r="DA276" s="571">
        <f>DA273*CX276+(1-DA273)*CW276</f>
        <v>9.270000000000001</v>
      </c>
      <c r="DC276" s="31">
        <v>1.05</v>
      </c>
      <c r="DD276" s="31">
        <v>1.05</v>
      </c>
      <c r="DE276" s="31">
        <v>1.05</v>
      </c>
      <c r="DF276" s="31">
        <v>1.05</v>
      </c>
      <c r="DG276" s="31">
        <v>1.05</v>
      </c>
      <c r="DH276" s="31">
        <v>1.05</v>
      </c>
      <c r="DI276" s="31">
        <v>1.05</v>
      </c>
      <c r="DJ276" s="31">
        <v>1.05</v>
      </c>
      <c r="DK276" s="31">
        <v>1.05</v>
      </c>
      <c r="DL276" s="31">
        <v>1.05</v>
      </c>
      <c r="DP276" s="572">
        <v>1</v>
      </c>
      <c r="DS276" s="224">
        <f>CU372</f>
        <v>2876.5161000000003</v>
      </c>
      <c r="DT276" s="215">
        <v>1995</v>
      </c>
      <c r="DU276" s="139">
        <f t="shared" ref="DU276:DU299" si="190">CT276/1000</f>
        <v>0.4184685</v>
      </c>
      <c r="DV276" s="573">
        <f>DS276/1000</f>
        <v>2.8765161000000004</v>
      </c>
      <c r="EK276" s="24"/>
      <c r="EL276" s="62">
        <v>1997</v>
      </c>
      <c r="EM276" s="143">
        <f t="shared" si="188"/>
        <v>1.031815</v>
      </c>
      <c r="EN276" s="114"/>
      <c r="EO276" s="75"/>
    </row>
    <row r="277" ht="17.5" customHeight="1" spans="95:145" x14ac:dyDescent="0.25">
      <c r="CQ277" s="332">
        <v>1996</v>
      </c>
      <c r="CR277" s="46">
        <v>1.037</v>
      </c>
      <c r="CS277" s="272">
        <f>CS276*CR277</f>
        <v>1.037</v>
      </c>
      <c r="CT277" s="55">
        <v>523.4631</v>
      </c>
      <c r="CU277" s="57">
        <f t="shared" ref="CU277:CU299" si="191">CT277/(CT$276*CS277)</f>
        <v>1.2062700474653716</v>
      </c>
      <c r="CV277" s="46">
        <f>CU277/CU276</f>
        <v>1.2062700474653716</v>
      </c>
      <c r="CW277" s="326">
        <f t="shared" ref="CW277:CW311" si="192">FB320</f>
        <v>4.6</v>
      </c>
      <c r="CX277" s="57">
        <f t="shared" si="189"/>
        <v>20.5</v>
      </c>
      <c r="CY277" s="57">
        <f>CU277</f>
        <v>1.2062700474653716</v>
      </c>
      <c r="CZ277" s="272"/>
      <c r="DA277" s="571">
        <f t="shared" ref="DA277:DA311" si="193">DA$273*CX277+(1-DA$273)*CW277</f>
        <v>11.277999999999999</v>
      </c>
      <c r="DB277" s="31">
        <v>1.05</v>
      </c>
      <c r="DC277" s="31">
        <v>1.037</v>
      </c>
      <c r="DD277" s="31">
        <v>1.037</v>
      </c>
      <c r="DE277" s="31">
        <v>1.037</v>
      </c>
      <c r="DF277" s="31">
        <v>1.037</v>
      </c>
      <c r="DG277" s="31">
        <v>1.037</v>
      </c>
      <c r="DH277" s="31">
        <v>1.037</v>
      </c>
      <c r="DI277" s="31">
        <v>1.037</v>
      </c>
      <c r="DJ277" s="31">
        <v>1.037</v>
      </c>
      <c r="DK277" s="31">
        <v>1.037</v>
      </c>
      <c r="DL277" s="31">
        <v>1.037</v>
      </c>
      <c r="DP277" s="574">
        <f t="shared" ref="DP277:DP297" si="194">CU277</f>
        <v>1.2062700474653716</v>
      </c>
      <c r="DS277" s="224">
        <f t="shared" ref="DS277:DS299" si="195">CU373</f>
        <v>3978.7420000000006</v>
      </c>
      <c r="DT277" s="215">
        <v>1996</v>
      </c>
      <c r="DU277" s="216">
        <f t="shared" si="190"/>
        <v>0.5234631000000001</v>
      </c>
      <c r="DV277" s="575">
        <f>DS277/1000</f>
        <v>3.9787420000000004</v>
      </c>
      <c r="EL277" s="62">
        <v>1998</v>
      </c>
      <c r="EM277" s="143">
        <f t="shared" si="188"/>
        <v>1.0514194849999998</v>
      </c>
      <c r="EN277" s="143">
        <f>EM277</f>
        <v>1.0514194849999998</v>
      </c>
      <c r="EO277" s="75"/>
    </row>
    <row r="278" ht="17.5" customHeight="1" spans="95:145" x14ac:dyDescent="0.25">
      <c r="CQ278" s="332">
        <v>1997</v>
      </c>
      <c r="CR278" s="46">
        <v>0.995</v>
      </c>
      <c r="CS278" s="46">
        <f>CS277*CR278</f>
        <v>1.031815</v>
      </c>
      <c r="CT278" s="55">
        <v>579.2865</v>
      </c>
      <c r="CU278" s="57">
        <f t="shared" si="191"/>
        <v>1.3416177583578945</v>
      </c>
      <c r="CV278" s="46">
        <f t="shared" ref="CV278:CV299" si="196">CU278/CU277</f>
        <v>1.1122034913964058</v>
      </c>
      <c r="CW278" s="326">
        <f t="shared" si="192"/>
        <v>5.5</v>
      </c>
      <c r="CX278" s="57">
        <f t="shared" si="189"/>
        <v>19.1</v>
      </c>
      <c r="CY278" s="57">
        <f t="shared" ref="CY278:CY292" si="197">CU278</f>
        <v>1.3416177583578945</v>
      </c>
      <c r="CZ278" s="272"/>
      <c r="DA278" s="571">
        <f t="shared" si="193"/>
        <v>11.212</v>
      </c>
      <c r="DB278" s="31">
        <v>1.037</v>
      </c>
      <c r="DC278" s="31">
        <v>0.995</v>
      </c>
      <c r="DD278" s="31">
        <v>0.995</v>
      </c>
      <c r="DE278" s="31">
        <v>0.995</v>
      </c>
      <c r="DF278" s="31">
        <v>0.995</v>
      </c>
      <c r="DG278" s="31">
        <v>0.995</v>
      </c>
      <c r="DH278" s="31">
        <v>0.995</v>
      </c>
      <c r="DI278" s="31">
        <v>0.995</v>
      </c>
      <c r="DJ278" s="31">
        <v>0.995</v>
      </c>
      <c r="DK278" s="31">
        <v>0.995</v>
      </c>
      <c r="DL278" s="31">
        <v>0.995</v>
      </c>
      <c r="DP278" s="574">
        <f t="shared" si="194"/>
        <v>1.3416177583578945</v>
      </c>
      <c r="DS278" s="224">
        <f t="shared" si="195"/>
        <v>4542.1257</v>
      </c>
      <c r="DT278" s="215">
        <v>1997</v>
      </c>
      <c r="DU278" s="216">
        <f t="shared" si="190"/>
        <v>0.5792865</v>
      </c>
      <c r="DV278" s="575">
        <f t="shared" ref="DV278:DV299" si="198">DS278/1000</f>
        <v>4.5421257</v>
      </c>
      <c r="EL278" s="62">
        <v>1999</v>
      </c>
      <c r="EM278" s="143">
        <f t="shared" si="188"/>
        <v>1.1691784673199999</v>
      </c>
      <c r="EN278" s="143">
        <f t="shared" ref="EN278:EN286" si="199">EM278</f>
        <v>1.1691784673199999</v>
      </c>
      <c r="EO278" s="75"/>
    </row>
    <row r="279" ht="17.5" customHeight="1" spans="95:145" x14ac:dyDescent="0.25">
      <c r="CQ279" s="332">
        <v>1998</v>
      </c>
      <c r="CR279" s="46">
        <v>1.019</v>
      </c>
      <c r="CS279" s="46">
        <f t="shared" ref="CS279:CS299" si="200">CS278*CR279</f>
        <v>1.0514194849999998</v>
      </c>
      <c r="CT279" s="55">
        <v>821.0434</v>
      </c>
      <c r="CU279" s="57">
        <f t="shared" si="191"/>
        <v>1.86606737883619</v>
      </c>
      <c r="CV279" s="46">
        <f t="shared" si="196"/>
        <v>1.390908377003155</v>
      </c>
      <c r="CW279" s="326">
        <f t="shared" si="192"/>
        <v>9.7</v>
      </c>
      <c r="CX279" s="57">
        <f t="shared" si="189"/>
        <v>12.7</v>
      </c>
      <c r="CY279" s="57">
        <f t="shared" si="197"/>
        <v>1.86606737883619</v>
      </c>
      <c r="CZ279" s="272"/>
      <c r="DA279" s="571">
        <f t="shared" si="193"/>
        <v>10.96</v>
      </c>
      <c r="DB279" s="31">
        <v>0.995</v>
      </c>
      <c r="DC279" s="31">
        <v>1.019</v>
      </c>
      <c r="DD279" s="31">
        <v>1.019</v>
      </c>
      <c r="DE279" s="31">
        <v>1.019</v>
      </c>
      <c r="DF279" s="31">
        <v>1.019</v>
      </c>
      <c r="DG279" s="31">
        <v>1.019</v>
      </c>
      <c r="DH279" s="31">
        <v>1.019</v>
      </c>
      <c r="DI279" s="31">
        <v>1.019</v>
      </c>
      <c r="DJ279" s="31">
        <v>1.019</v>
      </c>
      <c r="DK279" s="31">
        <v>1.019</v>
      </c>
      <c r="DL279" s="31">
        <v>1.019</v>
      </c>
      <c r="DP279" s="574">
        <f t="shared" si="194"/>
        <v>1.86606737883619</v>
      </c>
      <c r="DS279" s="224">
        <f t="shared" si="195"/>
        <v>4820.3403</v>
      </c>
      <c r="DT279" s="215">
        <v>1998</v>
      </c>
      <c r="DU279" s="216">
        <f t="shared" si="190"/>
        <v>0.8210434</v>
      </c>
      <c r="DV279" s="575">
        <f t="shared" si="198"/>
        <v>4.8203403</v>
      </c>
      <c r="EL279" s="62">
        <v>2000</v>
      </c>
      <c r="EM279" s="143">
        <f t="shared" si="188"/>
        <v>1.2802504217153998</v>
      </c>
      <c r="EN279" s="143">
        <f t="shared" si="199"/>
        <v>1.2802504217153998</v>
      </c>
      <c r="EO279" s="75"/>
    </row>
    <row r="280" ht="17.5" customHeight="1" spans="95:145" x14ac:dyDescent="0.25">
      <c r="CQ280" s="332">
        <v>1999</v>
      </c>
      <c r="CR280" s="46">
        <v>1.112</v>
      </c>
      <c r="CS280" s="46">
        <f t="shared" si="200"/>
        <v>1.1691784673199999</v>
      </c>
      <c r="CT280" s="55">
        <v>2084.5851</v>
      </c>
      <c r="CU280" s="57">
        <f t="shared" si="191"/>
        <v>4.260651853603475</v>
      </c>
      <c r="CV280" s="46">
        <f t="shared" si="196"/>
        <v>2.2832250871137973</v>
      </c>
      <c r="CW280" s="326">
        <f t="shared" si="192"/>
        <v>24.62</v>
      </c>
      <c r="CX280" s="57">
        <f t="shared" si="189"/>
        <v>17.7</v>
      </c>
      <c r="CY280" s="57">
        <f t="shared" si="197"/>
        <v>4.260651853603475</v>
      </c>
      <c r="CZ280" s="272"/>
      <c r="DA280" s="571">
        <f t="shared" si="193"/>
        <v>21.7136</v>
      </c>
      <c r="DB280" s="31">
        <v>1.019</v>
      </c>
      <c r="DC280" s="31">
        <v>1.112</v>
      </c>
      <c r="DD280" s="31">
        <v>1.112</v>
      </c>
      <c r="DE280" s="31">
        <v>1.112</v>
      </c>
      <c r="DF280" s="31">
        <v>1.112</v>
      </c>
      <c r="DG280" s="31">
        <v>1.112</v>
      </c>
      <c r="DH280" s="31">
        <v>1.112</v>
      </c>
      <c r="DI280" s="31">
        <v>1.112</v>
      </c>
      <c r="DJ280" s="31">
        <v>1.112</v>
      </c>
      <c r="DK280" s="31">
        <v>1.112</v>
      </c>
      <c r="DL280" s="31">
        <v>1.112</v>
      </c>
      <c r="DP280" s="574">
        <f t="shared" si="194"/>
        <v>4.260651853603475</v>
      </c>
      <c r="DS280" s="224">
        <f t="shared" si="195"/>
        <v>8798.5622</v>
      </c>
      <c r="DT280" s="215">
        <v>1999</v>
      </c>
      <c r="DU280" s="216">
        <f t="shared" si="190"/>
        <v>2.0845851</v>
      </c>
      <c r="DV280" s="575">
        <f t="shared" si="198"/>
        <v>8.798562200000001</v>
      </c>
      <c r="EL280" s="62">
        <v>2001</v>
      </c>
      <c r="EM280" s="143">
        <f t="shared" si="188"/>
        <v>1.3340209394274467</v>
      </c>
      <c r="EN280" s="143">
        <f t="shared" si="199"/>
        <v>1.3340209394274467</v>
      </c>
      <c r="EO280" s="75"/>
    </row>
    <row r="281" ht="17.5" customHeight="1" spans="95:145" x14ac:dyDescent="0.25">
      <c r="CQ281" s="332">
        <v>2000</v>
      </c>
      <c r="CR281" s="46">
        <v>1.095</v>
      </c>
      <c r="CS281" s="46">
        <f t="shared" si="200"/>
        <v>1.2802504217153998</v>
      </c>
      <c r="CT281" s="55">
        <v>3218.8663</v>
      </c>
      <c r="CU281" s="57">
        <f t="shared" si="191"/>
        <v>6.00821185960683</v>
      </c>
      <c r="CV281" s="46">
        <f t="shared" si="196"/>
        <v>1.4101625915586942</v>
      </c>
      <c r="CW281" s="326">
        <f t="shared" si="192"/>
        <v>28.14</v>
      </c>
      <c r="CX281" s="57">
        <f t="shared" si="189"/>
        <v>28.3</v>
      </c>
      <c r="CY281" s="57">
        <f t="shared" si="197"/>
        <v>6.00821185960683</v>
      </c>
      <c r="CZ281" s="272"/>
      <c r="DA281" s="571">
        <f t="shared" si="193"/>
        <v>28.2072</v>
      </c>
      <c r="DB281" s="31">
        <v>1.112</v>
      </c>
      <c r="DC281" s="31">
        <v>1.095</v>
      </c>
      <c r="DD281" s="31">
        <v>1.095</v>
      </c>
      <c r="DE281" s="31">
        <v>1.095</v>
      </c>
      <c r="DF281" s="31">
        <v>1.095</v>
      </c>
      <c r="DG281" s="31">
        <v>1.095</v>
      </c>
      <c r="DH281" s="31">
        <v>1.095</v>
      </c>
      <c r="DI281" s="31">
        <v>1.095</v>
      </c>
      <c r="DJ281" s="31">
        <v>1.095</v>
      </c>
      <c r="DK281" s="31">
        <v>1.095</v>
      </c>
      <c r="DL281" s="31">
        <v>1.095</v>
      </c>
      <c r="DP281" s="574">
        <f t="shared" si="194"/>
        <v>6.00821185960683</v>
      </c>
      <c r="DS281" s="224">
        <f t="shared" si="195"/>
        <v>13385.6595</v>
      </c>
      <c r="DT281" s="215">
        <v>2000</v>
      </c>
      <c r="DU281" s="216">
        <f t="shared" si="190"/>
        <v>3.2188663</v>
      </c>
      <c r="DV281" s="575">
        <f t="shared" si="198"/>
        <v>13.3856595</v>
      </c>
      <c r="EL281" s="62">
        <v>2002</v>
      </c>
      <c r="EM281" s="143">
        <f t="shared" si="188"/>
        <v>1.4714250961884736</v>
      </c>
      <c r="EN281" s="143">
        <f t="shared" si="199"/>
        <v>1.4714250961884736</v>
      </c>
      <c r="EO281" s="75"/>
    </row>
    <row r="282" ht="17.5" customHeight="1" spans="95:145" x14ac:dyDescent="0.25">
      <c r="CQ282" s="332">
        <v>2001</v>
      </c>
      <c r="CR282" s="46">
        <v>1.042</v>
      </c>
      <c r="CS282" s="46">
        <f t="shared" si="200"/>
        <v>1.3340209394274467</v>
      </c>
      <c r="CT282" s="55">
        <v>3299.5617</v>
      </c>
      <c r="CU282" s="57">
        <f t="shared" si="191"/>
        <v>5.910590005019161</v>
      </c>
      <c r="CV282" s="46">
        <f t="shared" si="196"/>
        <v>0.9837519287154336</v>
      </c>
      <c r="CW282" s="326">
        <f t="shared" si="192"/>
        <v>29.17</v>
      </c>
      <c r="CX282" s="57">
        <f t="shared" si="189"/>
        <v>24.4</v>
      </c>
      <c r="CY282" s="57">
        <f t="shared" si="197"/>
        <v>5.910590005019161</v>
      </c>
      <c r="CZ282" s="272"/>
      <c r="DA282" s="571">
        <f t="shared" si="193"/>
        <v>27.166600000000003</v>
      </c>
      <c r="DB282" s="31">
        <v>1.095</v>
      </c>
      <c r="DC282" s="31">
        <v>1.042</v>
      </c>
      <c r="DD282" s="31">
        <v>1.042</v>
      </c>
      <c r="DE282" s="31">
        <v>1.042</v>
      </c>
      <c r="DF282" s="31">
        <v>1.042</v>
      </c>
      <c r="DG282" s="31">
        <v>1.042</v>
      </c>
      <c r="DH282" s="31">
        <v>1.042</v>
      </c>
      <c r="DI282" s="31">
        <v>1.042</v>
      </c>
      <c r="DJ282" s="31">
        <v>1.042</v>
      </c>
      <c r="DK282" s="31">
        <v>1.042</v>
      </c>
      <c r="DL282" s="31">
        <v>1.042</v>
      </c>
      <c r="DP282" s="574">
        <f t="shared" si="194"/>
        <v>5.910590005019161</v>
      </c>
      <c r="DS282" s="224">
        <f t="shared" si="195"/>
        <v>17020.2773</v>
      </c>
      <c r="DT282" s="215">
        <v>2001</v>
      </c>
      <c r="DU282" s="216">
        <f t="shared" si="190"/>
        <v>3.2995617000000004</v>
      </c>
      <c r="DV282" s="575">
        <f t="shared" si="198"/>
        <v>17.0202773</v>
      </c>
      <c r="EL282" s="62">
        <v>2003</v>
      </c>
      <c r="EM282" s="143">
        <f t="shared" si="188"/>
        <v>1.6568246583082211</v>
      </c>
      <c r="EN282" s="143">
        <f t="shared" si="199"/>
        <v>1.6568246583082211</v>
      </c>
      <c r="EO282" s="75"/>
    </row>
    <row r="283" ht="17.5" customHeight="1" spans="95:145" x14ac:dyDescent="0.25">
      <c r="CQ283" s="332">
        <v>2002</v>
      </c>
      <c r="CR283" s="46">
        <v>1.103</v>
      </c>
      <c r="CS283" s="46">
        <f t="shared" si="200"/>
        <v>1.4714250961884736</v>
      </c>
      <c r="CT283" s="55">
        <v>3813.7</v>
      </c>
      <c r="CU283" s="57">
        <f t="shared" si="191"/>
        <v>6.193634820546727</v>
      </c>
      <c r="CV283" s="46">
        <f t="shared" si="196"/>
        <v>1.047887743065787</v>
      </c>
      <c r="CW283" s="326">
        <f t="shared" si="192"/>
        <v>31.35</v>
      </c>
      <c r="CX283" s="57">
        <f t="shared" si="189"/>
        <v>25</v>
      </c>
      <c r="CY283" s="57">
        <f t="shared" si="197"/>
        <v>6.193634820546727</v>
      </c>
      <c r="CZ283" s="272"/>
      <c r="DA283" s="571">
        <f t="shared" si="193"/>
        <v>28.683000000000003</v>
      </c>
      <c r="DB283" s="31">
        <v>1.042</v>
      </c>
      <c r="DC283" s="31">
        <v>1.103</v>
      </c>
      <c r="DD283" s="31">
        <v>1.103</v>
      </c>
      <c r="DE283" s="31">
        <v>1.103</v>
      </c>
      <c r="DF283" s="31">
        <v>1.103</v>
      </c>
      <c r="DG283" s="31">
        <v>1.103</v>
      </c>
      <c r="DH283" s="31">
        <v>1.103</v>
      </c>
      <c r="DI283" s="31">
        <v>1.103</v>
      </c>
      <c r="DJ283" s="31">
        <v>1.103</v>
      </c>
      <c r="DK283" s="31">
        <v>1.103</v>
      </c>
      <c r="DL283" s="31">
        <v>1.103</v>
      </c>
      <c r="DP283" s="574">
        <f t="shared" si="194"/>
        <v>6.193634820546727</v>
      </c>
      <c r="DS283" s="224">
        <f t="shared" si="195"/>
        <v>20222.973599999998</v>
      </c>
      <c r="DT283" s="215">
        <v>2002</v>
      </c>
      <c r="DU283" s="216">
        <f t="shared" si="190"/>
        <v>3.8137</v>
      </c>
      <c r="DV283" s="575">
        <f t="shared" si="198"/>
        <v>20.222973599999996</v>
      </c>
      <c r="EL283" s="62">
        <v>2004</v>
      </c>
      <c r="EM283" s="143">
        <f t="shared" si="188"/>
        <v>1.8523299679885914</v>
      </c>
      <c r="EN283" s="143">
        <f t="shared" si="199"/>
        <v>1.8523299679885914</v>
      </c>
      <c r="EO283" s="75"/>
    </row>
    <row r="284" ht="17.5" customHeight="1" spans="95:145" x14ac:dyDescent="0.25">
      <c r="CQ284" s="332">
        <v>2003</v>
      </c>
      <c r="CR284" s="46">
        <v>1.126</v>
      </c>
      <c r="CS284" s="46">
        <f t="shared" si="200"/>
        <v>1.6568246583082211</v>
      </c>
      <c r="CT284" s="55">
        <v>4655.8803</v>
      </c>
      <c r="CU284" s="57">
        <f t="shared" si="191"/>
        <v>6.715254624075821</v>
      </c>
      <c r="CV284" s="46">
        <f t="shared" si="196"/>
        <v>1.0842186888059133</v>
      </c>
      <c r="CW284" s="326">
        <f t="shared" si="192"/>
        <v>30.69</v>
      </c>
      <c r="CX284" s="57">
        <f t="shared" si="189"/>
        <v>28.9</v>
      </c>
      <c r="CY284" s="57">
        <f t="shared" si="197"/>
        <v>6.715254624075821</v>
      </c>
      <c r="CZ284" s="272"/>
      <c r="DA284" s="571">
        <f t="shared" si="193"/>
        <v>29.938200000000002</v>
      </c>
      <c r="DB284" s="31">
        <v>1.103</v>
      </c>
      <c r="DC284" s="31">
        <v>1.126</v>
      </c>
      <c r="DD284" s="31">
        <v>1.126</v>
      </c>
      <c r="DE284" s="31">
        <v>1.126</v>
      </c>
      <c r="DF284" s="31">
        <v>1.126</v>
      </c>
      <c r="DG284" s="31">
        <v>1.126</v>
      </c>
      <c r="DH284" s="31">
        <v>1.126</v>
      </c>
      <c r="DI284" s="31">
        <v>1.126</v>
      </c>
      <c r="DJ284" s="31">
        <v>1.126</v>
      </c>
      <c r="DK284" s="31">
        <v>1.126</v>
      </c>
      <c r="DL284" s="31">
        <v>1.126</v>
      </c>
      <c r="DP284" s="574">
        <f t="shared" si="194"/>
        <v>6.715254624075821</v>
      </c>
      <c r="DS284" s="224">
        <f t="shared" si="195"/>
        <v>24861.5895</v>
      </c>
      <c r="DT284" s="215">
        <v>2003</v>
      </c>
      <c r="DU284" s="216">
        <f t="shared" si="190"/>
        <v>4.6558803</v>
      </c>
      <c r="DV284" s="575">
        <f t="shared" si="198"/>
        <v>24.861589499999997</v>
      </c>
      <c r="EL284" s="62">
        <v>2005</v>
      </c>
      <c r="EM284" s="143">
        <f t="shared" si="188"/>
        <v>1.9727314159078497</v>
      </c>
      <c r="EN284" s="143">
        <f t="shared" si="199"/>
        <v>1.9727314159078497</v>
      </c>
      <c r="EO284" s="75"/>
    </row>
    <row r="285" ht="17.5" customHeight="1" spans="95:145" x14ac:dyDescent="0.25">
      <c r="CQ285" s="332">
        <v>2004</v>
      </c>
      <c r="CR285" s="46">
        <v>1.118</v>
      </c>
      <c r="CS285" s="46">
        <f t="shared" si="200"/>
        <v>1.8523299679885914</v>
      </c>
      <c r="CT285" s="55">
        <v>5860.3969</v>
      </c>
      <c r="CU285" s="57">
        <f t="shared" si="191"/>
        <v>7.560419692709162</v>
      </c>
      <c r="CV285" s="46">
        <f t="shared" si="196"/>
        <v>1.1258574865654711</v>
      </c>
      <c r="CW285" s="326">
        <f t="shared" si="192"/>
        <v>28.81</v>
      </c>
      <c r="CX285" s="57">
        <f t="shared" si="189"/>
        <v>38.3</v>
      </c>
      <c r="CY285" s="57">
        <f t="shared" si="197"/>
        <v>7.560419692709162</v>
      </c>
      <c r="CZ285" s="272"/>
      <c r="DA285" s="571">
        <f t="shared" si="193"/>
        <v>32.7958</v>
      </c>
      <c r="DB285" s="31">
        <v>1.126</v>
      </c>
      <c r="DC285" s="31">
        <v>1.118</v>
      </c>
      <c r="DD285" s="31">
        <v>1.118</v>
      </c>
      <c r="DE285" s="31">
        <v>1.118</v>
      </c>
      <c r="DF285" s="31">
        <v>1.118</v>
      </c>
      <c r="DG285" s="31">
        <v>1.118</v>
      </c>
      <c r="DH285" s="31">
        <v>1.118</v>
      </c>
      <c r="DI285" s="31">
        <v>1.118</v>
      </c>
      <c r="DJ285" s="31">
        <v>1.118</v>
      </c>
      <c r="DK285" s="31">
        <v>1.118</v>
      </c>
      <c r="DL285" s="31">
        <v>1.118</v>
      </c>
      <c r="DP285" s="574">
        <f t="shared" si="194"/>
        <v>7.560419692709162</v>
      </c>
      <c r="DS285" s="224">
        <f t="shared" si="195"/>
        <v>31659.022599999997</v>
      </c>
      <c r="DT285" s="215">
        <v>2004</v>
      </c>
      <c r="DU285" s="216">
        <f t="shared" si="190"/>
        <v>5.8603969</v>
      </c>
      <c r="DV285" s="575">
        <f t="shared" si="198"/>
        <v>31.659022599999997</v>
      </c>
      <c r="EL285" s="62">
        <v>2006</v>
      </c>
      <c r="EM285" s="143">
        <f t="shared" si="188"/>
        <v>2.1167408092691224</v>
      </c>
      <c r="EN285" s="143">
        <f t="shared" si="199"/>
        <v>2.1167408092691224</v>
      </c>
      <c r="EO285" s="75"/>
    </row>
    <row r="286" ht="17.5" customHeight="1" spans="95:145" x14ac:dyDescent="0.25">
      <c r="CQ286" s="332">
        <v>2005</v>
      </c>
      <c r="CR286" s="46">
        <v>1.065</v>
      </c>
      <c r="CS286" s="46">
        <f t="shared" si="200"/>
        <v>1.9727314159078497</v>
      </c>
      <c r="CT286" s="55">
        <v>7607.2565</v>
      </c>
      <c r="CU286" s="57">
        <f t="shared" si="191"/>
        <v>9.215042167890525</v>
      </c>
      <c r="CV286" s="46">
        <f t="shared" si="196"/>
        <v>1.2188532571514499</v>
      </c>
      <c r="CW286" s="326">
        <f t="shared" si="192"/>
        <v>28.3</v>
      </c>
      <c r="CX286" s="57">
        <f t="shared" si="189"/>
        <v>54.4</v>
      </c>
      <c r="CY286" s="57">
        <f t="shared" si="197"/>
        <v>9.215042167890525</v>
      </c>
      <c r="CZ286" s="272"/>
      <c r="DA286" s="571">
        <f t="shared" si="193"/>
        <v>39.262</v>
      </c>
      <c r="DB286" s="31">
        <v>1.118</v>
      </c>
      <c r="DC286" s="31">
        <v>1.065</v>
      </c>
      <c r="DD286" s="31">
        <v>1.065</v>
      </c>
      <c r="DE286" s="31">
        <v>1.065</v>
      </c>
      <c r="DF286" s="31">
        <v>1.065</v>
      </c>
      <c r="DG286" s="31">
        <v>1.065</v>
      </c>
      <c r="DH286" s="31">
        <v>1.065</v>
      </c>
      <c r="DI286" s="31">
        <v>1.065</v>
      </c>
      <c r="DJ286" s="31">
        <v>1.065</v>
      </c>
      <c r="DK286" s="31">
        <v>1.065</v>
      </c>
      <c r="DL286" s="31">
        <v>1.065</v>
      </c>
      <c r="DP286" s="574">
        <f t="shared" si="194"/>
        <v>9.215042167890525</v>
      </c>
      <c r="DS286" s="224">
        <f t="shared" si="195"/>
        <v>40112.702</v>
      </c>
      <c r="DT286" s="215">
        <v>2005</v>
      </c>
      <c r="DU286" s="216">
        <f t="shared" si="190"/>
        <v>7.6072565</v>
      </c>
      <c r="DV286" s="575">
        <f t="shared" si="198"/>
        <v>40.112702</v>
      </c>
      <c r="EL286" s="62">
        <v>2007</v>
      </c>
      <c r="EM286" s="143">
        <f t="shared" si="188"/>
        <v>2.2500954802530773</v>
      </c>
      <c r="EN286" s="143">
        <f t="shared" si="199"/>
        <v>2.2500954802530773</v>
      </c>
      <c r="EO286" s="75"/>
    </row>
    <row r="287" ht="17.5" customHeight="1" spans="95:145" x14ac:dyDescent="0.25">
      <c r="CQ287" s="332">
        <v>2006</v>
      </c>
      <c r="CR287" s="46">
        <v>1.073</v>
      </c>
      <c r="CS287" s="46">
        <f t="shared" si="200"/>
        <v>2.1167408092691224</v>
      </c>
      <c r="CT287" s="55">
        <v>9079.3</v>
      </c>
      <c r="CU287" s="57">
        <f t="shared" si="191"/>
        <v>10.24995388150444</v>
      </c>
      <c r="CV287" s="46">
        <f t="shared" si="196"/>
        <v>1.1123067800188726</v>
      </c>
      <c r="CW287" s="326">
        <f t="shared" si="192"/>
        <v>27.17</v>
      </c>
      <c r="CX287" s="57">
        <f t="shared" si="189"/>
        <v>65.4</v>
      </c>
      <c r="CY287" s="57">
        <f t="shared" si="197"/>
        <v>10.24995388150444</v>
      </c>
      <c r="CZ287" s="272"/>
      <c r="DA287" s="571">
        <f t="shared" si="193"/>
        <v>43.226600000000005</v>
      </c>
      <c r="DB287" s="31">
        <v>1.065</v>
      </c>
      <c r="DC287" s="31">
        <v>1.073</v>
      </c>
      <c r="DD287" s="31">
        <v>1.073</v>
      </c>
      <c r="DE287" s="31">
        <v>1.073</v>
      </c>
      <c r="DF287" s="31">
        <v>1.073</v>
      </c>
      <c r="DG287" s="31">
        <v>1.073</v>
      </c>
      <c r="DH287" s="31">
        <v>1.073</v>
      </c>
      <c r="DI287" s="31">
        <v>1.073</v>
      </c>
      <c r="DJ287" s="31">
        <v>1.073</v>
      </c>
      <c r="DK287" s="31">
        <v>1.073</v>
      </c>
      <c r="DL287" s="31">
        <v>1.073</v>
      </c>
      <c r="DP287" s="574">
        <f t="shared" si="194"/>
        <v>10.24995388150444</v>
      </c>
      <c r="DS287" s="224">
        <f t="shared" si="195"/>
        <v>50163.7265</v>
      </c>
      <c r="DT287" s="215">
        <v>2006</v>
      </c>
      <c r="DU287" s="216">
        <f t="shared" si="190"/>
        <v>9.0793</v>
      </c>
      <c r="DV287" s="575">
        <f t="shared" si="198"/>
        <v>50.163726499999996</v>
      </c>
      <c r="EL287" s="62">
        <v>2008</v>
      </c>
      <c r="EM287" s="143">
        <f t="shared" si="188"/>
        <v>2.2635960531345956</v>
      </c>
      <c r="EN287" s="114"/>
      <c r="EO287" s="75"/>
    </row>
    <row r="288" ht="17.5" customHeight="1" spans="95:145" x14ac:dyDescent="0.25">
      <c r="CQ288" s="332">
        <v>2007</v>
      </c>
      <c r="CR288" s="46">
        <v>1.063</v>
      </c>
      <c r="CS288" s="46">
        <f t="shared" si="200"/>
        <v>2.2500954802530773</v>
      </c>
      <c r="CT288" s="55">
        <v>10028.7621</v>
      </c>
      <c r="CU288" s="57">
        <f t="shared" si="191"/>
        <v>10.650833844352405</v>
      </c>
      <c r="CV288" s="46">
        <f t="shared" si="196"/>
        <v>1.0391104162499047</v>
      </c>
      <c r="CW288" s="326">
        <f t="shared" si="192"/>
        <v>25.58</v>
      </c>
      <c r="CX288" s="57">
        <f t="shared" si="189"/>
        <v>72.7</v>
      </c>
      <c r="CY288" s="57">
        <f t="shared" si="197"/>
        <v>10.650833844352405</v>
      </c>
      <c r="CZ288" s="272"/>
      <c r="DA288" s="571">
        <f t="shared" si="193"/>
        <v>45.370400000000004</v>
      </c>
      <c r="DB288" s="31">
        <v>1.073</v>
      </c>
      <c r="DC288" s="31">
        <v>1.063</v>
      </c>
      <c r="DD288" s="31">
        <v>1.063</v>
      </c>
      <c r="DE288" s="31">
        <v>1.063</v>
      </c>
      <c r="DF288" s="31">
        <v>1.063</v>
      </c>
      <c r="DG288" s="31">
        <v>1.063</v>
      </c>
      <c r="DH288" s="31">
        <v>1.063</v>
      </c>
      <c r="DI288" s="31">
        <v>1.063</v>
      </c>
      <c r="DJ288" s="31">
        <v>1.063</v>
      </c>
      <c r="DK288" s="31">
        <v>1.063</v>
      </c>
      <c r="DL288" s="31">
        <v>1.063</v>
      </c>
      <c r="DP288" s="574">
        <f t="shared" si="194"/>
        <v>10.650833844352405</v>
      </c>
      <c r="DS288" s="224">
        <f t="shared" si="195"/>
        <v>62515.1745</v>
      </c>
      <c r="DT288" s="215">
        <v>2007</v>
      </c>
      <c r="DU288" s="216">
        <f t="shared" si="190"/>
        <v>10.0287621</v>
      </c>
      <c r="DV288" s="575">
        <f t="shared" si="198"/>
        <v>62.5151745</v>
      </c>
      <c r="EL288" s="62">
        <v>2009</v>
      </c>
      <c r="EM288" s="143">
        <f t="shared" si="188"/>
        <v>2.1572070386372695</v>
      </c>
      <c r="EN288" s="114"/>
      <c r="EO288" s="75"/>
    </row>
    <row r="289" ht="17.5" customHeight="1" spans="95:145" x14ac:dyDescent="0.25">
      <c r="CQ289" s="332">
        <v>2008</v>
      </c>
      <c r="CR289" s="46">
        <v>1.006</v>
      </c>
      <c r="CS289" s="46">
        <f t="shared" si="200"/>
        <v>2.2635960531345956</v>
      </c>
      <c r="CT289" s="55">
        <v>12923.5537</v>
      </c>
      <c r="CU289" s="57">
        <f t="shared" si="191"/>
        <v>13.643325842032947</v>
      </c>
      <c r="CV289" s="46">
        <f t="shared" si="196"/>
        <v>1.2809631660217202</v>
      </c>
      <c r="CW289" s="326">
        <f t="shared" si="192"/>
        <v>24.86</v>
      </c>
      <c r="CX289" s="57">
        <f t="shared" si="189"/>
        <v>97.7</v>
      </c>
      <c r="CY289" s="57">
        <f t="shared" si="197"/>
        <v>13.643325842032947</v>
      </c>
      <c r="CZ289" s="272"/>
      <c r="DA289" s="571">
        <f t="shared" si="193"/>
        <v>55.452799999999996</v>
      </c>
      <c r="DB289" s="31">
        <v>1.063</v>
      </c>
      <c r="DC289" s="31">
        <v>1.006</v>
      </c>
      <c r="DD289" s="31">
        <v>1.006</v>
      </c>
      <c r="DE289" s="31">
        <v>1.006</v>
      </c>
      <c r="DF289" s="31">
        <v>1.006</v>
      </c>
      <c r="DG289" s="31">
        <v>1.006</v>
      </c>
      <c r="DH289" s="31">
        <v>1.006</v>
      </c>
      <c r="DI289" s="31">
        <v>1.006</v>
      </c>
      <c r="DJ289" s="31">
        <v>1.006</v>
      </c>
      <c r="DK289" s="31">
        <v>1.006</v>
      </c>
      <c r="DL289" s="31">
        <v>1.006</v>
      </c>
      <c r="DP289" s="574">
        <f t="shared" si="194"/>
        <v>13.643325842032947</v>
      </c>
      <c r="DS289" s="224">
        <f t="shared" si="195"/>
        <v>77695.8088</v>
      </c>
      <c r="DT289" s="215">
        <v>2008</v>
      </c>
      <c r="DU289" s="216">
        <f t="shared" si="190"/>
        <v>12.923553700000001</v>
      </c>
      <c r="DV289" s="575">
        <f t="shared" si="198"/>
        <v>77.6958088</v>
      </c>
      <c r="EL289" s="62">
        <v>2010</v>
      </c>
      <c r="EM289" s="143">
        <f t="shared" si="188"/>
        <v>2.3082115313418785</v>
      </c>
      <c r="EN289" s="114"/>
      <c r="EO289" s="75"/>
    </row>
    <row r="290" ht="17.5" customHeight="1" spans="95:145" x14ac:dyDescent="0.25">
      <c r="CQ290" s="332">
        <v>2009</v>
      </c>
      <c r="CR290" s="46">
        <v>0.953</v>
      </c>
      <c r="CS290" s="46">
        <f t="shared" si="200"/>
        <v>2.1572070386372695</v>
      </c>
      <c r="CT290" s="55">
        <v>10842.0262</v>
      </c>
      <c r="CU290" s="57">
        <f t="shared" si="191"/>
        <v>12.010355196687106</v>
      </c>
      <c r="CV290" s="46">
        <f t="shared" si="196"/>
        <v>0.8803099285135509</v>
      </c>
      <c r="CW290" s="326">
        <f t="shared" si="192"/>
        <v>31.83</v>
      </c>
      <c r="CX290" s="57">
        <f t="shared" si="189"/>
        <v>61.9</v>
      </c>
      <c r="CY290" s="57">
        <f t="shared" si="197"/>
        <v>12.010355196687106</v>
      </c>
      <c r="CZ290" s="272"/>
      <c r="DA290" s="571">
        <f t="shared" si="193"/>
        <v>44.4594</v>
      </c>
      <c r="DB290" s="31">
        <v>1.006</v>
      </c>
      <c r="DC290" s="31">
        <v>0.953</v>
      </c>
      <c r="DD290" s="31">
        <v>0.953</v>
      </c>
      <c r="DE290" s="31">
        <v>0.953</v>
      </c>
      <c r="DF290" s="31">
        <v>0.953</v>
      </c>
      <c r="DG290" s="31">
        <v>0.953</v>
      </c>
      <c r="DH290" s="31">
        <v>0.953</v>
      </c>
      <c r="DI290" s="31">
        <v>0.953</v>
      </c>
      <c r="DJ290" s="31">
        <v>0.953</v>
      </c>
      <c r="DK290" s="31">
        <v>0.953</v>
      </c>
      <c r="DL290" s="31">
        <v>0.953</v>
      </c>
      <c r="DP290" s="574">
        <f t="shared" si="194"/>
        <v>12.010355196687106</v>
      </c>
      <c r="DS290" s="224">
        <f t="shared" si="195"/>
        <v>73092.3949</v>
      </c>
      <c r="DT290" s="215">
        <v>2009</v>
      </c>
      <c r="DU290" s="216">
        <f t="shared" si="190"/>
        <v>10.8420262</v>
      </c>
      <c r="DV290" s="575">
        <f t="shared" si="198"/>
        <v>73.0923949</v>
      </c>
      <c r="EL290" s="62">
        <v>2011</v>
      </c>
      <c r="EM290" s="143">
        <f t="shared" si="188"/>
        <v>2.315136165935904</v>
      </c>
      <c r="EN290" s="114"/>
      <c r="EO290" s="75"/>
    </row>
    <row r="291" ht="17.5" customHeight="1" spans="95:145" x14ac:dyDescent="0.25">
      <c r="CQ291" s="332">
        <v>2010</v>
      </c>
      <c r="CR291" s="46">
        <v>1.07</v>
      </c>
      <c r="CS291" s="46">
        <f t="shared" si="200"/>
        <v>2.3082115313418785</v>
      </c>
      <c r="CT291" s="55">
        <v>13529.311</v>
      </c>
      <c r="CU291" s="57">
        <f t="shared" si="191"/>
        <v>14.006747557636276</v>
      </c>
      <c r="CV291" s="46">
        <f t="shared" si="196"/>
        <v>1.1662225911103652</v>
      </c>
      <c r="CW291" s="326">
        <f t="shared" si="192"/>
        <v>30.36</v>
      </c>
      <c r="CX291" s="57">
        <f t="shared" si="189"/>
        <v>79.6</v>
      </c>
      <c r="CY291" s="57">
        <f t="shared" si="197"/>
        <v>14.006747557636276</v>
      </c>
      <c r="CZ291" s="272"/>
      <c r="DA291" s="571">
        <f t="shared" si="193"/>
        <v>51.0408</v>
      </c>
      <c r="DB291" s="31">
        <v>0.953</v>
      </c>
      <c r="DC291" s="31">
        <v>1.07</v>
      </c>
      <c r="DD291" s="31">
        <v>1.07</v>
      </c>
      <c r="DE291" s="31">
        <v>1.07</v>
      </c>
      <c r="DF291" s="31">
        <v>1.07</v>
      </c>
      <c r="DG291" s="31">
        <v>1.07</v>
      </c>
      <c r="DH291" s="31">
        <v>1.07</v>
      </c>
      <c r="DI291" s="31">
        <v>1.07</v>
      </c>
      <c r="DJ291" s="31">
        <v>1.07</v>
      </c>
      <c r="DK291" s="31">
        <v>1.07</v>
      </c>
      <c r="DL291" s="31">
        <v>1.07</v>
      </c>
      <c r="DP291" s="574">
        <f t="shared" si="194"/>
        <v>14.006747557636276</v>
      </c>
      <c r="DS291" s="224">
        <f t="shared" si="195"/>
        <v>88323.068</v>
      </c>
      <c r="DT291" s="215">
        <v>2010</v>
      </c>
      <c r="DU291" s="216">
        <f t="shared" si="190"/>
        <v>13.529311</v>
      </c>
      <c r="DV291" s="575">
        <f t="shared" si="198"/>
        <v>88.323068</v>
      </c>
      <c r="EL291" s="62">
        <v>2012</v>
      </c>
      <c r="EM291" s="143">
        <f t="shared" si="188"/>
        <v>2.3475480722590065</v>
      </c>
      <c r="EN291" s="114"/>
      <c r="EO291" s="75"/>
    </row>
    <row r="292" ht="17.5" customHeight="1" spans="95:145" x14ac:dyDescent="0.25">
      <c r="CQ292" s="332">
        <v>2011</v>
      </c>
      <c r="CR292" s="46">
        <v>1.003</v>
      </c>
      <c r="CS292" s="46">
        <f t="shared" si="200"/>
        <v>2.315136165935904</v>
      </c>
      <c r="CT292" s="55">
        <v>16865.192199999998</v>
      </c>
      <c r="CU292" s="57">
        <f t="shared" si="191"/>
        <v>17.40812446892646</v>
      </c>
      <c r="CV292" s="46">
        <f t="shared" si="196"/>
        <v>1.242838453202207</v>
      </c>
      <c r="CW292" s="326">
        <f t="shared" si="192"/>
        <v>29.39</v>
      </c>
      <c r="CX292" s="57">
        <f t="shared" si="189"/>
        <v>111</v>
      </c>
      <c r="CY292" s="57">
        <f t="shared" si="197"/>
        <v>17.40812446892646</v>
      </c>
      <c r="CZ292" s="272"/>
      <c r="DA292" s="571">
        <f t="shared" si="193"/>
        <v>63.6662</v>
      </c>
      <c r="DB292" s="31">
        <v>1.07</v>
      </c>
      <c r="DC292" s="31">
        <v>1.003</v>
      </c>
      <c r="DD292" s="31">
        <v>1.003</v>
      </c>
      <c r="DE292" s="31">
        <v>1.003</v>
      </c>
      <c r="DF292" s="31">
        <v>1.003</v>
      </c>
      <c r="DG292" s="31">
        <v>1.003</v>
      </c>
      <c r="DH292" s="31">
        <v>1.003</v>
      </c>
      <c r="DI292" s="31">
        <v>1.003</v>
      </c>
      <c r="DJ292" s="31">
        <v>1.003</v>
      </c>
      <c r="DK292" s="31">
        <v>1.003</v>
      </c>
      <c r="DL292" s="31">
        <v>1.003</v>
      </c>
      <c r="DP292" s="574">
        <f t="shared" si="194"/>
        <v>17.40812446892646</v>
      </c>
      <c r="DS292" s="224">
        <f t="shared" si="195"/>
        <v>109158.8003</v>
      </c>
      <c r="DT292" s="215">
        <v>2011</v>
      </c>
      <c r="DU292" s="216">
        <f t="shared" si="190"/>
        <v>16.8651922</v>
      </c>
      <c r="DV292" s="575">
        <f t="shared" si="198"/>
        <v>109.1588003</v>
      </c>
      <c r="EL292" s="62">
        <v>2013</v>
      </c>
      <c r="EM292" s="143">
        <f t="shared" si="188"/>
        <v>2.455535283582921</v>
      </c>
      <c r="EN292" s="114"/>
      <c r="EO292" s="75"/>
    </row>
    <row r="293" ht="17.5" customHeight="1" spans="95:145" x14ac:dyDescent="0.25">
      <c r="CQ293" s="332">
        <v>2012</v>
      </c>
      <c r="CR293" s="46">
        <v>1.014</v>
      </c>
      <c r="CS293" s="46">
        <f t="shared" si="200"/>
        <v>2.3475480722590065</v>
      </c>
      <c r="CT293" s="55">
        <v>18324.7723</v>
      </c>
      <c r="CU293" s="57">
        <f t="shared" si="191"/>
        <v>18.653542469425737</v>
      </c>
      <c r="CV293" s="46">
        <f t="shared" si="196"/>
        <v>1.071542342354132</v>
      </c>
      <c r="CW293" s="326">
        <f t="shared" si="192"/>
        <v>31.08</v>
      </c>
      <c r="CX293" s="57">
        <f t="shared" si="189"/>
        <v>111.4</v>
      </c>
      <c r="CY293" s="57"/>
      <c r="CZ293" s="57">
        <f>CU293</f>
        <v>18.653542469425737</v>
      </c>
      <c r="DA293" s="571">
        <f t="shared" si="193"/>
        <v>64.8144</v>
      </c>
      <c r="DB293" s="31">
        <v>1.003</v>
      </c>
      <c r="DC293" s="31">
        <v>1.014</v>
      </c>
      <c r="DD293" s="31">
        <v>1.014</v>
      </c>
      <c r="DE293" s="31">
        <v>1.014</v>
      </c>
      <c r="DF293" s="31">
        <v>1.014</v>
      </c>
      <c r="DG293" s="31">
        <v>1.014</v>
      </c>
      <c r="DH293" s="31">
        <v>1.014</v>
      </c>
      <c r="DI293" s="31">
        <v>1.014</v>
      </c>
      <c r="DJ293" s="31">
        <v>1.014</v>
      </c>
      <c r="DK293" s="31">
        <v>1.014</v>
      </c>
      <c r="DL293" s="31">
        <v>1.014</v>
      </c>
      <c r="DP293" s="574">
        <f t="shared" si="194"/>
        <v>18.653542469425737</v>
      </c>
      <c r="DS293" s="224">
        <f t="shared" si="195"/>
        <v>122259.8224</v>
      </c>
      <c r="DT293" s="215">
        <v>2012</v>
      </c>
      <c r="DU293" s="216">
        <f t="shared" si="190"/>
        <v>18.3247723</v>
      </c>
      <c r="DV293" s="575">
        <f t="shared" si="198"/>
        <v>122.2598224</v>
      </c>
      <c r="EL293" s="62">
        <v>2014</v>
      </c>
      <c r="EM293" s="143">
        <f t="shared" si="188"/>
        <v>2.467812960000835</v>
      </c>
      <c r="EN293" s="114"/>
      <c r="EO293" s="75"/>
    </row>
    <row r="294" ht="17.5" customHeight="1" spans="95:145" x14ac:dyDescent="0.25">
      <c r="CQ294" s="332">
        <v>2013</v>
      </c>
      <c r="CR294" s="46">
        <v>1.046</v>
      </c>
      <c r="CS294" s="46">
        <f t="shared" si="200"/>
        <v>2.455535283582921</v>
      </c>
      <c r="CT294" s="55">
        <v>18863.370199999998</v>
      </c>
      <c r="CU294" s="57">
        <f t="shared" si="191"/>
        <v>18.357364736075578</v>
      </c>
      <c r="CV294" s="46">
        <f t="shared" si="196"/>
        <v>0.984122172298607</v>
      </c>
      <c r="CW294" s="326">
        <f t="shared" si="192"/>
        <v>31.85</v>
      </c>
      <c r="CX294" s="57">
        <f t="shared" si="189"/>
        <v>108.8</v>
      </c>
      <c r="CY294" s="57"/>
      <c r="CZ294" s="57">
        <f>CU294</f>
        <v>18.357364736075578</v>
      </c>
      <c r="DA294" s="571">
        <f t="shared" si="193"/>
        <v>64.169</v>
      </c>
      <c r="DB294" s="31">
        <v>1.014</v>
      </c>
      <c r="DC294" s="31">
        <v>1.046</v>
      </c>
      <c r="DD294" s="31">
        <v>1.046</v>
      </c>
      <c r="DE294" s="31">
        <v>1.046</v>
      </c>
      <c r="DF294" s="31">
        <v>1.046</v>
      </c>
      <c r="DG294" s="31">
        <v>1.046</v>
      </c>
      <c r="DH294" s="31">
        <v>1.046</v>
      </c>
      <c r="DI294" s="31">
        <v>1.046</v>
      </c>
      <c r="DJ294" s="31">
        <v>1.046</v>
      </c>
      <c r="DK294" s="31">
        <v>1.046</v>
      </c>
      <c r="DL294" s="31">
        <v>1.046</v>
      </c>
      <c r="DP294" s="574">
        <f t="shared" si="194"/>
        <v>18.357364736075578</v>
      </c>
      <c r="DS294" s="224">
        <f t="shared" si="195"/>
        <v>132429.9303</v>
      </c>
      <c r="DT294" s="215">
        <v>2013</v>
      </c>
      <c r="DU294" s="216">
        <f t="shared" si="190"/>
        <v>18.8633702</v>
      </c>
      <c r="DV294" s="575">
        <f t="shared" si="198"/>
        <v>132.4299303</v>
      </c>
      <c r="EL294" s="62">
        <v>2015</v>
      </c>
      <c r="EM294" s="143">
        <f t="shared" si="188"/>
        <v>2.559122039520866</v>
      </c>
      <c r="EN294" s="114"/>
      <c r="EO294" s="75"/>
    </row>
    <row r="295" ht="17.5" customHeight="1" spans="95:145" x14ac:dyDescent="0.25">
      <c r="CQ295" s="332">
        <v>2014</v>
      </c>
      <c r="CR295" s="46">
        <v>1.005</v>
      </c>
      <c r="CS295" s="46">
        <f t="shared" si="200"/>
        <v>2.467812960000835</v>
      </c>
      <c r="CT295" s="55">
        <v>21425.9346</v>
      </c>
      <c r="CU295" s="57">
        <f t="shared" si="191"/>
        <v>20.747451690988555</v>
      </c>
      <c r="CV295" s="46">
        <f t="shared" si="196"/>
        <v>1.130197715700229</v>
      </c>
      <c r="CW295" s="326">
        <f t="shared" si="192"/>
        <v>32.73</v>
      </c>
      <c r="CX295" s="57">
        <f t="shared" si="189"/>
        <v>98.9</v>
      </c>
      <c r="CY295" s="57"/>
      <c r="CZ295" s="57">
        <f>CU295</f>
        <v>20.747451690988555</v>
      </c>
      <c r="DA295" s="571">
        <f t="shared" si="193"/>
        <v>60.5214</v>
      </c>
      <c r="DB295" s="31">
        <v>1.046</v>
      </c>
      <c r="DC295" s="31">
        <v>1.005</v>
      </c>
      <c r="DD295" s="31">
        <v>1.005</v>
      </c>
      <c r="DE295" s="31">
        <v>1.005</v>
      </c>
      <c r="DF295" s="31">
        <v>1.005</v>
      </c>
      <c r="DG295" s="31">
        <v>1.005</v>
      </c>
      <c r="DH295" s="31">
        <v>1.005</v>
      </c>
      <c r="DI295" s="31">
        <v>1.005</v>
      </c>
      <c r="DJ295" s="31">
        <v>1.005</v>
      </c>
      <c r="DK295" s="31">
        <v>1.005</v>
      </c>
      <c r="DL295" s="31">
        <v>1.005</v>
      </c>
      <c r="DP295" s="574">
        <f t="shared" si="194"/>
        <v>20.747451690988555</v>
      </c>
      <c r="DS295" s="224">
        <f t="shared" si="195"/>
        <v>143137.04599999997</v>
      </c>
      <c r="DT295" s="215">
        <v>2014</v>
      </c>
      <c r="DU295" s="216">
        <f t="shared" si="190"/>
        <v>21.4259346</v>
      </c>
      <c r="DV295" s="575">
        <f t="shared" si="198"/>
        <v>143.13704599999997</v>
      </c>
      <c r="EL295" s="62">
        <v>2016</v>
      </c>
      <c r="EM295" s="143">
        <f t="shared" si="188"/>
        <v>2.641013944785534</v>
      </c>
      <c r="EN295" s="114"/>
      <c r="EO295" s="75"/>
    </row>
    <row r="296" ht="17.5" customHeight="1" spans="95:145" x14ac:dyDescent="0.25">
      <c r="CQ296" s="332">
        <v>2015</v>
      </c>
      <c r="CR296" s="46">
        <v>1.037</v>
      </c>
      <c r="CS296" s="46">
        <f t="shared" si="200"/>
        <v>2.559122039520866</v>
      </c>
      <c r="CT296" s="55">
        <v>23854.05</v>
      </c>
      <c r="CU296" s="57">
        <f t="shared" si="191"/>
        <v>22.2745200953556</v>
      </c>
      <c r="CV296" s="46">
        <f t="shared" si="196"/>
        <v>1.073602697194389</v>
      </c>
      <c r="CW296" s="326">
        <f t="shared" si="192"/>
        <v>56.26</v>
      </c>
      <c r="CX296" s="57">
        <f t="shared" si="189"/>
        <v>52.4</v>
      </c>
      <c r="CY296" s="57"/>
      <c r="CZ296" s="57">
        <f>CU296</f>
        <v>22.2745200953556</v>
      </c>
      <c r="DA296" s="571">
        <f t="shared" si="193"/>
        <v>54.6388</v>
      </c>
      <c r="DB296" s="31">
        <v>1.005</v>
      </c>
      <c r="DC296" s="31">
        <v>1.037</v>
      </c>
      <c r="DD296" s="31">
        <v>1.037</v>
      </c>
      <c r="DE296" s="31">
        <v>1.037</v>
      </c>
      <c r="DF296" s="31">
        <v>1.037</v>
      </c>
      <c r="DG296" s="31">
        <v>1.037</v>
      </c>
      <c r="DH296" s="31">
        <v>1.037</v>
      </c>
      <c r="DI296" s="31">
        <v>1.037</v>
      </c>
      <c r="DJ296" s="31">
        <v>1.037</v>
      </c>
      <c r="DK296" s="31">
        <v>1.037</v>
      </c>
      <c r="DL296" s="31">
        <v>1.037</v>
      </c>
      <c r="DP296" s="574">
        <f t="shared" si="194"/>
        <v>22.2745200953556</v>
      </c>
      <c r="DS296" s="224">
        <f t="shared" si="195"/>
        <v>154422.9596</v>
      </c>
      <c r="DT296" s="215">
        <v>2015</v>
      </c>
      <c r="DU296" s="216">
        <f t="shared" si="190"/>
        <v>23.85405</v>
      </c>
      <c r="DV296" s="575">
        <f t="shared" si="198"/>
        <v>154.4229596</v>
      </c>
      <c r="EL296" s="62">
        <v>2017</v>
      </c>
      <c r="EM296" s="143">
        <f t="shared" si="188"/>
        <v>2.773064642024811</v>
      </c>
      <c r="EN296" s="114"/>
      <c r="EO296" s="576"/>
    </row>
    <row r="297" ht="17.5" customHeight="1" spans="95:145" x14ac:dyDescent="0.25">
      <c r="CQ297" s="332">
        <v>2016</v>
      </c>
      <c r="CR297" s="46">
        <v>1.032</v>
      </c>
      <c r="CS297" s="46">
        <f t="shared" si="200"/>
        <v>2.641013944785534</v>
      </c>
      <c r="CT297" s="55">
        <v>22137.648</v>
      </c>
      <c r="CU297" s="57">
        <f t="shared" si="191"/>
        <v>20.030786917707065</v>
      </c>
      <c r="CV297" s="46">
        <f t="shared" si="196"/>
        <v>0.8992690676143289</v>
      </c>
      <c r="CW297" s="326">
        <f t="shared" si="192"/>
        <v>72.88</v>
      </c>
      <c r="CX297" s="57">
        <f t="shared" si="189"/>
        <v>44</v>
      </c>
      <c r="CY297" s="272"/>
      <c r="CZ297" s="57">
        <f>CU297</f>
        <v>20.030786917707065</v>
      </c>
      <c r="DA297" s="571">
        <f t="shared" si="193"/>
        <v>60.7504</v>
      </c>
      <c r="DB297" s="31">
        <v>1.037</v>
      </c>
      <c r="DC297" s="31">
        <v>1.031</v>
      </c>
      <c r="DD297" s="31">
        <v>1.031</v>
      </c>
      <c r="DE297" s="31">
        <v>1.031</v>
      </c>
      <c r="DF297" s="31">
        <v>1.031</v>
      </c>
      <c r="DG297" s="31">
        <v>1.031</v>
      </c>
      <c r="DH297" s="31">
        <v>1.031</v>
      </c>
      <c r="DI297" s="31">
        <v>1.031</v>
      </c>
      <c r="DJ297" s="31">
        <v>1.031</v>
      </c>
      <c r="DK297" s="31">
        <v>1.031</v>
      </c>
      <c r="DL297" s="31">
        <v>1.031</v>
      </c>
      <c r="DP297" s="574">
        <f t="shared" si="194"/>
        <v>20.030786917707065</v>
      </c>
      <c r="DS297" s="224">
        <f t="shared" si="195"/>
        <v>162395.42</v>
      </c>
      <c r="DT297" s="215">
        <v>2016</v>
      </c>
      <c r="DU297" s="216">
        <f t="shared" si="190"/>
        <v>22.137648000000002</v>
      </c>
      <c r="DV297" s="575">
        <f t="shared" si="198"/>
        <v>162.39542</v>
      </c>
      <c r="EL297" s="62">
        <v>2018</v>
      </c>
      <c r="EM297" s="143">
        <f t="shared" si="188"/>
        <v>2.9255831973361754</v>
      </c>
      <c r="EN297" s="114"/>
      <c r="EO297" s="576"/>
    </row>
    <row r="298" ht="18" customHeight="1" spans="95:145" x14ac:dyDescent="0.25">
      <c r="CQ298" s="332">
        <v>2017</v>
      </c>
      <c r="CR298" s="272">
        <v>1.05</v>
      </c>
      <c r="CS298" s="46">
        <f t="shared" si="200"/>
        <v>2.773064642024811</v>
      </c>
      <c r="CT298" s="272">
        <v>23994.3</v>
      </c>
      <c r="CU298" s="57">
        <f t="shared" si="191"/>
        <v>20.67689483369983</v>
      </c>
      <c r="CV298" s="46">
        <f t="shared" si="196"/>
        <v>1.0322557430542887</v>
      </c>
      <c r="CW298" s="326">
        <f t="shared" si="192"/>
        <v>60.66</v>
      </c>
      <c r="CX298" s="57">
        <f t="shared" si="189"/>
        <v>55</v>
      </c>
      <c r="CY298" s="272"/>
      <c r="CZ298" s="57">
        <f t="shared" ref="CZ298:CZ311" si="201">DP298</f>
        <v>21.052667479999997</v>
      </c>
      <c r="DA298" s="571">
        <f t="shared" si="193"/>
        <v>58.282799999999995</v>
      </c>
      <c r="DB298" s="31">
        <v>1.031</v>
      </c>
      <c r="DP298" s="574">
        <f t="shared" ref="DP298:DP311" si="202">-0.3859*DA298+43.544</f>
        <v>21.052667479999997</v>
      </c>
      <c r="DS298" s="224">
        <f t="shared" si="195"/>
        <v>175275.06</v>
      </c>
      <c r="DT298" s="215">
        <v>2017</v>
      </c>
      <c r="DU298" s="216">
        <f t="shared" si="190"/>
        <v>23.9943</v>
      </c>
      <c r="DV298" s="575">
        <f t="shared" si="198"/>
        <v>175.27506</v>
      </c>
      <c r="EL298" s="62">
        <v>2019</v>
      </c>
      <c r="EM298" s="77"/>
      <c r="EN298" s="114"/>
      <c r="EO298" s="576"/>
    </row>
    <row r="299" ht="18" customHeight="1" spans="95:145" x14ac:dyDescent="0.25">
      <c r="CQ299" s="332">
        <v>2018</v>
      </c>
      <c r="CR299" s="272">
        <v>1.055</v>
      </c>
      <c r="CS299" s="46">
        <f t="shared" si="200"/>
        <v>2.9255831973361754</v>
      </c>
      <c r="CT299" s="272">
        <v>31932.55</v>
      </c>
      <c r="CU299" s="57">
        <f t="shared" si="191"/>
        <v>26.083050100459737</v>
      </c>
      <c r="CV299" s="46">
        <f t="shared" si="196"/>
        <v>1.2614587591725228</v>
      </c>
      <c r="CW299" s="326">
        <f t="shared" si="192"/>
        <v>57.6</v>
      </c>
      <c r="CX299" s="57">
        <f t="shared" si="189"/>
        <v>70</v>
      </c>
      <c r="CY299" s="57"/>
      <c r="CZ299" s="57">
        <f t="shared" si="201"/>
        <v>19.306392799999994</v>
      </c>
      <c r="DA299" s="571">
        <f t="shared" si="193"/>
        <v>62.80800000000001</v>
      </c>
      <c r="DP299" s="574">
        <f t="shared" si="202"/>
        <v>19.306392799999994</v>
      </c>
      <c r="DS299" s="224">
        <f t="shared" si="195"/>
        <v>196610.47000000003</v>
      </c>
      <c r="DT299" s="215">
        <v>2018</v>
      </c>
      <c r="DU299" s="216">
        <f t="shared" si="190"/>
        <v>31.93255</v>
      </c>
      <c r="DV299" s="575">
        <f t="shared" si="198"/>
        <v>196.61047000000002</v>
      </c>
      <c r="EL299" s="62">
        <v>2020</v>
      </c>
      <c r="EM299" s="77"/>
      <c r="EN299" s="114"/>
      <c r="EO299" s="576"/>
    </row>
    <row r="300" ht="18" customHeight="1" spans="95:145" x14ac:dyDescent="0.25">
      <c r="CQ300" s="332">
        <v>2019</v>
      </c>
      <c r="CR300" s="272"/>
      <c r="CS300" s="272"/>
      <c r="CT300" s="272"/>
      <c r="CU300" s="272"/>
      <c r="CV300" s="272"/>
      <c r="CW300" s="326">
        <f t="shared" si="192"/>
        <v>69.47</v>
      </c>
      <c r="CX300" s="57">
        <f t="shared" si="189"/>
        <v>72</v>
      </c>
      <c r="CY300" s="57"/>
      <c r="CZ300" s="57">
        <f t="shared" si="201"/>
        <v>16.325469659999996</v>
      </c>
      <c r="DA300" s="571">
        <f t="shared" si="193"/>
        <v>70.5326</v>
      </c>
      <c r="DP300" s="574">
        <f t="shared" si="202"/>
        <v>16.325469659999996</v>
      </c>
      <c r="DT300" s="215">
        <v>2019</v>
      </c>
      <c r="DU300" s="266"/>
      <c r="DV300" s="72"/>
      <c r="EL300" s="62">
        <v>2021</v>
      </c>
      <c r="EM300" s="77"/>
      <c r="EN300" s="114"/>
      <c r="EO300" s="576"/>
    </row>
    <row r="301" ht="18" customHeight="1" spans="95:145" x14ac:dyDescent="0.25">
      <c r="CQ301" s="332">
        <v>2020</v>
      </c>
      <c r="CR301" s="272"/>
      <c r="CS301" s="272"/>
      <c r="CT301" s="272"/>
      <c r="CU301" s="272"/>
      <c r="CV301" s="272"/>
      <c r="CW301" s="326">
        <f t="shared" si="192"/>
        <v>61.9</v>
      </c>
      <c r="CX301" s="57">
        <f t="shared" si="189"/>
        <v>40</v>
      </c>
      <c r="CY301" s="272"/>
      <c r="CZ301" s="57">
        <f t="shared" si="201"/>
        <v>23.206298199999996</v>
      </c>
      <c r="DA301" s="571">
        <f t="shared" si="193"/>
        <v>52.702</v>
      </c>
      <c r="DP301" s="574">
        <f t="shared" si="202"/>
        <v>23.206298199999996</v>
      </c>
      <c r="DT301" s="215">
        <v>2020</v>
      </c>
      <c r="DU301" s="266"/>
      <c r="DV301" s="72"/>
      <c r="EL301" s="62">
        <v>2022</v>
      </c>
      <c r="EM301" s="77"/>
      <c r="EN301" s="114"/>
      <c r="EO301" s="576"/>
    </row>
    <row r="302" ht="18" customHeight="1" spans="95:145" x14ac:dyDescent="0.25">
      <c r="CQ302" s="332">
        <v>2021</v>
      </c>
      <c r="CR302" s="272"/>
      <c r="CS302" s="272"/>
      <c r="CT302" s="272"/>
      <c r="CU302" s="272"/>
      <c r="CV302" s="272"/>
      <c r="CW302" s="326">
        <f t="shared" si="192"/>
        <v>73.87</v>
      </c>
      <c r="CX302" s="57">
        <f t="shared" si="189"/>
        <v>50</v>
      </c>
      <c r="CY302" s="272"/>
      <c r="CZ302" s="57">
        <f t="shared" si="201"/>
        <v>18.906368859999994</v>
      </c>
      <c r="DA302" s="571">
        <f t="shared" si="193"/>
        <v>63.84460000000001</v>
      </c>
      <c r="DP302" s="574">
        <f t="shared" si="202"/>
        <v>18.906368859999994</v>
      </c>
      <c r="DT302" s="215">
        <v>2021</v>
      </c>
      <c r="DU302" s="266"/>
      <c r="DV302" s="72"/>
      <c r="EL302" s="62">
        <v>2023</v>
      </c>
      <c r="EM302" s="77"/>
      <c r="EN302" s="114"/>
      <c r="EO302" s="576"/>
    </row>
    <row r="303" ht="18" customHeight="1" spans="95:145" x14ac:dyDescent="0.25">
      <c r="CQ303" s="332">
        <v>2022</v>
      </c>
      <c r="CR303" s="272"/>
      <c r="CS303" s="272"/>
      <c r="CT303" s="272"/>
      <c r="CU303" s="272"/>
      <c r="CV303" s="272"/>
      <c r="CW303" s="326">
        <f t="shared" si="192"/>
        <v>75.17</v>
      </c>
      <c r="CX303" s="57">
        <f t="shared" si="189"/>
        <v>58</v>
      </c>
      <c r="CY303" s="272"/>
      <c r="CZ303" s="57">
        <f t="shared" si="201"/>
        <v>17.318776259999993</v>
      </c>
      <c r="DA303" s="571">
        <f t="shared" si="193"/>
        <v>67.9586</v>
      </c>
      <c r="DP303" s="574">
        <f t="shared" si="202"/>
        <v>17.318776259999993</v>
      </c>
      <c r="DT303" s="215">
        <v>2022</v>
      </c>
      <c r="DU303" s="266"/>
      <c r="DV303" s="72"/>
      <c r="EL303" s="62">
        <v>2024</v>
      </c>
      <c r="EM303" s="77"/>
      <c r="EN303" s="114"/>
      <c r="EO303" s="576"/>
    </row>
    <row r="304" ht="18" customHeight="1" spans="95:145" x14ac:dyDescent="0.25">
      <c r="CQ304" s="332">
        <v>2023</v>
      </c>
      <c r="CR304" s="272"/>
      <c r="CS304" s="272"/>
      <c r="CT304" s="272"/>
      <c r="CU304" s="272"/>
      <c r="CV304" s="272"/>
      <c r="CW304" s="326">
        <f t="shared" si="192"/>
        <v>76.47</v>
      </c>
      <c r="CX304" s="57">
        <f t="shared" si="189"/>
        <v>64.4</v>
      </c>
      <c r="CY304" s="272"/>
      <c r="CZ304" s="57">
        <f t="shared" si="201"/>
        <v>15.990508459999997</v>
      </c>
      <c r="DA304" s="571">
        <f t="shared" si="193"/>
        <v>71.4006</v>
      </c>
      <c r="DP304" s="574">
        <f t="shared" si="202"/>
        <v>15.990508459999997</v>
      </c>
      <c r="DT304" s="215">
        <v>2023</v>
      </c>
      <c r="DU304" s="266"/>
      <c r="DV304" s="72"/>
      <c r="EL304" s="62">
        <v>2025</v>
      </c>
      <c r="EM304" s="77"/>
      <c r="EN304" s="114"/>
      <c r="EO304" s="576"/>
    </row>
    <row r="305" ht="18" customHeight="1" spans="95:145" x14ac:dyDescent="0.25">
      <c r="CQ305" s="332">
        <v>2024</v>
      </c>
      <c r="CR305" s="272"/>
      <c r="CS305" s="272"/>
      <c r="CT305" s="272"/>
      <c r="CU305" s="272"/>
      <c r="CV305" s="272"/>
      <c r="CW305" s="326">
        <f t="shared" si="192"/>
        <v>77.77</v>
      </c>
      <c r="CX305" s="57">
        <f t="shared" si="189"/>
        <v>69.52000000000001</v>
      </c>
      <c r="CY305" s="272"/>
      <c r="CZ305" s="57">
        <f t="shared" si="201"/>
        <v>14.869700499999993</v>
      </c>
      <c r="DA305" s="571">
        <f t="shared" si="193"/>
        <v>74.305</v>
      </c>
      <c r="DP305" s="574">
        <f t="shared" si="202"/>
        <v>14.869700499999993</v>
      </c>
      <c r="DT305" s="215">
        <v>2024</v>
      </c>
      <c r="DU305" s="266"/>
      <c r="DV305" s="72"/>
      <c r="EL305" s="62">
        <v>2026</v>
      </c>
      <c r="EM305" s="77"/>
      <c r="EN305" s="114"/>
      <c r="EO305" s="576"/>
    </row>
    <row r="306" ht="18" customHeight="1" spans="95:145" x14ac:dyDescent="0.25">
      <c r="CQ306" s="332">
        <v>2025</v>
      </c>
      <c r="CR306" s="272"/>
      <c r="CS306" s="272"/>
      <c r="CT306" s="272"/>
      <c r="CU306" s="272"/>
      <c r="CV306" s="272"/>
      <c r="CW306" s="326">
        <f t="shared" si="192"/>
        <v>79.07</v>
      </c>
      <c r="CX306" s="57">
        <f t="shared" si="189"/>
        <v>73.61600000000001</v>
      </c>
      <c r="CY306" s="272"/>
      <c r="CZ306" s="57">
        <f t="shared" si="201"/>
        <v>13.914860411999989</v>
      </c>
      <c r="DA306" s="571">
        <f t="shared" si="193"/>
        <v>76.77932000000001</v>
      </c>
      <c r="DP306" s="574">
        <f t="shared" si="202"/>
        <v>13.914860411999989</v>
      </c>
      <c r="DT306" s="215">
        <v>2025</v>
      </c>
      <c r="DU306" s="266"/>
      <c r="DV306" s="72"/>
      <c r="EL306" s="62">
        <v>2027</v>
      </c>
      <c r="EM306" s="77"/>
      <c r="EN306" s="114"/>
      <c r="EO306" s="576"/>
    </row>
    <row r="307" ht="18" customHeight="1" spans="95:145" x14ac:dyDescent="0.25">
      <c r="CQ307" s="332">
        <v>2026</v>
      </c>
      <c r="CR307" s="272"/>
      <c r="CS307" s="272"/>
      <c r="CT307" s="272"/>
      <c r="CU307" s="272"/>
      <c r="CV307" s="272"/>
      <c r="CW307" s="326">
        <f t="shared" si="192"/>
        <v>80.36999999999999</v>
      </c>
      <c r="CX307" s="57">
        <f t="shared" si="189"/>
        <v>76.89280000000002</v>
      </c>
      <c r="CY307" s="272"/>
      <c r="CZ307" s="57">
        <f t="shared" si="201"/>
        <v>13.092794621599989</v>
      </c>
      <c r="DA307" s="571">
        <f t="shared" si="193"/>
        <v>78.90957600000002</v>
      </c>
      <c r="DP307" s="574">
        <f t="shared" si="202"/>
        <v>13.092794621599989</v>
      </c>
      <c r="DT307" s="215">
        <v>2026</v>
      </c>
      <c r="DU307" s="266"/>
      <c r="DV307" s="72"/>
      <c r="EL307" s="62">
        <v>2028</v>
      </c>
      <c r="EM307" s="77"/>
      <c r="EN307" s="114"/>
      <c r="EO307" s="576"/>
    </row>
    <row r="308" ht="18" customHeight="1" spans="95:145" x14ac:dyDescent="0.25">
      <c r="CQ308" s="332">
        <v>2027</v>
      </c>
      <c r="CR308" s="272"/>
      <c r="CS308" s="272"/>
      <c r="CT308" s="272"/>
      <c r="CU308" s="272"/>
      <c r="CV308" s="272"/>
      <c r="CW308" s="326">
        <f t="shared" si="192"/>
        <v>81.66999999999999</v>
      </c>
      <c r="CX308" s="57">
        <f t="shared" si="189"/>
        <v>79.51424000000003</v>
      </c>
      <c r="CY308" s="272"/>
      <c r="CZ308" s="57">
        <f t="shared" si="201"/>
        <v>12.376948269279993</v>
      </c>
      <c r="DA308" s="571">
        <f t="shared" si="193"/>
        <v>80.7645808</v>
      </c>
      <c r="DP308" s="574">
        <f t="shared" si="202"/>
        <v>12.376948269279993</v>
      </c>
      <c r="DT308" s="215">
        <v>2027</v>
      </c>
      <c r="DU308" s="266"/>
      <c r="DV308" s="72"/>
      <c r="EL308" s="62">
        <v>2029</v>
      </c>
      <c r="EM308" s="77"/>
      <c r="EN308" s="114"/>
      <c r="EO308" s="576"/>
    </row>
    <row r="309" ht="18" customHeight="1" spans="95:145" x14ac:dyDescent="0.25">
      <c r="CQ309" s="332">
        <v>2028</v>
      </c>
      <c r="CR309" s="272"/>
      <c r="CS309" s="272"/>
      <c r="CT309" s="272"/>
      <c r="CU309" s="272"/>
      <c r="CV309" s="272"/>
      <c r="CW309" s="326">
        <f t="shared" si="192"/>
        <v>82.96999999999998</v>
      </c>
      <c r="CX309" s="57">
        <f t="shared" si="189"/>
        <v>81.61139200000004</v>
      </c>
      <c r="CY309" s="272"/>
      <c r="CZ309" s="57">
        <f t="shared" si="201"/>
        <v>11.746077467423987</v>
      </c>
      <c r="DA309" s="571">
        <f t="shared" si="193"/>
        <v>82.39938464000002</v>
      </c>
      <c r="DP309" s="574">
        <f t="shared" si="202"/>
        <v>11.746077467423987</v>
      </c>
      <c r="DT309" s="215">
        <v>2028</v>
      </c>
      <c r="DU309" s="266"/>
      <c r="DV309" s="72"/>
      <c r="EL309" s="62">
        <v>2030</v>
      </c>
      <c r="EM309" s="77"/>
      <c r="EN309" s="114"/>
      <c r="EO309" s="576"/>
    </row>
    <row r="310" ht="18" customHeight="1" spans="95:145" x14ac:dyDescent="0.25">
      <c r="CQ310" s="332">
        <v>2029</v>
      </c>
      <c r="CR310" s="272"/>
      <c r="CS310" s="272"/>
      <c r="CT310" s="272"/>
      <c r="CU310" s="272"/>
      <c r="CV310" s="272"/>
      <c r="CW310" s="326">
        <f t="shared" si="192"/>
        <v>84.26999999999998</v>
      </c>
      <c r="CX310" s="57">
        <f t="shared" si="189"/>
        <v>83.28911360000005</v>
      </c>
      <c r="CY310" s="272"/>
      <c r="CZ310" s="57">
        <f t="shared" si="201"/>
        <v>11.183187105939183</v>
      </c>
      <c r="DA310" s="571">
        <f t="shared" si="193"/>
        <v>83.85802771200002</v>
      </c>
      <c r="DP310" s="574">
        <f t="shared" si="202"/>
        <v>11.183187105939183</v>
      </c>
      <c r="DT310" s="215">
        <v>2029</v>
      </c>
      <c r="DU310" s="266"/>
      <c r="DV310" s="72"/>
      <c r="EL310" s="62">
        <v>2031</v>
      </c>
      <c r="EM310" s="77"/>
      <c r="EN310" s="114"/>
      <c r="EO310" s="576"/>
    </row>
    <row r="311" ht="18.5" customHeight="1" spans="95:145" x14ac:dyDescent="0.25">
      <c r="CQ311" s="383">
        <v>2030</v>
      </c>
      <c r="CR311" s="577"/>
      <c r="CS311" s="577"/>
      <c r="CT311" s="577"/>
      <c r="CU311" s="577"/>
      <c r="CV311" s="577"/>
      <c r="CW311" s="578">
        <f t="shared" si="192"/>
        <v>85.56999999999998</v>
      </c>
      <c r="CX311" s="579">
        <f>GW359</f>
        <v>88.24078139555851</v>
      </c>
      <c r="CY311" s="577"/>
      <c r="CZ311" s="579">
        <f t="shared" si="201"/>
        <v>10.089662092970663</v>
      </c>
      <c r="DA311" s="580">
        <f t="shared" si="193"/>
        <v>86.69172818613457</v>
      </c>
      <c r="DP311" s="574">
        <f t="shared" si="202"/>
        <v>10.089662092970663</v>
      </c>
      <c r="DT311" s="34">
        <v>2030</v>
      </c>
      <c r="DU311" s="86"/>
      <c r="DV311" s="90"/>
      <c r="EL311" s="62">
        <v>2032</v>
      </c>
      <c r="EM311" s="77"/>
      <c r="EN311" s="114"/>
      <c r="EO311" s="576"/>
    </row>
    <row r="312" ht="18" customHeight="1" spans="142:145" x14ac:dyDescent="0.25">
      <c r="EL312" s="62">
        <v>2033</v>
      </c>
      <c r="EM312" s="77"/>
      <c r="EN312" s="114"/>
      <c r="EO312" s="576"/>
    </row>
    <row r="313" ht="18.5" customHeight="1" spans="142:145" x14ac:dyDescent="0.25">
      <c r="EL313" s="62">
        <v>2034</v>
      </c>
      <c r="EM313" s="77"/>
      <c r="EN313" s="114"/>
      <c r="EO313" s="576"/>
    </row>
    <row r="314" ht="18" customHeight="1" spans="95:145" x14ac:dyDescent="0.25">
      <c r="CQ314" s="28" t="s">
        <v>13</v>
      </c>
      <c r="CR314" s="214" t="s">
        <v>722</v>
      </c>
      <c r="CS314" s="546" t="s">
        <v>723</v>
      </c>
      <c r="CT314" s="546" t="s">
        <v>723</v>
      </c>
      <c r="CU314" s="300" t="s">
        <v>116</v>
      </c>
      <c r="CV314" s="300" t="s">
        <v>116</v>
      </c>
      <c r="CW314" s="300" t="s">
        <v>724</v>
      </c>
      <c r="EL314" s="34">
        <v>2035</v>
      </c>
      <c r="EM314" s="86"/>
      <c r="EN314" s="173"/>
      <c r="EO314" s="581"/>
    </row>
    <row r="315" ht="16.25" customHeight="1" spans="95:101" x14ac:dyDescent="0.25">
      <c r="CQ315" s="129">
        <v>43939</v>
      </c>
      <c r="CR315" s="39" t="s">
        <v>725</v>
      </c>
      <c r="CS315" s="552" t="s">
        <v>726</v>
      </c>
      <c r="CT315" s="582" t="s">
        <v>17</v>
      </c>
      <c r="CU315" s="552" t="s">
        <v>726</v>
      </c>
      <c r="CV315" s="40" t="s">
        <v>725</v>
      </c>
      <c r="CW315" s="40" t="s">
        <v>691</v>
      </c>
    </row>
    <row r="316" ht="16.5" customHeight="1" spans="95:101" x14ac:dyDescent="0.25">
      <c r="CQ316" s="583">
        <v>1995</v>
      </c>
      <c r="CR316" s="138">
        <f t="shared" ref="CR316:CR340" si="203">CS316*1000</f>
        <v>220.8</v>
      </c>
      <c r="CS316" s="139">
        <v>0.22080000000000002</v>
      </c>
      <c r="CT316" s="106"/>
      <c r="CU316" s="139">
        <f>CV316/1000</f>
        <v>1.4285209</v>
      </c>
      <c r="CV316" s="138">
        <f t="array" ref="CV316:CV339">TRANSPOSE(U67:AR67)</f>
        <v>1428.5209</v>
      </c>
      <c r="CW316" s="58">
        <f t="shared" ref="CW316:CW339" si="204">CR316*100/CV316</f>
        <v>15.45654669805671</v>
      </c>
    </row>
    <row r="317" ht="21.75" customHeight="1" spans="95:206" x14ac:dyDescent="0.25">
      <c r="CQ317" s="583">
        <v>1996</v>
      </c>
      <c r="CR317" s="142">
        <f t="shared" si="203"/>
        <v>282.3</v>
      </c>
      <c r="CS317" s="143">
        <v>0.2823</v>
      </c>
      <c r="CT317" s="115"/>
      <c r="CU317" s="143">
        <f>CV317/1000</f>
        <v>2.0078252</v>
      </c>
      <c r="CV317" s="142">
        <v>2007.8252000000002</v>
      </c>
      <c r="CW317" s="67">
        <f t="shared" si="204"/>
        <v>14.059988887478848</v>
      </c>
      <c r="CX317" s="584" t="s">
        <v>365</v>
      </c>
      <c r="CY317" s="585" t="s">
        <v>727</v>
      </c>
      <c r="CZ317" s="586"/>
      <c r="DA317" s="586"/>
      <c r="DB317" s="586"/>
      <c r="DC317" s="587"/>
      <c r="EG317" s="588" t="s">
        <v>520</v>
      </c>
      <c r="EH317" s="300" t="s">
        <v>728</v>
      </c>
      <c r="EI317" s="300" t="s">
        <v>728</v>
      </c>
      <c r="EJ317" s="300" t="s">
        <v>729</v>
      </c>
      <c r="EK317" s="214" t="s">
        <v>730</v>
      </c>
      <c r="EL317" s="214" t="s">
        <v>731</v>
      </c>
      <c r="FB317" s="529" t="s">
        <v>715</v>
      </c>
      <c r="FC317" s="529" t="s">
        <v>731</v>
      </c>
      <c r="GD317" s="28" t="s">
        <v>13</v>
      </c>
      <c r="GE317" s="589" t="s">
        <v>716</v>
      </c>
      <c r="GF317" s="589" t="s">
        <v>716</v>
      </c>
      <c r="GG317" s="589" t="s">
        <v>716</v>
      </c>
      <c r="GW317" s="589" t="s">
        <v>716</v>
      </c>
      <c r="GX317" s="589" t="s">
        <v>716</v>
      </c>
    </row>
    <row r="318" ht="19.5" customHeight="1" spans="95:206" x14ac:dyDescent="0.25">
      <c r="CQ318" s="583">
        <v>1997</v>
      </c>
      <c r="CR318" s="142">
        <f t="shared" si="203"/>
        <v>357.4</v>
      </c>
      <c r="CS318" s="143">
        <v>0.3574</v>
      </c>
      <c r="CT318" s="115"/>
      <c r="CU318" s="143">
        <f t="shared" ref="CU318:CU339" si="205">CV318/1000</f>
        <v>2.3425137</v>
      </c>
      <c r="CV318" s="142">
        <v>2342.5137</v>
      </c>
      <c r="CW318" s="67">
        <f t="shared" si="204"/>
        <v>15.257114611538878</v>
      </c>
      <c r="DL318" s="536" t="s">
        <v>697</v>
      </c>
      <c r="DM318" s="538" t="s">
        <v>698</v>
      </c>
      <c r="DN318" s="538"/>
      <c r="DO318" s="538"/>
      <c r="DP318" s="537"/>
      <c r="DQ318" s="566"/>
      <c r="DR318" s="567">
        <v>0.25</v>
      </c>
      <c r="EG318" s="590">
        <v>43939</v>
      </c>
      <c r="EH318" s="40" t="s">
        <v>691</v>
      </c>
      <c r="EI318" s="570" t="s">
        <v>732</v>
      </c>
      <c r="EJ318" s="40" t="s">
        <v>691</v>
      </c>
      <c r="EK318" s="40" t="s">
        <v>691</v>
      </c>
      <c r="EL318" s="40" t="s">
        <v>619</v>
      </c>
      <c r="FB318" s="591" t="s">
        <v>386</v>
      </c>
      <c r="FC318" s="591" t="s">
        <v>619</v>
      </c>
      <c r="GD318" s="41">
        <v>43939</v>
      </c>
      <c r="GE318" s="544" t="s">
        <v>733</v>
      </c>
      <c r="GF318" s="132" t="s">
        <v>734</v>
      </c>
      <c r="GG318" s="132" t="s">
        <v>735</v>
      </c>
      <c r="GW318" s="310" t="s">
        <v>736</v>
      </c>
      <c r="GX318" s="310" t="s">
        <v>737</v>
      </c>
    </row>
    <row r="319" ht="20.5" customHeight="1" spans="95:212" x14ac:dyDescent="0.25">
      <c r="CQ319" s="583">
        <v>1998</v>
      </c>
      <c r="CR319" s="142">
        <f t="shared" si="203"/>
        <v>396.9</v>
      </c>
      <c r="CS319" s="143">
        <v>0.3969</v>
      </c>
      <c r="CT319" s="115"/>
      <c r="CU319" s="143">
        <f t="shared" si="205"/>
        <v>2.6296228999999998</v>
      </c>
      <c r="CV319" s="142">
        <v>2629.6229</v>
      </c>
      <c r="CW319" s="67">
        <f t="shared" si="204"/>
        <v>15.093418908087544</v>
      </c>
      <c r="DL319" s="28" t="s">
        <v>13</v>
      </c>
      <c r="DM319" s="127" t="s">
        <v>738</v>
      </c>
      <c r="DN319" s="29" t="s">
        <v>715</v>
      </c>
      <c r="DO319" s="29" t="s">
        <v>723</v>
      </c>
      <c r="DP319" s="127" t="s">
        <v>738</v>
      </c>
      <c r="DQ319" s="127" t="s">
        <v>738</v>
      </c>
      <c r="DR319" s="128" t="s">
        <v>739</v>
      </c>
      <c r="EG319" s="592">
        <v>1995</v>
      </c>
      <c r="EH319" s="593">
        <v>3.6</v>
      </c>
      <c r="EI319" s="556"/>
      <c r="EJ319" s="573">
        <v>1.65</v>
      </c>
      <c r="EK319" s="594"/>
      <c r="EL319" s="594"/>
      <c r="FB319" s="595">
        <v>3.6</v>
      </c>
      <c r="FC319" s="595"/>
      <c r="GD319" s="550">
        <v>1995</v>
      </c>
      <c r="GE319" s="551">
        <v>17.1</v>
      </c>
      <c r="GF319" s="105"/>
      <c r="GG319" s="201"/>
      <c r="GW319" s="555">
        <f t="shared" ref="GW319:GW343" si="206">GE319</f>
        <v>17.1</v>
      </c>
      <c r="GX319" s="555">
        <f>GW319</f>
        <v>17.1</v>
      </c>
      <c r="GZ319" s="28" t="s">
        <v>13</v>
      </c>
      <c r="HA319" s="214" t="s">
        <v>740</v>
      </c>
      <c r="HB319" s="214" t="s">
        <v>741</v>
      </c>
      <c r="HC319" s="214" t="s">
        <v>742</v>
      </c>
      <c r="HD319" s="471" t="s">
        <v>716</v>
      </c>
    </row>
    <row r="320" ht="20.5" customHeight="1" spans="95:212" x14ac:dyDescent="0.25">
      <c r="CQ320" s="583">
        <v>1999</v>
      </c>
      <c r="CR320" s="142">
        <f t="shared" si="203"/>
        <v>625.1</v>
      </c>
      <c r="CS320" s="143">
        <v>0.6251</v>
      </c>
      <c r="CT320" s="115"/>
      <c r="CU320" s="143">
        <f t="shared" si="205"/>
        <v>4.8232329</v>
      </c>
      <c r="CV320" s="142">
        <v>4823.2329</v>
      </c>
      <c r="CW320" s="67">
        <f t="shared" si="204"/>
        <v>12.960186931881312</v>
      </c>
      <c r="DL320" s="38">
        <v>43928</v>
      </c>
      <c r="DM320" s="40" t="s">
        <v>55</v>
      </c>
      <c r="DN320" s="40" t="s">
        <v>720</v>
      </c>
      <c r="DO320" s="40" t="s">
        <v>721</v>
      </c>
      <c r="DP320" s="40" t="s">
        <v>117</v>
      </c>
      <c r="DQ320" s="568" t="s">
        <v>743</v>
      </c>
      <c r="DR320" s="306" t="s">
        <v>55</v>
      </c>
      <c r="EG320" s="592">
        <v>1996</v>
      </c>
      <c r="EH320" s="596">
        <v>4.6</v>
      </c>
      <c r="EI320" s="597"/>
      <c r="EJ320" s="575">
        <v>2.35</v>
      </c>
      <c r="EK320" s="598"/>
      <c r="EL320" s="598"/>
      <c r="FB320" s="597">
        <v>4.6</v>
      </c>
      <c r="FC320" s="597"/>
      <c r="GD320" s="553">
        <v>1996</v>
      </c>
      <c r="GE320" s="554">
        <v>20.5</v>
      </c>
      <c r="GF320" s="114"/>
      <c r="GG320" s="75"/>
      <c r="GW320" s="599">
        <f t="shared" si="206"/>
        <v>20.5</v>
      </c>
      <c r="GX320" s="599">
        <f>GW320</f>
        <v>20.5</v>
      </c>
      <c r="GZ320" s="41">
        <v>43928</v>
      </c>
      <c r="HA320" s="132" t="s">
        <v>725</v>
      </c>
      <c r="HB320" s="39" t="s">
        <v>725</v>
      </c>
      <c r="HC320" s="600" t="s">
        <v>725</v>
      </c>
      <c r="HD320" s="544" t="s">
        <v>733</v>
      </c>
    </row>
    <row r="321" ht="17.5" customHeight="1" spans="95:212" x14ac:dyDescent="0.25">
      <c r="CQ321" s="583">
        <v>2000</v>
      </c>
      <c r="CR321" s="142">
        <f t="shared" si="203"/>
        <v>714.6</v>
      </c>
      <c r="CS321" s="143">
        <v>0.7146</v>
      </c>
      <c r="CT321" s="115"/>
      <c r="CU321" s="143">
        <f t="shared" si="205"/>
        <v>7.3056466</v>
      </c>
      <c r="CV321" s="142">
        <v>7305.6466</v>
      </c>
      <c r="CW321" s="67">
        <f t="shared" si="204"/>
        <v>9.781475057936692</v>
      </c>
      <c r="DL321" s="601">
        <v>1995</v>
      </c>
      <c r="DM321" s="315">
        <v>1</v>
      </c>
      <c r="DN321" s="322">
        <v>3.6</v>
      </c>
      <c r="DO321" s="321">
        <v>0.22080000000000002</v>
      </c>
      <c r="DP321" s="315">
        <f t="shared" ref="DP321:DP335" si="207">DM321</f>
        <v>1</v>
      </c>
      <c r="DQ321" s="315"/>
      <c r="DR321" s="201">
        <f>DR318*DN321+(1-DR318)*DO321</f>
        <v>1.0656</v>
      </c>
      <c r="EG321" s="592">
        <v>1997</v>
      </c>
      <c r="EH321" s="596">
        <v>5.5</v>
      </c>
      <c r="EI321" s="597"/>
      <c r="EJ321" s="575">
        <v>2.63</v>
      </c>
      <c r="EK321" s="598"/>
      <c r="EL321" s="598"/>
      <c r="FB321" s="597">
        <v>5.5</v>
      </c>
      <c r="FC321" s="597"/>
      <c r="GD321" s="553">
        <v>1997</v>
      </c>
      <c r="GE321" s="554">
        <v>19.1</v>
      </c>
      <c r="GF321" s="114"/>
      <c r="GG321" s="75"/>
      <c r="GW321" s="599">
        <f t="shared" si="206"/>
        <v>19.1</v>
      </c>
      <c r="GX321" s="599">
        <f t="shared" ref="GX321:GX343" si="208">GW321</f>
        <v>19.1</v>
      </c>
      <c r="GZ321" s="550">
        <v>1995</v>
      </c>
      <c r="HA321" s="138">
        <f t="array" ref="HA321:HA344">TRANSPOSE(U103:AR103)</f>
        <v>437</v>
      </c>
      <c r="HB321" s="142">
        <f t="shared" ref="HB321:HB344" si="209">EM372</f>
        <v>418.4685</v>
      </c>
      <c r="HC321" s="142">
        <f t="shared" ref="HC321:HC344" si="210">ED372</f>
        <v>514.8553</v>
      </c>
      <c r="HD321" s="555">
        <f t="shared" ref="HD321:HD344" si="211">GE319</f>
        <v>17.1</v>
      </c>
    </row>
    <row r="322" ht="17.5" customHeight="1" spans="95:212" x14ac:dyDescent="0.25">
      <c r="CQ322" s="583">
        <v>2001</v>
      </c>
      <c r="CR322" s="142">
        <f t="shared" si="203"/>
        <v>1150.6</v>
      </c>
      <c r="CS322" s="143">
        <v>1.1505999999999998</v>
      </c>
      <c r="CT322" s="115"/>
      <c r="CU322" s="143">
        <f t="shared" si="205"/>
        <v>8.9435826</v>
      </c>
      <c r="CV322" s="142">
        <v>8943.5826</v>
      </c>
      <c r="CW322" s="67">
        <f t="shared" si="204"/>
        <v>12.8650905510729</v>
      </c>
      <c r="DL322" s="602">
        <v>1996</v>
      </c>
      <c r="DM322" s="57">
        <f>НАСТРОЙКА!DR137</f>
        <v>1.218</v>
      </c>
      <c r="DN322" s="326">
        <f t="shared" ref="DN322:DN356" si="212">FB320</f>
        <v>4.6</v>
      </c>
      <c r="DO322" s="57">
        <f>CS317</f>
        <v>0.2823</v>
      </c>
      <c r="DP322" s="57">
        <f t="shared" si="207"/>
        <v>1.218</v>
      </c>
      <c r="DQ322" s="272"/>
      <c r="DR322" s="75">
        <f t="shared" ref="DR322:DR356" si="213">DR$318*DN322+(1-DR$318)*DO322</f>
        <v>1.3617249999999999</v>
      </c>
      <c r="EG322" s="592">
        <v>1998</v>
      </c>
      <c r="EH322" s="596">
        <v>9.7</v>
      </c>
      <c r="EI322" s="597"/>
      <c r="EJ322" s="575">
        <v>3.02</v>
      </c>
      <c r="EK322" s="598">
        <v>1.5936969696969696</v>
      </c>
      <c r="EL322" s="598"/>
      <c r="FB322" s="597">
        <v>9.7</v>
      </c>
      <c r="FC322" s="597"/>
      <c r="GD322" s="553">
        <v>1998</v>
      </c>
      <c r="GE322" s="554">
        <v>12.7</v>
      </c>
      <c r="GF322" s="114"/>
      <c r="GG322" s="75"/>
      <c r="GW322" s="599">
        <f t="shared" si="206"/>
        <v>12.7</v>
      </c>
      <c r="GX322" s="599">
        <f t="shared" si="208"/>
        <v>12.7</v>
      </c>
      <c r="GZ322" s="553">
        <v>1996</v>
      </c>
      <c r="HA322" s="142">
        <v>558.5</v>
      </c>
      <c r="HB322" s="142">
        <f t="shared" si="209"/>
        <v>523.4631</v>
      </c>
      <c r="HC322" s="142">
        <f t="shared" si="210"/>
        <v>622.7616000000002</v>
      </c>
      <c r="HD322" s="316">
        <f t="shared" si="211"/>
        <v>20.5</v>
      </c>
    </row>
    <row r="323" ht="17.5" customHeight="1" spans="95:212" x14ac:dyDescent="0.25">
      <c r="CQ323" s="583">
        <v>2002</v>
      </c>
      <c r="CR323" s="142">
        <f t="shared" si="203"/>
        <v>1609.4</v>
      </c>
      <c r="CS323" s="143">
        <v>1.6094000000000002</v>
      </c>
      <c r="CT323" s="115"/>
      <c r="CU323" s="143">
        <f t="shared" si="205"/>
        <v>10.819270899999998</v>
      </c>
      <c r="CV323" s="142">
        <v>10819.270899999998</v>
      </c>
      <c r="CW323" s="67">
        <f t="shared" si="204"/>
        <v>14.875309204061065</v>
      </c>
      <c r="DL323" s="602">
        <v>1997</v>
      </c>
      <c r="DM323" s="57">
        <f>НАСТРОЙКА!DR138</f>
        <v>1.3519800000000002</v>
      </c>
      <c r="DN323" s="326">
        <f t="shared" si="212"/>
        <v>5.5</v>
      </c>
      <c r="DO323" s="57">
        <f t="shared" ref="DO323:DO345" si="214">CS318</f>
        <v>0.3574</v>
      </c>
      <c r="DP323" s="57">
        <f t="shared" si="207"/>
        <v>1.3519800000000002</v>
      </c>
      <c r="DQ323" s="272"/>
      <c r="DR323" s="75">
        <f t="shared" si="213"/>
        <v>1.6430500000000001</v>
      </c>
      <c r="EG323" s="592">
        <v>1999</v>
      </c>
      <c r="EH323" s="596">
        <v>24.62</v>
      </c>
      <c r="EI323" s="597"/>
      <c r="EJ323" s="575">
        <v>5.41</v>
      </c>
      <c r="EK323" s="598">
        <v>2.7466970387243737</v>
      </c>
      <c r="EL323" s="598">
        <v>4.1</v>
      </c>
      <c r="FB323" s="597">
        <v>24.62</v>
      </c>
      <c r="FC323" s="597">
        <v>4.1</v>
      </c>
      <c r="GD323" s="553">
        <v>1999</v>
      </c>
      <c r="GE323" s="554">
        <v>17.7</v>
      </c>
      <c r="GF323" s="114"/>
      <c r="GG323" s="75"/>
      <c r="GW323" s="599">
        <f t="shared" si="206"/>
        <v>17.7</v>
      </c>
      <c r="GX323" s="599">
        <f t="shared" si="208"/>
        <v>17.7</v>
      </c>
      <c r="GZ323" s="553">
        <v>1997</v>
      </c>
      <c r="HA323" s="142">
        <v>711.6</v>
      </c>
      <c r="HB323" s="142">
        <f t="shared" si="209"/>
        <v>579.2865</v>
      </c>
      <c r="HC323" s="142">
        <f t="shared" si="210"/>
        <v>685.2900999999999</v>
      </c>
      <c r="HD323" s="316">
        <f t="shared" si="211"/>
        <v>19.1</v>
      </c>
    </row>
    <row r="324" ht="17.5" customHeight="1" spans="95:212" x14ac:dyDescent="0.25">
      <c r="CQ324" s="583">
        <v>2003</v>
      </c>
      <c r="CR324" s="142">
        <f t="shared" si="203"/>
        <v>2130.5</v>
      </c>
      <c r="CS324" s="143">
        <v>2.1305</v>
      </c>
      <c r="CT324" s="115"/>
      <c r="CU324" s="143">
        <f t="shared" si="205"/>
        <v>13.208250299999998</v>
      </c>
      <c r="CV324" s="142">
        <v>13208.250299999998</v>
      </c>
      <c r="CW324" s="67">
        <f t="shared" si="204"/>
        <v>16.13006985489971</v>
      </c>
      <c r="DL324" s="602">
        <v>1998</v>
      </c>
      <c r="DM324" s="57">
        <f>НАСТРОЙКА!DR139</f>
        <v>2.4930511200000005</v>
      </c>
      <c r="DN324" s="326">
        <f t="shared" si="212"/>
        <v>9.7</v>
      </c>
      <c r="DO324" s="57">
        <f t="shared" si="214"/>
        <v>0.3969</v>
      </c>
      <c r="DP324" s="57">
        <f t="shared" si="207"/>
        <v>2.4930511200000005</v>
      </c>
      <c r="DQ324" s="272"/>
      <c r="DR324" s="75">
        <f t="shared" si="213"/>
        <v>2.7226749999999997</v>
      </c>
      <c r="EG324" s="592">
        <v>2000</v>
      </c>
      <c r="EH324" s="596">
        <v>28.14</v>
      </c>
      <c r="EI324" s="597"/>
      <c r="EJ324" s="575">
        <v>7.04</v>
      </c>
      <c r="EK324" s="598">
        <v>3.7833247022268255</v>
      </c>
      <c r="EL324" s="598">
        <v>5.3999999999999995</v>
      </c>
      <c r="FB324" s="597">
        <v>28.14</v>
      </c>
      <c r="FC324" s="597">
        <v>5.3999999999999995</v>
      </c>
      <c r="GD324" s="553">
        <v>2000</v>
      </c>
      <c r="GE324" s="554">
        <v>28.3</v>
      </c>
      <c r="GF324" s="114"/>
      <c r="GG324" s="75"/>
      <c r="GW324" s="599">
        <f t="shared" si="206"/>
        <v>28.3</v>
      </c>
      <c r="GX324" s="599">
        <f t="shared" si="208"/>
        <v>28.3</v>
      </c>
      <c r="GZ324" s="553">
        <v>1998</v>
      </c>
      <c r="HA324" s="142">
        <v>686.8</v>
      </c>
      <c r="HB324" s="142">
        <f t="shared" si="209"/>
        <v>821.0434</v>
      </c>
      <c r="HC324" s="142">
        <f t="shared" si="210"/>
        <v>807.4396999999999</v>
      </c>
      <c r="HD324" s="316">
        <f t="shared" si="211"/>
        <v>12.7</v>
      </c>
    </row>
    <row r="325" ht="17.5" customHeight="1" spans="95:212" x14ac:dyDescent="0.25">
      <c r="CQ325" s="583">
        <v>2004</v>
      </c>
      <c r="CR325" s="142">
        <f t="shared" si="203"/>
        <v>3205.2</v>
      </c>
      <c r="CS325" s="143">
        <v>3.2051999999999996</v>
      </c>
      <c r="CT325" s="115"/>
      <c r="CU325" s="143">
        <f t="shared" si="205"/>
        <v>17.027167</v>
      </c>
      <c r="CV325" s="142">
        <v>17027.166999999998</v>
      </c>
      <c r="CW325" s="67">
        <f t="shared" si="204"/>
        <v>18.824035730665003</v>
      </c>
      <c r="DL325" s="602">
        <v>1999</v>
      </c>
      <c r="DM325" s="57">
        <f>НАСТРОЙКА!DR140</f>
        <v>3.4030147788000007</v>
      </c>
      <c r="DN325" s="326">
        <f t="shared" si="212"/>
        <v>24.62</v>
      </c>
      <c r="DO325" s="57">
        <f t="shared" si="214"/>
        <v>0.6251</v>
      </c>
      <c r="DP325" s="57">
        <f t="shared" si="207"/>
        <v>3.4030147788000007</v>
      </c>
      <c r="DQ325" s="272"/>
      <c r="DR325" s="75">
        <f t="shared" si="213"/>
        <v>6.623825</v>
      </c>
      <c r="EG325" s="592">
        <v>2001</v>
      </c>
      <c r="EH325" s="596">
        <v>29.17</v>
      </c>
      <c r="EI325" s="597"/>
      <c r="EJ325" s="575">
        <v>8.1</v>
      </c>
      <c r="EK325" s="598">
        <v>4.407885657959586</v>
      </c>
      <c r="EL325" s="598">
        <v>6.699999999999999</v>
      </c>
      <c r="FB325" s="597">
        <v>29.17</v>
      </c>
      <c r="FC325" s="597">
        <v>6.699999999999999</v>
      </c>
      <c r="GD325" s="553">
        <v>2001</v>
      </c>
      <c r="GE325" s="554">
        <v>24.4</v>
      </c>
      <c r="GF325" s="114"/>
      <c r="GG325" s="75"/>
      <c r="GW325" s="599">
        <f t="shared" si="206"/>
        <v>24.4</v>
      </c>
      <c r="GX325" s="599">
        <f t="shared" si="208"/>
        <v>24.4</v>
      </c>
      <c r="GZ325" s="553">
        <v>1999</v>
      </c>
      <c r="HA325" s="142">
        <v>1213.6</v>
      </c>
      <c r="HB325" s="142">
        <f t="shared" si="209"/>
        <v>2084.5851</v>
      </c>
      <c r="HC325" s="142">
        <f t="shared" si="210"/>
        <v>2129.4647999999997</v>
      </c>
      <c r="HD325" s="316">
        <f t="shared" si="211"/>
        <v>17.7</v>
      </c>
    </row>
    <row r="326" ht="17.5" customHeight="1" spans="95:212" x14ac:dyDescent="0.25">
      <c r="CQ326" s="583">
        <v>2005</v>
      </c>
      <c r="CR326" s="142">
        <f t="shared" si="203"/>
        <v>4353.9</v>
      </c>
      <c r="CS326" s="143">
        <v>4.353899999999999</v>
      </c>
      <c r="CT326" s="115"/>
      <c r="CU326" s="143">
        <f t="shared" si="205"/>
        <v>21.609765799999998</v>
      </c>
      <c r="CV326" s="142">
        <v>21609.765799999997</v>
      </c>
      <c r="CW326" s="67">
        <f t="shared" si="204"/>
        <v>20.147835197732682</v>
      </c>
      <c r="DL326" s="602">
        <v>2000</v>
      </c>
      <c r="DM326" s="57">
        <f>НАСТРОЙКА!DR141</f>
        <v>4.090423764117601</v>
      </c>
      <c r="DN326" s="326">
        <f t="shared" si="212"/>
        <v>28.14</v>
      </c>
      <c r="DO326" s="57">
        <f t="shared" si="214"/>
        <v>0.7146</v>
      </c>
      <c r="DP326" s="57">
        <f t="shared" si="207"/>
        <v>4.090423764117601</v>
      </c>
      <c r="DQ326" s="272"/>
      <c r="DR326" s="75">
        <f t="shared" si="213"/>
        <v>7.57095</v>
      </c>
      <c r="EG326" s="592">
        <v>2002</v>
      </c>
      <c r="EH326" s="596">
        <v>31.35</v>
      </c>
      <c r="EI326" s="597"/>
      <c r="EJ326" s="575">
        <v>9.17</v>
      </c>
      <c r="EK326" s="598">
        <v>5.094308560677328</v>
      </c>
      <c r="EL326" s="598">
        <v>7.999999999999999</v>
      </c>
      <c r="FB326" s="597">
        <v>31.35</v>
      </c>
      <c r="FC326" s="597">
        <v>7.999999999999999</v>
      </c>
      <c r="GD326" s="553">
        <v>2002</v>
      </c>
      <c r="GE326" s="554">
        <v>25</v>
      </c>
      <c r="GF326" s="114"/>
      <c r="GG326" s="75"/>
      <c r="GW326" s="599">
        <f t="shared" si="206"/>
        <v>25</v>
      </c>
      <c r="GX326" s="599">
        <f t="shared" si="208"/>
        <v>25</v>
      </c>
      <c r="GZ326" s="553">
        <v>2000</v>
      </c>
      <c r="HA326" s="142">
        <v>2097.7</v>
      </c>
      <c r="HB326" s="142">
        <f t="shared" si="209"/>
        <v>3218.8663</v>
      </c>
      <c r="HC326" s="142">
        <f t="shared" si="210"/>
        <v>3419.3657</v>
      </c>
      <c r="HD326" s="316">
        <f t="shared" si="211"/>
        <v>28.3</v>
      </c>
    </row>
    <row r="327" ht="17.5" customHeight="1" spans="95:212" x14ac:dyDescent="0.25">
      <c r="CQ327" s="583">
        <v>2006</v>
      </c>
      <c r="CR327" s="142">
        <f t="shared" si="203"/>
        <v>6032.1</v>
      </c>
      <c r="CS327" s="143">
        <v>6.032100000000001</v>
      </c>
      <c r="CT327" s="75">
        <f>CS327</f>
        <v>6.032100000000001</v>
      </c>
      <c r="CU327" s="143">
        <f t="shared" si="205"/>
        <v>26.917203699999998</v>
      </c>
      <c r="CV327" s="142">
        <v>26917.2037</v>
      </c>
      <c r="CW327" s="67">
        <f t="shared" si="204"/>
        <v>22.40983152347285</v>
      </c>
      <c r="DL327" s="602">
        <v>2001</v>
      </c>
      <c r="DM327" s="57">
        <f>НАСТРОЙКА!DR142</f>
        <v>4.851242584243474</v>
      </c>
      <c r="DN327" s="326">
        <f t="shared" si="212"/>
        <v>29.17</v>
      </c>
      <c r="DO327" s="57">
        <f t="shared" si="214"/>
        <v>1.1505999999999998</v>
      </c>
      <c r="DP327" s="57">
        <f t="shared" si="207"/>
        <v>4.851242584243474</v>
      </c>
      <c r="DQ327" s="272"/>
      <c r="DR327" s="75">
        <f t="shared" si="213"/>
        <v>8.15545</v>
      </c>
      <c r="EG327" s="592">
        <v>2003</v>
      </c>
      <c r="EH327" s="596">
        <v>30.69</v>
      </c>
      <c r="EI327" s="597"/>
      <c r="EJ327" s="575">
        <v>10.14</v>
      </c>
      <c r="EK327" s="598">
        <v>5.790530469092504</v>
      </c>
      <c r="EL327" s="598">
        <v>9.299999999999999</v>
      </c>
      <c r="FB327" s="597">
        <v>30.69</v>
      </c>
      <c r="FC327" s="597">
        <v>9.299999999999999</v>
      </c>
      <c r="GD327" s="553">
        <v>2003</v>
      </c>
      <c r="GE327" s="554">
        <v>28.9</v>
      </c>
      <c r="GF327" s="114"/>
      <c r="GG327" s="75"/>
      <c r="GW327" s="599">
        <f t="shared" si="206"/>
        <v>28.9</v>
      </c>
      <c r="GX327" s="599">
        <f t="shared" si="208"/>
        <v>28.9</v>
      </c>
      <c r="GZ327" s="553">
        <v>2001</v>
      </c>
      <c r="HA327" s="142">
        <v>2683.7</v>
      </c>
      <c r="HB327" s="142">
        <f t="shared" si="209"/>
        <v>3299.5617</v>
      </c>
      <c r="HC327" s="142">
        <f t="shared" si="210"/>
        <v>3757.9725999999996</v>
      </c>
      <c r="HD327" s="316">
        <f t="shared" si="211"/>
        <v>24.4</v>
      </c>
    </row>
    <row r="328" ht="17.5" customHeight="1" spans="95:212" x14ac:dyDescent="0.25">
      <c r="CQ328" s="583">
        <v>2007</v>
      </c>
      <c r="CR328" s="142">
        <f t="shared" si="203"/>
        <v>8970.7</v>
      </c>
      <c r="CS328" s="143">
        <v>8.9707</v>
      </c>
      <c r="CT328" s="75">
        <f t="shared" ref="CT328:CT340" si="215">CS328</f>
        <v>8.9707</v>
      </c>
      <c r="CU328" s="143">
        <f t="shared" si="205"/>
        <v>33.2475132</v>
      </c>
      <c r="CV328" s="142">
        <v>33247.5132</v>
      </c>
      <c r="CW328" s="67">
        <f t="shared" si="204"/>
        <v>26.98156684993812</v>
      </c>
      <c r="DL328" s="602">
        <v>2002</v>
      </c>
      <c r="DM328" s="57">
        <f>НАСТРОЙКА!DR143</f>
        <v>5.583780214464239</v>
      </c>
      <c r="DN328" s="326">
        <f t="shared" si="212"/>
        <v>31.35</v>
      </c>
      <c r="DO328" s="57">
        <f t="shared" si="214"/>
        <v>1.6094000000000002</v>
      </c>
      <c r="DP328" s="57">
        <f t="shared" si="207"/>
        <v>5.583780214464239</v>
      </c>
      <c r="DQ328" s="272"/>
      <c r="DR328" s="75">
        <f t="shared" si="213"/>
        <v>9.044550000000001</v>
      </c>
      <c r="EG328" s="592">
        <v>2004</v>
      </c>
      <c r="EH328" s="596">
        <v>28.81</v>
      </c>
      <c r="EI328" s="597"/>
      <c r="EJ328" s="575">
        <v>11.55</v>
      </c>
      <c r="EK328" s="598">
        <v>6.966939443535188</v>
      </c>
      <c r="EL328" s="598">
        <v>10.599999999999998</v>
      </c>
      <c r="FB328" s="597">
        <v>28.81</v>
      </c>
      <c r="FC328" s="597">
        <v>10.599999999999998</v>
      </c>
      <c r="GD328" s="553">
        <v>2004</v>
      </c>
      <c r="GE328" s="554">
        <v>38.3</v>
      </c>
      <c r="GF328" s="114"/>
      <c r="GG328" s="75"/>
      <c r="GW328" s="599">
        <f t="shared" si="206"/>
        <v>38.3</v>
      </c>
      <c r="GX328" s="599">
        <f t="shared" si="208"/>
        <v>38.3</v>
      </c>
      <c r="GZ328" s="553">
        <v>2002</v>
      </c>
      <c r="HA328" s="142">
        <v>3519.2</v>
      </c>
      <c r="HB328" s="142">
        <f t="shared" si="209"/>
        <v>3813.7</v>
      </c>
      <c r="HC328" s="142">
        <f t="shared" si="210"/>
        <v>4220.666399999998</v>
      </c>
      <c r="HD328" s="316">
        <f t="shared" si="211"/>
        <v>25</v>
      </c>
    </row>
    <row r="329" ht="17.5" customHeight="1" spans="95:212" x14ac:dyDescent="0.25">
      <c r="CQ329" s="583">
        <v>2008</v>
      </c>
      <c r="CR329" s="142">
        <f t="shared" si="203"/>
        <v>12869</v>
      </c>
      <c r="CS329" s="143">
        <v>12.869</v>
      </c>
      <c r="CT329" s="75">
        <f t="shared" si="215"/>
        <v>12.869</v>
      </c>
      <c r="CU329" s="143">
        <f t="shared" si="205"/>
        <v>41.276849199999994</v>
      </c>
      <c r="CV329" s="142">
        <v>41276.8492</v>
      </c>
      <c r="CW329" s="67">
        <f t="shared" si="204"/>
        <v>31.177282785431213</v>
      </c>
      <c r="DL329" s="602">
        <v>2003</v>
      </c>
      <c r="DM329" s="57">
        <f>НАСТРОЙКА!DR144</f>
        <v>6.253833840199949</v>
      </c>
      <c r="DN329" s="326">
        <f t="shared" si="212"/>
        <v>30.69</v>
      </c>
      <c r="DO329" s="57">
        <f t="shared" si="214"/>
        <v>2.1305</v>
      </c>
      <c r="DP329" s="57">
        <f t="shared" si="207"/>
        <v>6.253833840199949</v>
      </c>
      <c r="DQ329" s="272"/>
      <c r="DR329" s="75">
        <f t="shared" si="213"/>
        <v>9.270375000000001</v>
      </c>
      <c r="EG329" s="592">
        <v>2005</v>
      </c>
      <c r="EH329" s="596">
        <v>28.3</v>
      </c>
      <c r="EI329" s="597"/>
      <c r="EJ329" s="575">
        <v>12.74</v>
      </c>
      <c r="EK329" s="598">
        <v>8.311461538461538</v>
      </c>
      <c r="EL329" s="598">
        <v>11.899999999999999</v>
      </c>
      <c r="FB329" s="597">
        <v>28.3</v>
      </c>
      <c r="FC329" s="597">
        <v>11.899999999999999</v>
      </c>
      <c r="GD329" s="553">
        <v>2005</v>
      </c>
      <c r="GE329" s="554">
        <v>54.4</v>
      </c>
      <c r="GF329" s="114"/>
      <c r="GG329" s="75"/>
      <c r="GW329" s="599">
        <f t="shared" si="206"/>
        <v>54.4</v>
      </c>
      <c r="GX329" s="599">
        <f t="shared" si="208"/>
        <v>54.4</v>
      </c>
      <c r="GZ329" s="553">
        <v>2003</v>
      </c>
      <c r="HA329" s="142">
        <v>4138.7</v>
      </c>
      <c r="HB329" s="142">
        <f t="shared" si="209"/>
        <v>4655.8803</v>
      </c>
      <c r="HC329" s="142">
        <f t="shared" si="210"/>
        <v>5224.525099999999</v>
      </c>
      <c r="HD329" s="316">
        <f t="shared" si="211"/>
        <v>28.9</v>
      </c>
    </row>
    <row r="330" ht="17.5" customHeight="1" spans="95:212" x14ac:dyDescent="0.25">
      <c r="CQ330" s="583">
        <v>2009</v>
      </c>
      <c r="CR330" s="142">
        <f t="shared" si="203"/>
        <v>12975.9</v>
      </c>
      <c r="CS330" s="143">
        <v>12.9759</v>
      </c>
      <c r="CT330" s="75">
        <f t="shared" si="215"/>
        <v>12.9759</v>
      </c>
      <c r="CU330" s="143">
        <f t="shared" si="205"/>
        <v>38.8072709</v>
      </c>
      <c r="CV330" s="142">
        <v>38807.270899999996</v>
      </c>
      <c r="CW330" s="67">
        <f t="shared" si="204"/>
        <v>33.43677537499809</v>
      </c>
      <c r="DL330" s="602">
        <v>2004</v>
      </c>
      <c r="DM330" s="57">
        <f>НАСТРОЙКА!DR145</f>
        <v>6.9855323995033425</v>
      </c>
      <c r="DN330" s="326">
        <f t="shared" si="212"/>
        <v>28.81</v>
      </c>
      <c r="DO330" s="57">
        <f t="shared" si="214"/>
        <v>3.2051999999999996</v>
      </c>
      <c r="DP330" s="57">
        <f t="shared" si="207"/>
        <v>6.9855323995033425</v>
      </c>
      <c r="DQ330" s="272"/>
      <c r="DR330" s="75">
        <f t="shared" si="213"/>
        <v>9.606399999999999</v>
      </c>
      <c r="EG330" s="592">
        <v>2006</v>
      </c>
      <c r="EH330" s="596">
        <v>27.17</v>
      </c>
      <c r="EI330" s="597"/>
      <c r="EJ330" s="575">
        <v>14.2</v>
      </c>
      <c r="EK330" s="598">
        <v>9.57226173541963</v>
      </c>
      <c r="EL330" s="598">
        <v>13.2</v>
      </c>
      <c r="FB330" s="597">
        <v>27.17</v>
      </c>
      <c r="FC330" s="597">
        <v>13.2</v>
      </c>
      <c r="GD330" s="553">
        <v>2006</v>
      </c>
      <c r="GE330" s="554">
        <v>65.4</v>
      </c>
      <c r="GF330" s="114"/>
      <c r="GG330" s="75"/>
      <c r="GW330" s="599">
        <f t="shared" si="206"/>
        <v>65.4</v>
      </c>
      <c r="GX330" s="599">
        <f t="shared" si="208"/>
        <v>65.4</v>
      </c>
      <c r="GZ330" s="553">
        <v>2004</v>
      </c>
      <c r="HA330" s="142">
        <v>5429.9</v>
      </c>
      <c r="HB330" s="142">
        <f t="shared" si="209"/>
        <v>5860.3969</v>
      </c>
      <c r="HC330" s="142">
        <f t="shared" si="210"/>
        <v>6554.360899999998</v>
      </c>
      <c r="HD330" s="316">
        <f t="shared" si="211"/>
        <v>38.3</v>
      </c>
    </row>
    <row r="331" ht="17.5" customHeight="1" spans="95:212" x14ac:dyDescent="0.25">
      <c r="CQ331" s="583">
        <v>2010</v>
      </c>
      <c r="CR331" s="142">
        <f t="shared" si="203"/>
        <v>15267.6</v>
      </c>
      <c r="CS331" s="143">
        <v>15.2676</v>
      </c>
      <c r="CT331" s="75">
        <f t="shared" si="215"/>
        <v>15.2676</v>
      </c>
      <c r="CU331" s="143">
        <f t="shared" si="205"/>
        <v>46.30853100000001</v>
      </c>
      <c r="CV331" s="142">
        <v>46308.53100000001</v>
      </c>
      <c r="CW331" s="67">
        <f t="shared" si="204"/>
        <v>32.969303215426976</v>
      </c>
      <c r="DL331" s="602">
        <v>2005</v>
      </c>
      <c r="DM331" s="57">
        <f>НАСТРОЙКА!DR146</f>
        <v>7.746955431049207</v>
      </c>
      <c r="DN331" s="326">
        <f t="shared" si="212"/>
        <v>28.3</v>
      </c>
      <c r="DO331" s="57">
        <f t="shared" si="214"/>
        <v>4.353899999999999</v>
      </c>
      <c r="DP331" s="57">
        <f t="shared" si="207"/>
        <v>7.746955431049207</v>
      </c>
      <c r="DQ331" s="272"/>
      <c r="DR331" s="75">
        <f t="shared" si="213"/>
        <v>10.340425</v>
      </c>
      <c r="EG331" s="592">
        <v>2007</v>
      </c>
      <c r="EH331" s="596">
        <v>25.58</v>
      </c>
      <c r="EI331" s="597"/>
      <c r="EJ331" s="575">
        <v>15.72</v>
      </c>
      <c r="EK331" s="598">
        <v>10.89367627785059</v>
      </c>
      <c r="EL331" s="598">
        <v>14.5</v>
      </c>
      <c r="FB331" s="597">
        <v>25.58</v>
      </c>
      <c r="FC331" s="597">
        <v>14.5</v>
      </c>
      <c r="GD331" s="553">
        <v>2007</v>
      </c>
      <c r="GE331" s="554">
        <v>72.7</v>
      </c>
      <c r="GF331" s="114"/>
      <c r="GG331" s="75"/>
      <c r="GW331" s="599">
        <f t="shared" si="206"/>
        <v>72.7</v>
      </c>
      <c r="GX331" s="599">
        <f t="shared" si="208"/>
        <v>72.7</v>
      </c>
      <c r="GZ331" s="553">
        <v>2005</v>
      </c>
      <c r="HA331" s="142">
        <v>8579.6</v>
      </c>
      <c r="HB331" s="142">
        <f t="shared" si="209"/>
        <v>7607.2565</v>
      </c>
      <c r="HC331" s="142">
        <f t="shared" si="210"/>
        <v>8334.9119</v>
      </c>
      <c r="HD331" s="316">
        <f t="shared" si="211"/>
        <v>54.4</v>
      </c>
    </row>
    <row r="332" ht="17.5" customHeight="1" spans="95:212" x14ac:dyDescent="0.25">
      <c r="CQ332" s="583">
        <v>2011</v>
      </c>
      <c r="CR332" s="142">
        <f t="shared" si="203"/>
        <v>20011.9</v>
      </c>
      <c r="CS332" s="143">
        <v>20.0119</v>
      </c>
      <c r="CT332" s="75">
        <f t="shared" si="215"/>
        <v>20.0119</v>
      </c>
      <c r="CU332" s="143">
        <f t="shared" si="205"/>
        <v>60.2825404</v>
      </c>
      <c r="CV332" s="142">
        <v>60282.540400000005</v>
      </c>
      <c r="CW332" s="67">
        <f t="shared" si="204"/>
        <v>33.19684251395616</v>
      </c>
      <c r="DL332" s="602">
        <v>2006</v>
      </c>
      <c r="DM332" s="57">
        <f>НАСТРОЙКА!DR147</f>
        <v>8.444181419843636</v>
      </c>
      <c r="DN332" s="326">
        <f t="shared" si="212"/>
        <v>27.17</v>
      </c>
      <c r="DO332" s="57">
        <f t="shared" si="214"/>
        <v>6.032100000000001</v>
      </c>
      <c r="DP332" s="57">
        <f t="shared" si="207"/>
        <v>8.444181419843636</v>
      </c>
      <c r="DQ332" s="272"/>
      <c r="DR332" s="75">
        <f t="shared" si="213"/>
        <v>11.316575</v>
      </c>
      <c r="EG332" s="592">
        <v>2008</v>
      </c>
      <c r="EH332" s="596">
        <v>24.86</v>
      </c>
      <c r="EI332" s="597"/>
      <c r="EJ332" s="575">
        <v>18.22</v>
      </c>
      <c r="EK332" s="598">
        <v>12.84680983504513</v>
      </c>
      <c r="EL332" s="598">
        <v>15.8</v>
      </c>
      <c r="FB332" s="597">
        <v>24.86</v>
      </c>
      <c r="FC332" s="597">
        <v>15.8</v>
      </c>
      <c r="GD332" s="553">
        <v>2008</v>
      </c>
      <c r="GE332" s="554">
        <v>97.7</v>
      </c>
      <c r="GF332" s="114"/>
      <c r="GG332" s="75"/>
      <c r="GW332" s="599">
        <f t="shared" si="206"/>
        <v>97.7</v>
      </c>
      <c r="GX332" s="599">
        <f t="shared" si="208"/>
        <v>97.7</v>
      </c>
      <c r="GZ332" s="553">
        <v>2006</v>
      </c>
      <c r="HA332" s="142">
        <v>10625.8</v>
      </c>
      <c r="HB332" s="142">
        <f t="shared" si="209"/>
        <v>9079.3</v>
      </c>
      <c r="HC332" s="142">
        <f t="shared" si="210"/>
        <v>10048.0623</v>
      </c>
      <c r="HD332" s="316">
        <f t="shared" si="211"/>
        <v>65.4</v>
      </c>
    </row>
    <row r="333" ht="17.5" customHeight="1" spans="95:212" x14ac:dyDescent="0.25">
      <c r="CQ333" s="583">
        <v>2012</v>
      </c>
      <c r="CR333" s="142">
        <f t="shared" si="203"/>
        <v>24204.8</v>
      </c>
      <c r="CS333" s="143">
        <v>24.2048</v>
      </c>
      <c r="CT333" s="75">
        <f t="shared" si="215"/>
        <v>24.2048</v>
      </c>
      <c r="CU333" s="143">
        <f t="shared" si="205"/>
        <v>68.1638831</v>
      </c>
      <c r="CV333" s="142">
        <v>68163.8831</v>
      </c>
      <c r="CW333" s="67">
        <f t="shared" si="204"/>
        <v>35.50971408787009</v>
      </c>
      <c r="DL333" s="602">
        <v>2007</v>
      </c>
      <c r="DM333" s="57">
        <f>НАСТРОЙКА!DR148</f>
        <v>9.446505754379075</v>
      </c>
      <c r="DN333" s="326">
        <f t="shared" si="212"/>
        <v>25.58</v>
      </c>
      <c r="DO333" s="57">
        <f t="shared" si="214"/>
        <v>8.9707</v>
      </c>
      <c r="DP333" s="57">
        <f t="shared" si="207"/>
        <v>9.446505754379075</v>
      </c>
      <c r="DQ333" s="272"/>
      <c r="DR333" s="75">
        <f t="shared" si="213"/>
        <v>13.123025</v>
      </c>
      <c r="EG333" s="592">
        <v>2009</v>
      </c>
      <c r="EH333" s="596">
        <v>31.83</v>
      </c>
      <c r="EI333" s="597"/>
      <c r="EJ333" s="575">
        <v>18.45</v>
      </c>
      <c r="EK333" s="598">
        <v>13.10611279972982</v>
      </c>
      <c r="EL333" s="598">
        <v>17.1</v>
      </c>
      <c r="FB333" s="597">
        <v>31.83</v>
      </c>
      <c r="FC333" s="597">
        <v>17.1</v>
      </c>
      <c r="GD333" s="553">
        <v>2009</v>
      </c>
      <c r="GE333" s="554">
        <v>61.9</v>
      </c>
      <c r="GF333" s="114"/>
      <c r="GG333" s="75"/>
      <c r="GW333" s="599">
        <f t="shared" si="206"/>
        <v>61.9</v>
      </c>
      <c r="GX333" s="599">
        <f t="shared" si="208"/>
        <v>61.9</v>
      </c>
      <c r="GZ333" s="553">
        <v>2007</v>
      </c>
      <c r="HA333" s="142">
        <v>13368.262</v>
      </c>
      <c r="HB333" s="142">
        <f t="shared" si="209"/>
        <v>10028.7621</v>
      </c>
      <c r="HC333" s="142">
        <f t="shared" si="210"/>
        <v>11346.6383</v>
      </c>
      <c r="HD333" s="316">
        <f t="shared" si="211"/>
        <v>72.7</v>
      </c>
    </row>
    <row r="334" ht="17.5" customHeight="1" spans="95:212" x14ac:dyDescent="0.25">
      <c r="CQ334" s="583">
        <v>2013</v>
      </c>
      <c r="CR334" s="142">
        <f t="shared" si="203"/>
        <v>27164.6</v>
      </c>
      <c r="CS334" s="143">
        <v>27.1646</v>
      </c>
      <c r="CT334" s="75">
        <f t="shared" si="215"/>
        <v>27.1646</v>
      </c>
      <c r="CU334" s="143">
        <f t="shared" si="205"/>
        <v>73.13389509999998</v>
      </c>
      <c r="CV334" s="142">
        <v>73133.89509999998</v>
      </c>
      <c r="CW334" s="67">
        <f t="shared" si="204"/>
        <v>37.14365269736605</v>
      </c>
      <c r="DL334" s="602">
        <v>2008</v>
      </c>
      <c r="DM334" s="57">
        <f>НАСТРОЙКА!DR149</f>
        <v>10.701001718560617</v>
      </c>
      <c r="DN334" s="326">
        <f t="shared" si="212"/>
        <v>24.86</v>
      </c>
      <c r="DO334" s="57">
        <f t="shared" si="214"/>
        <v>12.869</v>
      </c>
      <c r="DP334" s="57">
        <f t="shared" si="207"/>
        <v>10.701001718560617</v>
      </c>
      <c r="DQ334" s="272"/>
      <c r="DR334" s="75">
        <f t="shared" si="213"/>
        <v>15.86675</v>
      </c>
      <c r="EG334" s="592">
        <v>2010</v>
      </c>
      <c r="EH334" s="596">
        <v>30.36</v>
      </c>
      <c r="EI334" s="597"/>
      <c r="EJ334" s="575">
        <v>19.1</v>
      </c>
      <c r="EK334" s="598">
        <v>14.962358642972536</v>
      </c>
      <c r="EL334" s="598">
        <v>18.400000000000002</v>
      </c>
      <c r="FB334" s="597">
        <v>30.36</v>
      </c>
      <c r="FC334" s="597">
        <v>18.400000000000002</v>
      </c>
      <c r="GD334" s="553">
        <v>2010</v>
      </c>
      <c r="GE334" s="554">
        <v>79.6</v>
      </c>
      <c r="GF334" s="114"/>
      <c r="GG334" s="75"/>
      <c r="GW334" s="599">
        <f t="shared" si="206"/>
        <v>79.6</v>
      </c>
      <c r="GX334" s="599">
        <f t="shared" si="208"/>
        <v>79.6</v>
      </c>
      <c r="GZ334" s="553">
        <v>2008</v>
      </c>
      <c r="HA334" s="142">
        <v>16003.86</v>
      </c>
      <c r="HB334" s="142">
        <f t="shared" si="209"/>
        <v>12923.5537</v>
      </c>
      <c r="HC334" s="142">
        <f t="shared" si="210"/>
        <v>14668.053799999998</v>
      </c>
      <c r="HD334" s="316">
        <f t="shared" si="211"/>
        <v>97.7</v>
      </c>
    </row>
    <row r="335" ht="17.5" customHeight="1" spans="95:212" x14ac:dyDescent="0.25">
      <c r="CQ335" s="583">
        <v>2014</v>
      </c>
      <c r="CR335" s="142">
        <f t="shared" si="203"/>
        <v>31155.6</v>
      </c>
      <c r="CS335" s="143">
        <v>31.1556</v>
      </c>
      <c r="CT335" s="75">
        <f t="shared" si="215"/>
        <v>31.1556</v>
      </c>
      <c r="CU335" s="143">
        <f t="shared" si="205"/>
        <v>79.058</v>
      </c>
      <c r="CV335" s="142">
        <v>79058</v>
      </c>
      <c r="CW335" s="67">
        <f t="shared" si="204"/>
        <v>39.408535505578186</v>
      </c>
      <c r="DL335" s="602">
        <v>2009</v>
      </c>
      <c r="DM335" s="57">
        <f>НАСТРОЙКА!DR150</f>
        <v>11.642689869793951</v>
      </c>
      <c r="DN335" s="326">
        <f t="shared" si="212"/>
        <v>31.83</v>
      </c>
      <c r="DO335" s="57">
        <f t="shared" si="214"/>
        <v>12.9759</v>
      </c>
      <c r="DP335" s="57">
        <f t="shared" si="207"/>
        <v>11.642689869793951</v>
      </c>
      <c r="DQ335" s="57">
        <f t="shared" ref="DQ335:DQ345" si="216">DM335</f>
        <v>11.642689869793951</v>
      </c>
      <c r="DR335" s="75">
        <f t="shared" si="213"/>
        <v>17.689425</v>
      </c>
      <c r="EG335" s="592">
        <v>2011</v>
      </c>
      <c r="EH335" s="596">
        <v>29.39</v>
      </c>
      <c r="EI335" s="597"/>
      <c r="EJ335" s="575">
        <v>19.4</v>
      </c>
      <c r="EK335" s="598">
        <v>18.680663154632786</v>
      </c>
      <c r="EL335" s="598">
        <v>19.700000000000003</v>
      </c>
      <c r="FB335" s="597">
        <v>29.39</v>
      </c>
      <c r="FC335" s="597">
        <v>19.700000000000003</v>
      </c>
      <c r="GD335" s="553">
        <v>2011</v>
      </c>
      <c r="GE335" s="554">
        <v>111</v>
      </c>
      <c r="GF335" s="114"/>
      <c r="GG335" s="75"/>
      <c r="GW335" s="599">
        <f t="shared" si="206"/>
        <v>111</v>
      </c>
      <c r="GX335" s="599">
        <f t="shared" si="208"/>
        <v>111</v>
      </c>
      <c r="GZ335" s="553">
        <v>2009</v>
      </c>
      <c r="HA335" s="142">
        <v>13599.7</v>
      </c>
      <c r="HB335" s="142">
        <f t="shared" si="209"/>
        <v>10842.0262</v>
      </c>
      <c r="HC335" s="142">
        <f t="shared" si="210"/>
        <v>10210.714599999998</v>
      </c>
      <c r="HD335" s="316">
        <f t="shared" si="211"/>
        <v>61.9</v>
      </c>
    </row>
    <row r="336" ht="17.5" customHeight="1" spans="95:212" x14ac:dyDescent="0.25">
      <c r="CQ336" s="583">
        <v>2015</v>
      </c>
      <c r="CR336" s="142">
        <f t="shared" si="203"/>
        <v>31615.7</v>
      </c>
      <c r="CS336" s="143">
        <v>31.6157</v>
      </c>
      <c r="CT336" s="75">
        <f t="shared" si="215"/>
        <v>31.6157</v>
      </c>
      <c r="CU336" s="143">
        <f t="shared" si="205"/>
        <v>83.094</v>
      </c>
      <c r="CV336" s="142">
        <v>83094</v>
      </c>
      <c r="CW336" s="67">
        <f t="shared" si="204"/>
        <v>38.04811418393626</v>
      </c>
      <c r="DL336" s="602">
        <v>2010</v>
      </c>
      <c r="DM336" s="57">
        <f>НАСТРОЙКА!DR151</f>
        <v>12.664918040361862</v>
      </c>
      <c r="DN336" s="326">
        <f t="shared" si="212"/>
        <v>30.36</v>
      </c>
      <c r="DO336" s="57">
        <f t="shared" si="214"/>
        <v>15.2676</v>
      </c>
      <c r="DP336" s="57"/>
      <c r="DQ336" s="57">
        <f t="shared" si="216"/>
        <v>12.664918040361862</v>
      </c>
      <c r="DR336" s="75">
        <f t="shared" si="213"/>
        <v>19.0407</v>
      </c>
      <c r="EG336" s="592">
        <v>2012</v>
      </c>
      <c r="EH336" s="596">
        <v>32.19</v>
      </c>
      <c r="EI336" s="597"/>
      <c r="EJ336" s="575">
        <v>22.7</v>
      </c>
      <c r="EK336" s="598">
        <v>20.420581186339124</v>
      </c>
      <c r="EL336" s="598">
        <v>21.000000000000004</v>
      </c>
      <c r="FB336" s="597">
        <v>31.08</v>
      </c>
      <c r="FC336" s="597">
        <v>21.000000000000004</v>
      </c>
      <c r="GD336" s="553">
        <v>2012</v>
      </c>
      <c r="GE336" s="554">
        <v>111.4</v>
      </c>
      <c r="GF336" s="114"/>
      <c r="GG336" s="75"/>
      <c r="GW336" s="599">
        <f t="shared" si="206"/>
        <v>111.4</v>
      </c>
      <c r="GX336" s="599">
        <f t="shared" si="208"/>
        <v>111.4</v>
      </c>
      <c r="GZ336" s="553">
        <v>2010</v>
      </c>
      <c r="HA336" s="142">
        <v>16031.9</v>
      </c>
      <c r="HB336" s="142">
        <f t="shared" si="209"/>
        <v>13529.311</v>
      </c>
      <c r="HC336" s="142">
        <f t="shared" si="210"/>
        <v>14849.832000000011</v>
      </c>
      <c r="HD336" s="316">
        <f t="shared" si="211"/>
        <v>79.6</v>
      </c>
    </row>
    <row r="337" ht="17.5" customHeight="1" spans="95:212" x14ac:dyDescent="0.25">
      <c r="CQ337" s="583">
        <v>2016</v>
      </c>
      <c r="CR337" s="142">
        <f t="shared" si="203"/>
        <v>35179.7</v>
      </c>
      <c r="CS337" s="143">
        <v>35.1797</v>
      </c>
      <c r="CT337" s="75">
        <f t="shared" si="215"/>
        <v>35.1797</v>
      </c>
      <c r="CU337" s="143">
        <f t="shared" si="205"/>
        <v>86.014</v>
      </c>
      <c r="CV337" s="142">
        <v>86014</v>
      </c>
      <c r="CW337" s="67">
        <f t="shared" si="204"/>
        <v>40.89996977236263</v>
      </c>
      <c r="DL337" s="602">
        <v>2011</v>
      </c>
      <c r="DM337" s="57">
        <f>НАСТРОЙКА!DR152</f>
        <v>13.437478040823935</v>
      </c>
      <c r="DN337" s="326">
        <f t="shared" si="212"/>
        <v>29.39</v>
      </c>
      <c r="DO337" s="57">
        <f t="shared" si="214"/>
        <v>20.0119</v>
      </c>
      <c r="DP337" s="57"/>
      <c r="DQ337" s="57">
        <f t="shared" si="216"/>
        <v>13.437478040823935</v>
      </c>
      <c r="DR337" s="75">
        <f t="shared" si="213"/>
        <v>22.356425</v>
      </c>
      <c r="EG337" s="592">
        <v>2013</v>
      </c>
      <c r="EH337" s="596">
        <v>30.37</v>
      </c>
      <c r="EI337" s="597"/>
      <c r="EJ337" s="575">
        <v>24.1</v>
      </c>
      <c r="EK337" s="598">
        <v>20.943270332187858</v>
      </c>
      <c r="EL337" s="598">
        <v>22.300000000000004</v>
      </c>
      <c r="FB337" s="597">
        <v>31.85</v>
      </c>
      <c r="FC337" s="597">
        <v>22.300000000000004</v>
      </c>
      <c r="GD337" s="553">
        <v>2013</v>
      </c>
      <c r="GE337" s="554">
        <v>108.8</v>
      </c>
      <c r="GF337" s="114"/>
      <c r="GG337" s="75"/>
      <c r="GW337" s="599">
        <f t="shared" si="206"/>
        <v>108.8</v>
      </c>
      <c r="GX337" s="599">
        <f t="shared" si="208"/>
        <v>108.8</v>
      </c>
      <c r="GZ337" s="553">
        <v>2011</v>
      </c>
      <c r="HA337" s="142">
        <v>20855</v>
      </c>
      <c r="HB337" s="142">
        <f t="shared" si="209"/>
        <v>16865.192199999998</v>
      </c>
      <c r="HC337" s="142">
        <f t="shared" si="210"/>
        <v>20565.427600000003</v>
      </c>
      <c r="HD337" s="316">
        <f t="shared" si="211"/>
        <v>111</v>
      </c>
    </row>
    <row r="338" ht="17.5" customHeight="1" spans="95:212" x14ac:dyDescent="0.25">
      <c r="CQ338" s="583">
        <v>2017</v>
      </c>
      <c r="CR338" s="142">
        <f t="shared" si="203"/>
        <v>38418</v>
      </c>
      <c r="CS338" s="143">
        <v>38.418</v>
      </c>
      <c r="CT338" s="75">
        <f t="shared" si="215"/>
        <v>38.418</v>
      </c>
      <c r="CU338" s="143">
        <f t="shared" si="205"/>
        <v>92.101</v>
      </c>
      <c r="CV338" s="142">
        <v>92101</v>
      </c>
      <c r="CW338" s="67">
        <f t="shared" si="204"/>
        <v>41.71290214004191</v>
      </c>
      <c r="DL338" s="602">
        <v>2012</v>
      </c>
      <c r="DM338" s="57">
        <f>НАСТРОЙКА!DR153</f>
        <v>14.321664095910151</v>
      </c>
      <c r="DN338" s="326">
        <f t="shared" si="212"/>
        <v>31.08</v>
      </c>
      <c r="DO338" s="57">
        <f t="shared" si="214"/>
        <v>24.2048</v>
      </c>
      <c r="DP338" s="57"/>
      <c r="DQ338" s="57">
        <f t="shared" si="216"/>
        <v>14.321664095910151</v>
      </c>
      <c r="DR338" s="75">
        <f t="shared" si="213"/>
        <v>25.923599999999997</v>
      </c>
      <c r="EG338" s="592">
        <v>2014</v>
      </c>
      <c r="EH338" s="596">
        <v>32.65</v>
      </c>
      <c r="EI338" s="597"/>
      <c r="EJ338" s="575">
        <v>26</v>
      </c>
      <c r="EK338" s="598">
        <v>22.259612141652614</v>
      </c>
      <c r="EL338" s="598">
        <v>23.600000000000005</v>
      </c>
      <c r="FB338" s="597">
        <v>32.73</v>
      </c>
      <c r="FC338" s="597">
        <v>23.600000000000005</v>
      </c>
      <c r="GD338" s="553">
        <v>2014</v>
      </c>
      <c r="GE338" s="554">
        <v>98.9</v>
      </c>
      <c r="GF338" s="114"/>
      <c r="GG338" s="75"/>
      <c r="GW338" s="599">
        <f t="shared" si="206"/>
        <v>98.9</v>
      </c>
      <c r="GX338" s="599">
        <f t="shared" si="208"/>
        <v>98.9</v>
      </c>
      <c r="GZ338" s="553">
        <v>2012</v>
      </c>
      <c r="HA338" s="142">
        <v>23435</v>
      </c>
      <c r="HB338" s="142">
        <f t="shared" si="209"/>
        <v>18324.7723</v>
      </c>
      <c r="HC338" s="142">
        <f t="shared" si="210"/>
        <v>22468.884300000005</v>
      </c>
      <c r="HD338" s="316">
        <f t="shared" si="211"/>
        <v>111.4</v>
      </c>
    </row>
    <row r="339" ht="17.5" customHeight="1" spans="95:212" x14ac:dyDescent="0.25">
      <c r="CQ339" s="583">
        <v>2018</v>
      </c>
      <c r="CR339" s="142">
        <f t="shared" si="203"/>
        <v>42442.2</v>
      </c>
      <c r="CS339" s="143">
        <v>42.4422</v>
      </c>
      <c r="CT339" s="75">
        <f t="shared" si="215"/>
        <v>42.4422</v>
      </c>
      <c r="CU339" s="143">
        <f t="shared" si="205"/>
        <v>103.876</v>
      </c>
      <c r="CV339" s="142">
        <v>103876</v>
      </c>
      <c r="CW339" s="67">
        <f t="shared" si="204"/>
        <v>40.85852362432131</v>
      </c>
      <c r="DL339" s="602">
        <v>2013</v>
      </c>
      <c r="DM339" s="57">
        <f>НАСТРОЙКА!DR154</f>
        <v>15.245411430096356</v>
      </c>
      <c r="DN339" s="326">
        <f t="shared" si="212"/>
        <v>31.85</v>
      </c>
      <c r="DO339" s="57">
        <f t="shared" si="214"/>
        <v>27.1646</v>
      </c>
      <c r="DP339" s="272"/>
      <c r="DQ339" s="57">
        <f t="shared" si="216"/>
        <v>15.245411430096356</v>
      </c>
      <c r="DR339" s="75">
        <f t="shared" si="213"/>
        <v>28.335949999999997</v>
      </c>
      <c r="EG339" s="592">
        <v>2015</v>
      </c>
      <c r="EH339" s="596">
        <v>56.23</v>
      </c>
      <c r="EI339" s="597"/>
      <c r="EJ339" s="575">
        <v>29.4</v>
      </c>
      <c r="EK339" s="598">
        <v>24.01013532968615</v>
      </c>
      <c r="EL339" s="598">
        <v>24.900000000000006</v>
      </c>
      <c r="FB339" s="597">
        <v>56.26</v>
      </c>
      <c r="FC339" s="597">
        <v>24.900000000000006</v>
      </c>
      <c r="GD339" s="553">
        <v>2015</v>
      </c>
      <c r="GE339" s="554">
        <v>52.4</v>
      </c>
      <c r="GF339" s="114"/>
      <c r="GG339" s="75"/>
      <c r="GW339" s="599">
        <f t="shared" si="206"/>
        <v>52.4</v>
      </c>
      <c r="GX339" s="599">
        <f t="shared" si="208"/>
        <v>52.4</v>
      </c>
      <c r="GZ339" s="553">
        <v>2013</v>
      </c>
      <c r="HA339" s="142">
        <v>24442</v>
      </c>
      <c r="HB339" s="142">
        <f t="shared" si="209"/>
        <v>18863.370199999998</v>
      </c>
      <c r="HC339" s="142">
        <f t="shared" si="210"/>
        <v>22328.99409999999</v>
      </c>
      <c r="HD339" s="316">
        <f t="shared" si="211"/>
        <v>108.8</v>
      </c>
    </row>
    <row r="340" ht="17.5" customHeight="1" spans="95:212" x14ac:dyDescent="0.25">
      <c r="CQ340" s="583">
        <v>2019</v>
      </c>
      <c r="CR340" s="142">
        <f t="shared" si="203"/>
        <v>47109.3</v>
      </c>
      <c r="CS340" s="143">
        <v>47.109300000000005</v>
      </c>
      <c r="CT340" s="75">
        <f t="shared" si="215"/>
        <v>47.109300000000005</v>
      </c>
      <c r="CU340" s="143">
        <v>110.046</v>
      </c>
      <c r="CV340" s="142"/>
      <c r="CW340" s="316"/>
      <c r="DL340" s="602">
        <v>2014</v>
      </c>
      <c r="DM340" s="57">
        <f>НАСТРОЙКА!DR155</f>
        <v>17.31878738458946</v>
      </c>
      <c r="DN340" s="326">
        <f t="shared" si="212"/>
        <v>32.73</v>
      </c>
      <c r="DO340" s="57">
        <f t="shared" si="214"/>
        <v>31.1556</v>
      </c>
      <c r="DP340" s="272"/>
      <c r="DQ340" s="57">
        <f t="shared" si="216"/>
        <v>17.31878738458946</v>
      </c>
      <c r="DR340" s="75">
        <f t="shared" si="213"/>
        <v>31.5492</v>
      </c>
      <c r="EG340" s="592">
        <v>2016</v>
      </c>
      <c r="EH340" s="596">
        <v>72.92</v>
      </c>
      <c r="EI340" s="597"/>
      <c r="EJ340" s="603"/>
      <c r="EK340" s="598">
        <v>23.00363150867824</v>
      </c>
      <c r="EL340" s="598">
        <v>26.200000000000006</v>
      </c>
      <c r="FB340" s="597">
        <v>72.88</v>
      </c>
      <c r="FC340" s="597">
        <v>26.200000000000006</v>
      </c>
      <c r="GD340" s="553">
        <v>2016</v>
      </c>
      <c r="GE340" s="554">
        <v>44</v>
      </c>
      <c r="GF340" s="114"/>
      <c r="GG340" s="75"/>
      <c r="GW340" s="599">
        <f t="shared" si="206"/>
        <v>44</v>
      </c>
      <c r="GX340" s="599">
        <f t="shared" si="208"/>
        <v>44</v>
      </c>
      <c r="GZ340" s="553">
        <v>2014</v>
      </c>
      <c r="HA340" s="142">
        <v>26766</v>
      </c>
      <c r="HB340" s="142">
        <f t="shared" si="209"/>
        <v>21425.9346</v>
      </c>
      <c r="HC340" s="142">
        <f t="shared" si="210"/>
        <v>25406.47919999999</v>
      </c>
      <c r="HD340" s="316">
        <f t="shared" si="211"/>
        <v>98.9</v>
      </c>
    </row>
    <row r="341" ht="17.5" customHeight="1" spans="95:212" x14ac:dyDescent="0.25">
      <c r="CQ341" s="583">
        <v>2020</v>
      </c>
      <c r="CR341" s="604"/>
      <c r="CS341" s="114"/>
      <c r="CT341" s="115"/>
      <c r="CU341" s="216"/>
      <c r="CV341" s="605"/>
      <c r="CW341" s="606"/>
      <c r="DL341" s="602">
        <v>2015</v>
      </c>
      <c r="DM341" s="57">
        <f>НАСТРОЙКА!DR156</f>
        <v>19.5529109572015</v>
      </c>
      <c r="DN341" s="326">
        <f t="shared" si="212"/>
        <v>56.26</v>
      </c>
      <c r="DO341" s="57">
        <f t="shared" si="214"/>
        <v>31.6157</v>
      </c>
      <c r="DP341" s="272"/>
      <c r="DQ341" s="57">
        <f t="shared" si="216"/>
        <v>19.5529109572015</v>
      </c>
      <c r="DR341" s="75">
        <f t="shared" si="213"/>
        <v>37.776775</v>
      </c>
      <c r="EG341" s="592">
        <v>2017</v>
      </c>
      <c r="EH341" s="596">
        <v>60.65</v>
      </c>
      <c r="EI341" s="597"/>
      <c r="EJ341" s="603"/>
      <c r="EK341" s="598">
        <v>23.0093</v>
      </c>
      <c r="EL341" s="598">
        <v>27.500000000000007</v>
      </c>
      <c r="FB341" s="597">
        <v>60.66</v>
      </c>
      <c r="FC341" s="597">
        <v>27.500000000000007</v>
      </c>
      <c r="GD341" s="553">
        <v>2017</v>
      </c>
      <c r="GE341" s="554">
        <v>55</v>
      </c>
      <c r="GF341" s="114"/>
      <c r="GG341" s="75"/>
      <c r="GW341" s="599">
        <f t="shared" si="206"/>
        <v>55</v>
      </c>
      <c r="GX341" s="599">
        <f t="shared" si="208"/>
        <v>55</v>
      </c>
      <c r="GZ341" s="553">
        <v>2015</v>
      </c>
      <c r="HA341" s="142">
        <v>26922</v>
      </c>
      <c r="HB341" s="142">
        <f t="shared" si="209"/>
        <v>23854.05</v>
      </c>
      <c r="HC341" s="142">
        <f t="shared" si="210"/>
        <v>28559.893</v>
      </c>
      <c r="HD341" s="316">
        <f t="shared" si="211"/>
        <v>52.4</v>
      </c>
    </row>
    <row r="342" ht="17.5" customHeight="1" spans="95:212" x14ac:dyDescent="0.25">
      <c r="CQ342" s="583">
        <v>2021</v>
      </c>
      <c r="CR342" s="605"/>
      <c r="CS342" s="114"/>
      <c r="CT342" s="115"/>
      <c r="CU342" s="216"/>
      <c r="CV342" s="605"/>
      <c r="CW342" s="606"/>
      <c r="DL342" s="602">
        <v>2016</v>
      </c>
      <c r="DM342" s="57">
        <f>НАСТРОЙКА!DR157</f>
        <v>20.60681285779466</v>
      </c>
      <c r="DN342" s="326">
        <f t="shared" si="212"/>
        <v>72.88</v>
      </c>
      <c r="DO342" s="57">
        <f t="shared" si="214"/>
        <v>35.1797</v>
      </c>
      <c r="DP342" s="272"/>
      <c r="DQ342" s="57">
        <f t="shared" si="216"/>
        <v>20.60681285779466</v>
      </c>
      <c r="DR342" s="75">
        <f t="shared" si="213"/>
        <v>44.604775</v>
      </c>
      <c r="EG342" s="592">
        <v>2018</v>
      </c>
      <c r="EH342" s="596">
        <v>57.6</v>
      </c>
      <c r="EI342" s="597">
        <f>EH342</f>
        <v>57.6</v>
      </c>
      <c r="EJ342" s="603"/>
      <c r="EK342" s="598">
        <v>24.86</v>
      </c>
      <c r="EL342" s="598">
        <v>28.800000000000008</v>
      </c>
      <c r="FB342" s="597">
        <v>57.6</v>
      </c>
      <c r="FC342" s="597">
        <v>28.800000000000008</v>
      </c>
      <c r="GD342" s="553">
        <v>2018</v>
      </c>
      <c r="GE342" s="554">
        <v>70</v>
      </c>
      <c r="GF342" s="114"/>
      <c r="GG342" s="75"/>
      <c r="GW342" s="599">
        <f t="shared" si="206"/>
        <v>70</v>
      </c>
      <c r="GX342" s="599">
        <f t="shared" si="208"/>
        <v>70</v>
      </c>
      <c r="GZ342" s="553">
        <v>2016</v>
      </c>
      <c r="HA342" s="142">
        <v>28182</v>
      </c>
      <c r="HB342" s="142">
        <f t="shared" si="209"/>
        <v>22137.648</v>
      </c>
      <c r="HC342" s="142">
        <f t="shared" si="210"/>
        <v>27631.495</v>
      </c>
      <c r="HD342" s="316">
        <f t="shared" si="211"/>
        <v>44</v>
      </c>
    </row>
    <row r="343" ht="18" customHeight="1" spans="95:212" x14ac:dyDescent="0.25">
      <c r="CQ343" s="583">
        <v>2022</v>
      </c>
      <c r="CR343" s="605"/>
      <c r="CS343" s="114"/>
      <c r="CT343" s="115"/>
      <c r="CU343" s="216"/>
      <c r="CV343" s="605"/>
      <c r="CW343" s="606"/>
      <c r="DL343" s="602">
        <v>2017</v>
      </c>
      <c r="DM343" s="57">
        <f>НАСТРОЙКА!DR158</f>
        <v>21.124043860525305</v>
      </c>
      <c r="DN343" s="326">
        <f t="shared" si="212"/>
        <v>60.66</v>
      </c>
      <c r="DO343" s="57">
        <f t="shared" si="214"/>
        <v>38.418</v>
      </c>
      <c r="DP343" s="167"/>
      <c r="DQ343" s="57">
        <f t="shared" si="216"/>
        <v>21.124043860525305</v>
      </c>
      <c r="DR343" s="75">
        <f t="shared" si="213"/>
        <v>43.9785</v>
      </c>
      <c r="EG343" s="592">
        <v>2019</v>
      </c>
      <c r="EH343" s="596">
        <v>69.47</v>
      </c>
      <c r="EI343" s="597">
        <f t="shared" ref="EI343:EI345" si="217">EH343</f>
        <v>69.47</v>
      </c>
      <c r="EJ343" s="607"/>
      <c r="EK343" s="598">
        <v>25.9</v>
      </c>
      <c r="EL343" s="598">
        <v>30.10000000000001</v>
      </c>
      <c r="FB343" s="597">
        <f>EH343</f>
        <v>69.47</v>
      </c>
      <c r="FC343" s="597">
        <v>30.10000000000001</v>
      </c>
      <c r="GD343" s="553">
        <v>2019</v>
      </c>
      <c r="GE343" s="554">
        <v>72</v>
      </c>
      <c r="GF343" s="114"/>
      <c r="GG343" s="575">
        <f>GE343</f>
        <v>72</v>
      </c>
      <c r="GW343" s="599">
        <f t="shared" si="206"/>
        <v>72</v>
      </c>
      <c r="GX343" s="599">
        <f t="shared" si="208"/>
        <v>72</v>
      </c>
      <c r="GZ343" s="553">
        <v>2017</v>
      </c>
      <c r="HA343" s="142">
        <v>31047</v>
      </c>
      <c r="HB343" s="142">
        <f t="shared" si="209"/>
        <v>23994.3</v>
      </c>
      <c r="HC343" s="142">
        <f t="shared" si="210"/>
        <v>30155.721999999994</v>
      </c>
      <c r="HD343" s="316">
        <f t="shared" si="211"/>
        <v>55</v>
      </c>
    </row>
    <row r="344" ht="18" customHeight="1" spans="95:212" x14ac:dyDescent="0.25">
      <c r="CQ344" s="583">
        <v>2023</v>
      </c>
      <c r="CR344" s="605"/>
      <c r="CS344" s="114"/>
      <c r="CT344" s="115"/>
      <c r="CU344" s="216"/>
      <c r="CV344" s="605"/>
      <c r="CW344" s="606"/>
      <c r="DL344" s="602">
        <v>2018</v>
      </c>
      <c r="DM344" s="57">
        <f>НАСТРОЙКА!DR159</f>
        <v>22.02392812898368</v>
      </c>
      <c r="DN344" s="326">
        <f t="shared" si="212"/>
        <v>57.6</v>
      </c>
      <c r="DO344" s="57">
        <f t="shared" si="214"/>
        <v>42.4422</v>
      </c>
      <c r="DP344" s="167"/>
      <c r="DQ344" s="57">
        <f t="shared" si="216"/>
        <v>22.02392812898368</v>
      </c>
      <c r="DR344" s="75">
        <f t="shared" si="213"/>
        <v>46.23165</v>
      </c>
      <c r="EG344" s="592">
        <v>2020</v>
      </c>
      <c r="EH344" s="596">
        <v>61.9</v>
      </c>
      <c r="EI344" s="597">
        <f t="shared" si="217"/>
        <v>61.9</v>
      </c>
      <c r="EJ344" s="607"/>
      <c r="EK344" s="598"/>
      <c r="EL344" s="598">
        <v>31.40000000000001</v>
      </c>
      <c r="FB344" s="597">
        <f t="shared" ref="FB344:FB353" si="218">EI344</f>
        <v>61.9</v>
      </c>
      <c r="FC344" s="597">
        <v>31.40000000000001</v>
      </c>
      <c r="GD344" s="553">
        <v>2020</v>
      </c>
      <c r="GE344" s="608"/>
      <c r="GF344" s="114"/>
      <c r="GG344" s="575">
        <v>40</v>
      </c>
      <c r="GW344" s="599">
        <f t="shared" ref="GW344:GW353" si="219">GG344</f>
        <v>40</v>
      </c>
      <c r="GX344" s="599"/>
      <c r="GZ344" s="553">
        <v>2018</v>
      </c>
      <c r="HA344" s="142">
        <v>37320</v>
      </c>
      <c r="HB344" s="142">
        <f t="shared" si="209"/>
        <v>31932.55</v>
      </c>
      <c r="HC344" s="142">
        <f t="shared" si="210"/>
        <v>37948.99399999999</v>
      </c>
      <c r="HD344" s="316">
        <f t="shared" si="211"/>
        <v>70</v>
      </c>
    </row>
    <row r="345" ht="18" customHeight="1" spans="95:212" x14ac:dyDescent="0.25">
      <c r="CQ345" s="609">
        <v>2024</v>
      </c>
      <c r="CR345" s="605"/>
      <c r="CS345" s="114"/>
      <c r="CT345" s="115"/>
      <c r="CU345" s="216"/>
      <c r="CV345" s="605"/>
      <c r="CW345" s="606"/>
      <c r="DL345" s="602">
        <v>2019</v>
      </c>
      <c r="DM345" s="57">
        <f>НАСТРОЙКА!DR160</f>
        <v>22.693455544104783</v>
      </c>
      <c r="DN345" s="326">
        <f t="shared" si="212"/>
        <v>69.47</v>
      </c>
      <c r="DO345" s="57">
        <f t="shared" si="214"/>
        <v>47.109300000000005</v>
      </c>
      <c r="DP345" s="167"/>
      <c r="DQ345" s="57">
        <f t="shared" si="216"/>
        <v>22.693455544104783</v>
      </c>
      <c r="DR345" s="75">
        <f t="shared" si="213"/>
        <v>52.699475</v>
      </c>
      <c r="EG345" s="592">
        <v>2021</v>
      </c>
      <c r="EH345" s="596">
        <v>73.87</v>
      </c>
      <c r="EI345" s="597">
        <f t="shared" si="217"/>
        <v>73.87</v>
      </c>
      <c r="EJ345" s="610"/>
      <c r="EK345" s="598"/>
      <c r="EL345" s="598">
        <f>EL344+1.3</f>
        <v>32.70000000000001</v>
      </c>
      <c r="FB345" s="597">
        <f t="shared" si="218"/>
        <v>73.87</v>
      </c>
      <c r="FC345" s="597">
        <v>32.70000000000001</v>
      </c>
      <c r="GD345" s="553">
        <v>2021</v>
      </c>
      <c r="GE345" s="611"/>
      <c r="GF345" s="114"/>
      <c r="GG345" s="575">
        <v>50</v>
      </c>
      <c r="GW345" s="599">
        <f t="shared" si="219"/>
        <v>50</v>
      </c>
      <c r="GX345" s="599"/>
      <c r="GZ345" s="553">
        <v>2019</v>
      </c>
      <c r="HA345" s="142"/>
      <c r="HB345" s="114"/>
      <c r="HC345" s="114"/>
      <c r="HD345" s="316"/>
    </row>
    <row r="346" ht="18" customHeight="1" spans="95:212" x14ac:dyDescent="0.25">
      <c r="CQ346" s="583">
        <v>2025</v>
      </c>
      <c r="CR346" s="605"/>
      <c r="CS346" s="114"/>
      <c r="CT346" s="115"/>
      <c r="CU346" s="216"/>
      <c r="CV346" s="605"/>
      <c r="CW346" s="606"/>
      <c r="DL346" s="602">
        <v>2020</v>
      </c>
      <c r="DM346" s="57">
        <f>НАСТРОЙКА!DR161</f>
        <v>23.807704211320324</v>
      </c>
      <c r="DN346" s="326">
        <f t="shared" si="212"/>
        <v>61.9</v>
      </c>
      <c r="DO346" s="57"/>
      <c r="DP346" s="167"/>
      <c r="DQ346" s="57"/>
      <c r="DR346" s="75">
        <f t="shared" si="213"/>
        <v>15.475</v>
      </c>
      <c r="EG346" s="592">
        <v>2022</v>
      </c>
      <c r="EH346" s="596"/>
      <c r="EI346" s="597">
        <f>EI345+1.3</f>
        <v>75.17</v>
      </c>
      <c r="EJ346" s="610"/>
      <c r="EK346" s="612"/>
      <c r="EL346" s="598">
        <f t="shared" ref="EL346:EL359" si="220">EL345+1.3</f>
        <v>34.00000000000001</v>
      </c>
      <c r="FB346" s="597">
        <f t="shared" si="218"/>
        <v>75.17</v>
      </c>
      <c r="FC346" s="597">
        <v>34.00000000000001</v>
      </c>
      <c r="GD346" s="553">
        <v>2022</v>
      </c>
      <c r="GE346" s="611"/>
      <c r="GF346" s="114"/>
      <c r="GG346" s="575">
        <f>GG345+0.8*(GG345-GG344)</f>
        <v>58</v>
      </c>
      <c r="GW346" s="599">
        <f t="shared" si="219"/>
        <v>58</v>
      </c>
      <c r="GX346" s="599"/>
      <c r="GZ346" s="553">
        <v>2020</v>
      </c>
      <c r="HA346" s="604"/>
      <c r="HB346" s="114"/>
      <c r="HC346" s="114"/>
      <c r="HD346" s="316"/>
    </row>
    <row r="347" ht="18" customHeight="1" spans="95:212" x14ac:dyDescent="0.25">
      <c r="CQ347" s="609">
        <v>2026</v>
      </c>
      <c r="CR347" s="605"/>
      <c r="CS347" s="114"/>
      <c r="CT347" s="115"/>
      <c r="CU347" s="216"/>
      <c r="CV347" s="605"/>
      <c r="CW347" s="606"/>
      <c r="DL347" s="602">
        <v>2021</v>
      </c>
      <c r="DM347" s="57">
        <f>НАСТРОЙКА!DR162</f>
        <v>24.99808942188634</v>
      </c>
      <c r="DN347" s="326">
        <f t="shared" si="212"/>
        <v>73.87</v>
      </c>
      <c r="DO347" s="57"/>
      <c r="DP347" s="167"/>
      <c r="DQ347" s="57"/>
      <c r="DR347" s="75">
        <f t="shared" si="213"/>
        <v>18.4675</v>
      </c>
      <c r="EG347" s="592">
        <v>2023</v>
      </c>
      <c r="EH347" s="596"/>
      <c r="EI347" s="597">
        <f t="shared" ref="EI347:EI359" si="221">EI346+1.3</f>
        <v>76.47</v>
      </c>
      <c r="EJ347" s="610"/>
      <c r="EK347" s="612"/>
      <c r="EL347" s="598">
        <f t="shared" si="220"/>
        <v>35.300000000000004</v>
      </c>
      <c r="FB347" s="597">
        <f t="shared" si="218"/>
        <v>76.47</v>
      </c>
      <c r="FC347" s="597">
        <v>35.300000000000004</v>
      </c>
      <c r="GD347" s="553">
        <v>2023</v>
      </c>
      <c r="GE347" s="611"/>
      <c r="GF347" s="114"/>
      <c r="GG347" s="575">
        <f t="shared" ref="GG347:GG359" si="222">GG346+0.8*(GG346-GG345)</f>
        <v>64.4</v>
      </c>
      <c r="GW347" s="599">
        <f t="shared" si="219"/>
        <v>64.4</v>
      </c>
      <c r="GX347" s="599"/>
      <c r="GZ347" s="553">
        <v>2021</v>
      </c>
      <c r="HA347" s="604"/>
      <c r="HB347" s="114"/>
      <c r="HC347" s="114"/>
      <c r="HD347" s="316"/>
    </row>
    <row r="348" ht="18" customHeight="1" spans="95:212" x14ac:dyDescent="0.25">
      <c r="CQ348" s="583">
        <v>2027</v>
      </c>
      <c r="CR348" s="605"/>
      <c r="CS348" s="114"/>
      <c r="CT348" s="115"/>
      <c r="CU348" s="216"/>
      <c r="CV348" s="605"/>
      <c r="CW348" s="606"/>
      <c r="DL348" s="602">
        <v>2022</v>
      </c>
      <c r="DM348" s="57">
        <f>НАСТРОЙКА!DR163</f>
        <v>26.24799389298066</v>
      </c>
      <c r="DN348" s="326">
        <f t="shared" si="212"/>
        <v>75.17</v>
      </c>
      <c r="DO348" s="57"/>
      <c r="DP348" s="167"/>
      <c r="DQ348" s="57"/>
      <c r="DR348" s="75">
        <f t="shared" si="213"/>
        <v>18.7925</v>
      </c>
      <c r="EG348" s="609">
        <v>2024</v>
      </c>
      <c r="EH348" s="596"/>
      <c r="EI348" s="597">
        <f t="shared" si="221"/>
        <v>77.77</v>
      </c>
      <c r="EJ348" s="610"/>
      <c r="EK348" s="612"/>
      <c r="EL348" s="598">
        <f t="shared" si="220"/>
        <v>36.6</v>
      </c>
      <c r="FB348" s="597">
        <f t="shared" si="218"/>
        <v>77.77</v>
      </c>
      <c r="FC348" s="597">
        <v>36.6</v>
      </c>
      <c r="GD348" s="559">
        <v>2024</v>
      </c>
      <c r="GE348" s="611"/>
      <c r="GF348" s="114"/>
      <c r="GG348" s="575">
        <f t="shared" si="222"/>
        <v>69.52000000000001</v>
      </c>
      <c r="GW348" s="599">
        <f t="shared" si="219"/>
        <v>69.52000000000001</v>
      </c>
      <c r="GX348" s="599"/>
      <c r="GZ348" s="553">
        <v>2022</v>
      </c>
      <c r="HA348" s="604"/>
      <c r="HB348" s="114"/>
      <c r="HC348" s="114"/>
      <c r="HD348" s="316"/>
    </row>
    <row r="349" ht="18" customHeight="1" spans="95:212" x14ac:dyDescent="0.25">
      <c r="CQ349" s="609">
        <v>2028</v>
      </c>
      <c r="CR349" s="605"/>
      <c r="CS349" s="114"/>
      <c r="CT349" s="115"/>
      <c r="CU349" s="216"/>
      <c r="CV349" s="605"/>
      <c r="CW349" s="606"/>
      <c r="DL349" s="602">
        <v>2023</v>
      </c>
      <c r="DM349" s="57">
        <f>НАСТРОЙКА!DR164</f>
        <v>27.560393587629694</v>
      </c>
      <c r="DN349" s="326">
        <f t="shared" si="212"/>
        <v>76.47</v>
      </c>
      <c r="DO349" s="57"/>
      <c r="DP349" s="167"/>
      <c r="DQ349" s="57"/>
      <c r="DR349" s="75">
        <f t="shared" si="213"/>
        <v>19.1175</v>
      </c>
      <c r="EG349" s="592">
        <v>2025</v>
      </c>
      <c r="EH349" s="596"/>
      <c r="EI349" s="597">
        <f t="shared" si="221"/>
        <v>79.07</v>
      </c>
      <c r="EJ349" s="610"/>
      <c r="EK349" s="613"/>
      <c r="EL349" s="598">
        <f t="shared" si="220"/>
        <v>37.9</v>
      </c>
      <c r="FB349" s="597">
        <f t="shared" si="218"/>
        <v>79.07</v>
      </c>
      <c r="FC349" s="597">
        <v>37.9</v>
      </c>
      <c r="GD349" s="553">
        <v>2025</v>
      </c>
      <c r="GE349" s="611"/>
      <c r="GF349" s="114"/>
      <c r="GG349" s="575">
        <f t="shared" si="222"/>
        <v>73.61600000000001</v>
      </c>
      <c r="GW349" s="599">
        <f t="shared" si="219"/>
        <v>73.61600000000001</v>
      </c>
      <c r="GX349" s="599"/>
      <c r="GZ349" s="553">
        <v>2023</v>
      </c>
      <c r="HA349" s="604"/>
      <c r="HB349" s="114"/>
      <c r="HC349" s="114"/>
      <c r="HD349" s="316"/>
    </row>
    <row r="350" ht="18" customHeight="1" spans="95:212" x14ac:dyDescent="0.25">
      <c r="CQ350" s="583">
        <v>2029</v>
      </c>
      <c r="CR350" s="605"/>
      <c r="CS350" s="114"/>
      <c r="CT350" s="115"/>
      <c r="CU350" s="216"/>
      <c r="CV350" s="605"/>
      <c r="CW350" s="606"/>
      <c r="DL350" s="602">
        <v>2024</v>
      </c>
      <c r="DM350" s="57">
        <f>НАСТРОЙКА!DR165</f>
        <v>28.938413267011178</v>
      </c>
      <c r="DN350" s="326">
        <f t="shared" si="212"/>
        <v>77.77</v>
      </c>
      <c r="DO350" s="57"/>
      <c r="DP350" s="167"/>
      <c r="DQ350" s="57"/>
      <c r="DR350" s="75">
        <f t="shared" si="213"/>
        <v>19.4425</v>
      </c>
      <c r="EG350" s="609">
        <v>2026</v>
      </c>
      <c r="EH350" s="596"/>
      <c r="EI350" s="597">
        <f t="shared" si="221"/>
        <v>80.36999999999999</v>
      </c>
      <c r="EJ350" s="610"/>
      <c r="EK350" s="613"/>
      <c r="EL350" s="598">
        <f t="shared" si="220"/>
        <v>39.199999999999996</v>
      </c>
      <c r="FB350" s="597">
        <f t="shared" si="218"/>
        <v>80.36999999999999</v>
      </c>
      <c r="FC350" s="597">
        <v>39.199999999999996</v>
      </c>
      <c r="GD350" s="559">
        <v>2026</v>
      </c>
      <c r="GE350" s="611"/>
      <c r="GF350" s="114"/>
      <c r="GG350" s="575">
        <f t="shared" si="222"/>
        <v>76.89280000000002</v>
      </c>
      <c r="GW350" s="599">
        <f t="shared" si="219"/>
        <v>76.89280000000002</v>
      </c>
      <c r="GX350" s="599"/>
      <c r="GZ350" s="614">
        <v>2024</v>
      </c>
      <c r="HA350" s="604"/>
      <c r="HB350" s="114"/>
      <c r="HC350" s="114"/>
      <c r="HD350" s="316"/>
    </row>
    <row r="351" ht="18" customHeight="1" spans="95:212" x14ac:dyDescent="0.25">
      <c r="CQ351" s="609">
        <v>2030</v>
      </c>
      <c r="CR351" s="605"/>
      <c r="CS351" s="114"/>
      <c r="CT351" s="115"/>
      <c r="CU351" s="216"/>
      <c r="CV351" s="605"/>
      <c r="CW351" s="606"/>
      <c r="DL351" s="602">
        <v>2025</v>
      </c>
      <c r="DM351" s="57">
        <f>НАСТРОЙКА!DR166</f>
        <v>30.38533393036174</v>
      </c>
      <c r="DN351" s="326">
        <f t="shared" si="212"/>
        <v>79.07</v>
      </c>
      <c r="DO351" s="57"/>
      <c r="DP351" s="167"/>
      <c r="DQ351" s="57"/>
      <c r="DR351" s="75">
        <f t="shared" si="213"/>
        <v>19.7675</v>
      </c>
      <c r="EG351" s="592">
        <v>2027</v>
      </c>
      <c r="EH351" s="596"/>
      <c r="EI351" s="597">
        <f t="shared" si="221"/>
        <v>81.66999999999999</v>
      </c>
      <c r="EJ351" s="610"/>
      <c r="EK351" s="613"/>
      <c r="EL351" s="598">
        <f t="shared" si="220"/>
        <v>40.49999999999999</v>
      </c>
      <c r="FB351" s="597">
        <f t="shared" si="218"/>
        <v>81.66999999999999</v>
      </c>
      <c r="FC351" s="597">
        <v>40.49999999999999</v>
      </c>
      <c r="GD351" s="553">
        <v>2027</v>
      </c>
      <c r="GE351" s="611"/>
      <c r="GF351" s="114"/>
      <c r="GG351" s="575">
        <f t="shared" si="222"/>
        <v>79.51424000000003</v>
      </c>
      <c r="GW351" s="599">
        <f t="shared" si="219"/>
        <v>79.51424000000003</v>
      </c>
      <c r="GX351" s="599"/>
      <c r="GZ351" s="553">
        <v>2025</v>
      </c>
      <c r="HA351" s="604"/>
      <c r="HB351" s="114"/>
      <c r="HC351" s="114"/>
      <c r="HD351" s="316"/>
    </row>
    <row r="352" ht="18" customHeight="1" spans="95:212" x14ac:dyDescent="0.25">
      <c r="CQ352" s="583">
        <v>2031</v>
      </c>
      <c r="CR352" s="605"/>
      <c r="CS352" s="114"/>
      <c r="CT352" s="115"/>
      <c r="CU352" s="216"/>
      <c r="CV352" s="605"/>
      <c r="CW352" s="606"/>
      <c r="DL352" s="602">
        <v>2026</v>
      </c>
      <c r="DM352" s="57">
        <f>НАСТРОЙКА!DR167</f>
        <v>31.904600626879827</v>
      </c>
      <c r="DN352" s="326">
        <f t="shared" si="212"/>
        <v>80.36999999999999</v>
      </c>
      <c r="DO352" s="57"/>
      <c r="DP352" s="167"/>
      <c r="DQ352" s="57"/>
      <c r="DR352" s="75">
        <f t="shared" si="213"/>
        <v>20.092499999999998</v>
      </c>
      <c r="EG352" s="609">
        <v>2028</v>
      </c>
      <c r="EH352" s="596"/>
      <c r="EI352" s="597">
        <f t="shared" si="221"/>
        <v>82.96999999999998</v>
      </c>
      <c r="EJ352" s="610"/>
      <c r="EK352" s="613"/>
      <c r="EL352" s="598">
        <f t="shared" si="220"/>
        <v>41.79999999999999</v>
      </c>
      <c r="FB352" s="597">
        <f t="shared" si="218"/>
        <v>82.96999999999998</v>
      </c>
      <c r="FC352" s="597">
        <v>41.79999999999999</v>
      </c>
      <c r="GD352" s="559">
        <v>2028</v>
      </c>
      <c r="GE352" s="611"/>
      <c r="GF352" s="114"/>
      <c r="GG352" s="575">
        <f t="shared" si="222"/>
        <v>81.61139200000004</v>
      </c>
      <c r="GW352" s="599">
        <f t="shared" si="219"/>
        <v>81.61139200000004</v>
      </c>
      <c r="GX352" s="599"/>
      <c r="GZ352" s="614">
        <v>2026</v>
      </c>
      <c r="HA352" s="604"/>
      <c r="HB352" s="114"/>
      <c r="HC352" s="114"/>
      <c r="HD352" s="316"/>
    </row>
    <row r="353" ht="18" customHeight="1" spans="95:212" x14ac:dyDescent="0.25">
      <c r="CQ353" s="609">
        <v>2032</v>
      </c>
      <c r="CR353" s="605"/>
      <c r="CS353" s="114"/>
      <c r="CT353" s="115"/>
      <c r="CU353" s="216"/>
      <c r="CV353" s="605"/>
      <c r="CW353" s="606"/>
      <c r="DL353" s="602">
        <v>2027</v>
      </c>
      <c r="DM353" s="57">
        <f>НАСТРОЙКА!DR168</f>
        <v>33.49983065822382</v>
      </c>
      <c r="DN353" s="326">
        <f t="shared" si="212"/>
        <v>81.66999999999999</v>
      </c>
      <c r="DO353" s="57"/>
      <c r="DP353" s="167"/>
      <c r="DQ353" s="57"/>
      <c r="DR353" s="75">
        <f t="shared" si="213"/>
        <v>20.417499999999997</v>
      </c>
      <c r="EG353" s="592">
        <v>2029</v>
      </c>
      <c r="EH353" s="596"/>
      <c r="EI353" s="597">
        <f t="shared" si="221"/>
        <v>84.26999999999998</v>
      </c>
      <c r="EJ353" s="610"/>
      <c r="EK353" s="613"/>
      <c r="EL353" s="598">
        <f t="shared" si="220"/>
        <v>43.09999999999999</v>
      </c>
      <c r="FB353" s="597">
        <f t="shared" si="218"/>
        <v>84.26999999999998</v>
      </c>
      <c r="FC353" s="597">
        <v>43.09999999999999</v>
      </c>
      <c r="GD353" s="553">
        <v>2029</v>
      </c>
      <c r="GE353" s="611"/>
      <c r="GF353" s="114"/>
      <c r="GG353" s="575">
        <f t="shared" si="222"/>
        <v>83.28911360000005</v>
      </c>
      <c r="GW353" s="599">
        <f t="shared" si="219"/>
        <v>83.28911360000005</v>
      </c>
      <c r="GX353" s="599"/>
      <c r="GZ353" s="553">
        <v>2027</v>
      </c>
      <c r="HA353" s="604"/>
      <c r="HB353" s="114"/>
      <c r="HC353" s="114"/>
      <c r="HD353" s="316"/>
    </row>
    <row r="354" ht="18" customHeight="1" spans="95:212" x14ac:dyDescent="0.25">
      <c r="CQ354" s="583">
        <v>2033</v>
      </c>
      <c r="CR354" s="605"/>
      <c r="CS354" s="114"/>
      <c r="CT354" s="115"/>
      <c r="CU354" s="216"/>
      <c r="CV354" s="605"/>
      <c r="CW354" s="606"/>
      <c r="DL354" s="602">
        <v>2028</v>
      </c>
      <c r="DM354" s="57">
        <f>НАСТРОЙКА!DR169</f>
        <v>35.174822191135014</v>
      </c>
      <c r="DN354" s="326">
        <f t="shared" si="212"/>
        <v>82.96999999999998</v>
      </c>
      <c r="DO354" s="57"/>
      <c r="DP354" s="167"/>
      <c r="DQ354" s="57"/>
      <c r="DR354" s="75">
        <f t="shared" si="213"/>
        <v>20.742499999999996</v>
      </c>
      <c r="EG354" s="592">
        <v>2030</v>
      </c>
      <c r="EH354" s="596"/>
      <c r="EI354" s="597">
        <f t="shared" si="221"/>
        <v>85.56999999999998</v>
      </c>
      <c r="EJ354" s="610"/>
      <c r="EK354" s="613"/>
      <c r="EL354" s="598">
        <f t="shared" si="220"/>
        <v>44.399999999999984</v>
      </c>
      <c r="FB354" s="597">
        <f t="shared" ref="FB354:FB359" si="223">EI354</f>
        <v>85.56999999999998</v>
      </c>
      <c r="FC354" s="597">
        <v>44.399999999999984</v>
      </c>
      <c r="GD354" s="559">
        <v>2030</v>
      </c>
      <c r="GE354" s="611"/>
      <c r="GF354" s="114"/>
      <c r="GG354" s="575">
        <f t="shared" si="222"/>
        <v>84.63129088000007</v>
      </c>
      <c r="GW354" s="599">
        <f t="shared" ref="GW354:GW359" si="224">GG354</f>
        <v>84.63129088000007</v>
      </c>
      <c r="GX354" s="599"/>
      <c r="GZ354" s="614">
        <v>2028</v>
      </c>
      <c r="HA354" s="604"/>
      <c r="HB354" s="114"/>
      <c r="HC354" s="114"/>
      <c r="HD354" s="316"/>
    </row>
    <row r="355" ht="18" customHeight="1" spans="95:212" x14ac:dyDescent="0.25">
      <c r="CQ355" s="609">
        <v>2034</v>
      </c>
      <c r="CR355" s="605"/>
      <c r="CS355" s="114"/>
      <c r="CT355" s="115"/>
      <c r="CU355" s="216"/>
      <c r="CV355" s="605"/>
      <c r="CW355" s="606"/>
      <c r="DL355" s="602">
        <v>2029</v>
      </c>
      <c r="DM355" s="57">
        <f>НАСТРОЙКА!DR170</f>
        <v>36.933563300691766</v>
      </c>
      <c r="DN355" s="326">
        <f t="shared" si="212"/>
        <v>84.26999999999998</v>
      </c>
      <c r="DO355" s="57"/>
      <c r="DP355" s="167"/>
      <c r="DQ355" s="57"/>
      <c r="DR355" s="75">
        <f t="shared" si="213"/>
        <v>21.067499999999995</v>
      </c>
      <c r="EG355" s="609">
        <v>2031</v>
      </c>
      <c r="EH355" s="596"/>
      <c r="EI355" s="597">
        <f t="shared" si="221"/>
        <v>86.86999999999998</v>
      </c>
      <c r="EJ355" s="610"/>
      <c r="EK355" s="613"/>
      <c r="EL355" s="598">
        <f t="shared" si="220"/>
        <v>45.69999999999998</v>
      </c>
      <c r="FB355" s="597">
        <f t="shared" si="223"/>
        <v>86.86999999999998</v>
      </c>
      <c r="FC355" s="597">
        <v>45.69999999999998</v>
      </c>
      <c r="GD355" s="553">
        <v>2031</v>
      </c>
      <c r="GE355" s="611"/>
      <c r="GF355" s="114"/>
      <c r="GG355" s="575">
        <f t="shared" si="222"/>
        <v>85.70503270400008</v>
      </c>
      <c r="GW355" s="599">
        <f t="shared" si="224"/>
        <v>85.70503270400008</v>
      </c>
      <c r="GX355" s="599"/>
      <c r="GZ355" s="553">
        <v>2029</v>
      </c>
      <c r="HA355" s="604"/>
      <c r="HB355" s="114"/>
      <c r="HC355" s="114"/>
      <c r="HD355" s="75"/>
    </row>
    <row r="356" ht="18" customHeight="1" spans="95:212" x14ac:dyDescent="0.25">
      <c r="CQ356" s="561">
        <v>2035</v>
      </c>
      <c r="CR356" s="615"/>
      <c r="CS356" s="173"/>
      <c r="CT356" s="186"/>
      <c r="CU356" s="386"/>
      <c r="CV356" s="615"/>
      <c r="CW356" s="616"/>
      <c r="DL356" s="617">
        <v>2030</v>
      </c>
      <c r="DM356" s="94">
        <f>НАСТРОЙКА!DR171</f>
        <v>38.780241465726355</v>
      </c>
      <c r="DN356" s="388">
        <f t="shared" si="212"/>
        <v>85.56999999999998</v>
      </c>
      <c r="DO356" s="94"/>
      <c r="DP356" s="179"/>
      <c r="DQ356" s="94"/>
      <c r="DR356" s="36">
        <f t="shared" si="213"/>
        <v>21.392499999999995</v>
      </c>
      <c r="EG356" s="592">
        <v>2032</v>
      </c>
      <c r="EH356" s="112"/>
      <c r="EI356" s="597">
        <f t="shared" si="221"/>
        <v>88.16999999999997</v>
      </c>
      <c r="EJ356" s="610"/>
      <c r="EK356" s="613"/>
      <c r="EL356" s="598">
        <f t="shared" si="220"/>
        <v>46.99999999999998</v>
      </c>
      <c r="FB356" s="597">
        <f t="shared" si="223"/>
        <v>88.16999999999997</v>
      </c>
      <c r="FC356" s="597">
        <v>46.99999999999998</v>
      </c>
      <c r="GD356" s="559">
        <v>2032</v>
      </c>
      <c r="GE356" s="611"/>
      <c r="GF356" s="114"/>
      <c r="GG356" s="575">
        <f t="shared" si="222"/>
        <v>86.56402616320008</v>
      </c>
      <c r="GW356" s="599">
        <f t="shared" si="224"/>
        <v>86.56402616320008</v>
      </c>
      <c r="GX356" s="599"/>
      <c r="GZ356" s="618">
        <v>2030</v>
      </c>
      <c r="HA356" s="615"/>
      <c r="HB356" s="173"/>
      <c r="HC356" s="173"/>
      <c r="HD356" s="36"/>
    </row>
    <row r="357" ht="17.5" customHeight="1" spans="137:208" x14ac:dyDescent="0.25">
      <c r="EG357" s="592">
        <v>2033</v>
      </c>
      <c r="EH357" s="112"/>
      <c r="EI357" s="597">
        <f t="shared" si="221"/>
        <v>89.46999999999997</v>
      </c>
      <c r="EJ357" s="610"/>
      <c r="EK357" s="613"/>
      <c r="EL357" s="598">
        <f t="shared" si="220"/>
        <v>48.299999999999976</v>
      </c>
      <c r="FB357" s="597">
        <f t="shared" si="223"/>
        <v>89.46999999999997</v>
      </c>
      <c r="FC357" s="597">
        <v>48.299999999999976</v>
      </c>
      <c r="GD357" s="553">
        <v>2033</v>
      </c>
      <c r="GE357" s="611"/>
      <c r="GF357" s="114"/>
      <c r="GG357" s="575">
        <f t="shared" si="222"/>
        <v>87.2512209305601</v>
      </c>
      <c r="GW357" s="599">
        <f t="shared" si="224"/>
        <v>87.2512209305601</v>
      </c>
      <c r="GX357" s="599"/>
      <c r="GY357" s="611"/>
      <c r="GZ357" s="57"/>
    </row>
    <row r="358" ht="18" customHeight="1" spans="137:208" x14ac:dyDescent="0.25">
      <c r="EG358" s="609">
        <v>2034</v>
      </c>
      <c r="EH358" s="112"/>
      <c r="EI358" s="597">
        <f t="shared" si="221"/>
        <v>90.76999999999997</v>
      </c>
      <c r="EJ358" s="610"/>
      <c r="EK358" s="613"/>
      <c r="EL358" s="598">
        <f t="shared" si="220"/>
        <v>49.59999999999997</v>
      </c>
      <c r="FB358" s="597">
        <f t="shared" si="223"/>
        <v>90.76999999999997</v>
      </c>
      <c r="FC358" s="597">
        <v>49.59999999999997</v>
      </c>
      <c r="GD358" s="559">
        <v>2034</v>
      </c>
      <c r="GE358" s="611"/>
      <c r="GF358" s="114"/>
      <c r="GG358" s="575">
        <f t="shared" si="222"/>
        <v>87.8009767444481</v>
      </c>
      <c r="GW358" s="599">
        <f t="shared" si="224"/>
        <v>87.8009767444481</v>
      </c>
      <c r="GX358" s="599"/>
      <c r="GY358" s="611"/>
      <c r="GZ358" s="57"/>
    </row>
    <row r="359" ht="18.5" customHeight="1" spans="96:208" x14ac:dyDescent="0.25">
      <c r="CR359" s="619"/>
      <c r="CS359" s="620" t="s">
        <v>744</v>
      </c>
      <c r="CT359" s="621"/>
      <c r="CU359" s="622"/>
      <c r="CV359" s="621"/>
      <c r="CW359" s="621"/>
      <c r="CX359" s="621"/>
      <c r="CY359" s="621"/>
      <c r="CZ359" s="621"/>
      <c r="DA359" s="621"/>
      <c r="DB359" s="621"/>
      <c r="DC359" s="623"/>
      <c r="DD359" s="623"/>
      <c r="DE359" s="623"/>
      <c r="DF359" s="623"/>
      <c r="DG359" s="623"/>
      <c r="DH359" s="623"/>
      <c r="DI359" s="624"/>
      <c r="EG359" s="625">
        <v>2035</v>
      </c>
      <c r="EH359" s="185"/>
      <c r="EI359" s="597">
        <f t="shared" si="221"/>
        <v>92.06999999999996</v>
      </c>
      <c r="EJ359" s="626"/>
      <c r="EK359" s="627"/>
      <c r="EL359" s="628">
        <f t="shared" si="220"/>
        <v>50.89999999999997</v>
      </c>
      <c r="FB359" s="629">
        <f t="shared" si="223"/>
        <v>92.06999999999996</v>
      </c>
      <c r="FC359" s="629">
        <v>50.89999999999997</v>
      </c>
      <c r="GD359" s="561">
        <v>2035</v>
      </c>
      <c r="GE359" s="630"/>
      <c r="GF359" s="173"/>
      <c r="GG359" s="631">
        <f t="shared" si="222"/>
        <v>88.24078139555851</v>
      </c>
      <c r="GW359" s="628">
        <f t="shared" si="224"/>
        <v>88.24078139555851</v>
      </c>
      <c r="GX359" s="628"/>
      <c r="GY359" s="611"/>
      <c r="GZ359" s="57"/>
    </row>
    <row r="360" ht="18" customHeight="1" spans="96:208" x14ac:dyDescent="0.25">
      <c r="CR360" s="632"/>
      <c r="CS360" s="440"/>
      <c r="CT360" s="440"/>
      <c r="CU360" s="621"/>
      <c r="CV360" s="440"/>
      <c r="CW360" s="440"/>
      <c r="CX360" s="440"/>
      <c r="CY360" s="440"/>
      <c r="CZ360" s="440"/>
      <c r="DA360" s="440"/>
      <c r="DB360" s="440"/>
      <c r="DC360" s="440"/>
      <c r="DD360" s="440"/>
      <c r="DE360" s="440"/>
      <c r="DF360" s="440"/>
      <c r="DG360" s="440"/>
      <c r="DH360" s="440"/>
      <c r="DI360" s="499"/>
      <c r="GX360" s="633"/>
      <c r="GY360" s="611"/>
      <c r="GZ360" s="57"/>
    </row>
    <row r="361" ht="18" customHeight="1" spans="96:183" x14ac:dyDescent="0.25">
      <c r="CR361" s="632"/>
      <c r="CS361" s="634" t="s">
        <v>745</v>
      </c>
      <c r="CT361" s="635"/>
      <c r="CU361" s="440"/>
      <c r="CV361" s="634"/>
      <c r="CW361" s="634"/>
      <c r="CX361" s="634"/>
      <c r="CY361" s="634"/>
      <c r="CZ361" s="634"/>
      <c r="DA361" s="634"/>
      <c r="DB361" s="634"/>
      <c r="DC361" s="634"/>
      <c r="DD361" s="634"/>
      <c r="DE361" s="634"/>
      <c r="DF361" s="440"/>
      <c r="DG361" s="440"/>
      <c r="DH361" s="440"/>
      <c r="DI361" s="499"/>
      <c r="FY361" s="636"/>
      <c r="FZ361" s="611"/>
      <c r="GA361" s="57"/>
    </row>
    <row r="362" ht="18" customHeight="1" spans="96:113" x14ac:dyDescent="0.25">
      <c r="CR362" s="632"/>
      <c r="CS362" s="634" t="s">
        <v>746</v>
      </c>
      <c r="CT362" s="637"/>
      <c r="CU362" s="635"/>
      <c r="CV362" s="440"/>
      <c r="CW362" s="440"/>
      <c r="CX362" s="440"/>
      <c r="CY362" s="440"/>
      <c r="CZ362" s="440"/>
      <c r="DA362" s="440"/>
      <c r="DB362" s="440"/>
      <c r="DC362" s="440"/>
      <c r="DD362" s="440"/>
      <c r="DE362" s="440"/>
      <c r="DF362" s="440"/>
      <c r="DG362" s="440"/>
      <c r="DH362" s="440"/>
      <c r="DI362" s="499"/>
    </row>
    <row r="363" ht="18" customHeight="1" spans="96:113" x14ac:dyDescent="0.25">
      <c r="CR363" s="632"/>
      <c r="CS363" s="634" t="s">
        <v>747</v>
      </c>
      <c r="CT363" s="637"/>
      <c r="CU363" s="440"/>
      <c r="CV363" s="440"/>
      <c r="CW363" s="440"/>
      <c r="CX363" s="440"/>
      <c r="CY363" s="440"/>
      <c r="CZ363" s="440"/>
      <c r="DA363" s="440"/>
      <c r="DB363" s="440"/>
      <c r="DC363" s="440"/>
      <c r="DD363" s="440"/>
      <c r="DE363" s="440"/>
      <c r="DF363" s="440"/>
      <c r="DG363" s="440"/>
      <c r="DH363" s="440"/>
      <c r="DI363" s="499"/>
    </row>
    <row r="364" ht="18" customHeight="1" spans="96:113" x14ac:dyDescent="0.25">
      <c r="CR364" s="632"/>
      <c r="CS364" s="634" t="s">
        <v>142</v>
      </c>
      <c r="CT364" s="637"/>
      <c r="CU364" s="440"/>
      <c r="CV364" s="440"/>
      <c r="CW364" s="440"/>
      <c r="CX364" s="440"/>
      <c r="CY364" s="440"/>
      <c r="CZ364" s="440"/>
      <c r="DA364" s="440"/>
      <c r="DB364" s="440"/>
      <c r="DC364" s="440"/>
      <c r="DD364" s="440"/>
      <c r="DE364" s="440"/>
      <c r="DF364" s="440"/>
      <c r="DG364" s="440"/>
      <c r="DH364" s="440"/>
      <c r="DI364" s="499"/>
    </row>
    <row r="365" ht="18" customHeight="1" spans="96:113" x14ac:dyDescent="0.25">
      <c r="CR365" s="632"/>
      <c r="CS365" s="634" t="s">
        <v>748</v>
      </c>
      <c r="CT365" s="637"/>
      <c r="CU365" s="440"/>
      <c r="CV365" s="440"/>
      <c r="CW365" s="440"/>
      <c r="CX365" s="440"/>
      <c r="CY365" s="440"/>
      <c r="CZ365" s="440"/>
      <c r="DA365" s="440"/>
      <c r="DB365" s="440"/>
      <c r="DC365" s="440"/>
      <c r="DD365" s="440"/>
      <c r="DE365" s="440"/>
      <c r="DF365" s="440"/>
      <c r="DG365" s="440"/>
      <c r="DH365" s="440"/>
      <c r="DI365" s="499"/>
    </row>
    <row r="366" ht="18" customHeight="1" spans="96:113" x14ac:dyDescent="0.25">
      <c r="CR366" s="632"/>
      <c r="CS366" s="634" t="s">
        <v>749</v>
      </c>
      <c r="CT366" s="637"/>
      <c r="CU366" s="440"/>
      <c r="CV366" s="440"/>
      <c r="CW366" s="440"/>
      <c r="CX366" s="440"/>
      <c r="CY366" s="440"/>
      <c r="CZ366" s="440"/>
      <c r="DA366" s="440"/>
      <c r="DB366" s="440"/>
      <c r="DC366" s="440"/>
      <c r="DD366" s="440"/>
      <c r="DE366" s="440"/>
      <c r="DF366" s="440"/>
      <c r="DG366" s="440"/>
      <c r="DH366" s="440"/>
      <c r="DI366" s="499"/>
    </row>
    <row r="367" ht="18" customHeight="1" spans="96:113" x14ac:dyDescent="0.25">
      <c r="CR367" s="632"/>
      <c r="CS367" s="634" t="s">
        <v>750</v>
      </c>
      <c r="CT367" s="637"/>
      <c r="CU367" s="440"/>
      <c r="CV367" s="440"/>
      <c r="CW367" s="440"/>
      <c r="CX367" s="440"/>
      <c r="CY367" s="440"/>
      <c r="CZ367" s="440"/>
      <c r="DA367" s="440"/>
      <c r="DB367" s="440"/>
      <c r="DC367" s="440"/>
      <c r="DD367" s="440"/>
      <c r="DE367" s="440"/>
      <c r="DF367" s="440"/>
      <c r="DG367" s="440"/>
      <c r="DH367" s="440"/>
      <c r="DI367" s="499"/>
    </row>
    <row r="368" ht="18.5" customHeight="1" spans="96:113" x14ac:dyDescent="0.25">
      <c r="CR368" s="638"/>
      <c r="CS368" s="522"/>
      <c r="CT368" s="522"/>
      <c r="CU368" s="522"/>
      <c r="CV368" s="522"/>
      <c r="CW368" s="522"/>
      <c r="CX368" s="522"/>
      <c r="CY368" s="522"/>
      <c r="CZ368" s="522"/>
      <c r="DA368" s="522"/>
      <c r="DB368" s="522"/>
      <c r="DC368" s="522"/>
      <c r="DD368" s="522"/>
      <c r="DE368" s="522"/>
      <c r="DF368" s="522"/>
      <c r="DG368" s="522"/>
      <c r="DH368" s="522"/>
      <c r="DI368" s="525"/>
    </row>
    <row r="369" ht="21.5" customHeight="1" spans="131:151" x14ac:dyDescent="0.25">
      <c r="EA369" s="639" t="s">
        <v>132</v>
      </c>
      <c r="EB369" s="640"/>
      <c r="EC369" s="641"/>
      <c r="ED369" s="642"/>
      <c r="EE369" s="642"/>
      <c r="EF369" s="440"/>
      <c r="EJ369" s="536" t="s">
        <v>697</v>
      </c>
      <c r="EK369" s="643"/>
      <c r="EL369" s="644" t="s">
        <v>698</v>
      </c>
      <c r="EM369" s="644"/>
      <c r="EN369" s="644"/>
      <c r="EO369" s="643"/>
      <c r="EP369" s="645"/>
      <c r="EQ369" s="646"/>
      <c r="ER369" s="646"/>
      <c r="ES369" s="646"/>
      <c r="ET369" s="647">
        <v>0.42</v>
      </c>
      <c r="EU369" s="648"/>
    </row>
    <row r="370" ht="17.5" customHeight="1" spans="96:151" x14ac:dyDescent="0.25">
      <c r="CR370" s="545" t="s">
        <v>13</v>
      </c>
      <c r="CS370" s="649" t="s">
        <v>751</v>
      </c>
      <c r="CT370" s="300" t="s">
        <v>752</v>
      </c>
      <c r="CU370" s="214" t="s">
        <v>753</v>
      </c>
      <c r="CV370" s="546" t="s">
        <v>754</v>
      </c>
      <c r="CW370" s="650" t="s">
        <v>755</v>
      </c>
      <c r="CX370" s="300" t="s">
        <v>756</v>
      </c>
      <c r="CY370" s="214" t="s">
        <v>702</v>
      </c>
      <c r="CZ370" s="546" t="s">
        <v>757</v>
      </c>
      <c r="DA370" s="649" t="s">
        <v>758</v>
      </c>
      <c r="DB370" s="300" t="s">
        <v>759</v>
      </c>
      <c r="DC370" s="214" t="s">
        <v>760</v>
      </c>
      <c r="DD370" s="546" t="s">
        <v>761</v>
      </c>
      <c r="DE370" s="649" t="s">
        <v>25</v>
      </c>
      <c r="DF370" s="300" t="s">
        <v>762</v>
      </c>
      <c r="DG370" s="214" t="s">
        <v>763</v>
      </c>
      <c r="DH370" s="546" t="s">
        <v>618</v>
      </c>
      <c r="DI370" s="649" t="s">
        <v>764</v>
      </c>
      <c r="DJ370" s="300" t="s">
        <v>765</v>
      </c>
      <c r="DK370" s="214" t="s">
        <v>766</v>
      </c>
      <c r="DL370" s="546" t="s">
        <v>767</v>
      </c>
      <c r="DM370" s="649" t="s">
        <v>768</v>
      </c>
      <c r="DN370" s="300" t="s">
        <v>769</v>
      </c>
      <c r="DO370" s="214" t="s">
        <v>770</v>
      </c>
      <c r="DP370" s="546" t="s">
        <v>771</v>
      </c>
      <c r="DQ370" s="649" t="s">
        <v>524</v>
      </c>
      <c r="DR370" s="300" t="s">
        <v>772</v>
      </c>
      <c r="DS370" s="214" t="s">
        <v>773</v>
      </c>
      <c r="DT370" s="546" t="s">
        <v>774</v>
      </c>
      <c r="DU370" s="214" t="s">
        <v>775</v>
      </c>
      <c r="DV370" s="649" t="s">
        <v>494</v>
      </c>
      <c r="DW370" s="300" t="s">
        <v>776</v>
      </c>
      <c r="DX370" s="300" t="s">
        <v>777</v>
      </c>
      <c r="DY370" s="214" t="s">
        <v>279</v>
      </c>
      <c r="DZ370" s="546" t="s">
        <v>664</v>
      </c>
      <c r="EA370" s="650" t="s">
        <v>778</v>
      </c>
      <c r="EB370" s="300" t="s">
        <v>779</v>
      </c>
      <c r="EC370" s="300" t="s">
        <v>780</v>
      </c>
      <c r="ED370" s="214" t="s">
        <v>742</v>
      </c>
      <c r="EE370" s="650" t="s">
        <v>781</v>
      </c>
      <c r="EF370" s="546" t="s">
        <v>782</v>
      </c>
      <c r="EJ370" s="545" t="s">
        <v>13</v>
      </c>
      <c r="EK370" s="651" t="s">
        <v>711</v>
      </c>
      <c r="EL370" s="124" t="s">
        <v>712</v>
      </c>
      <c r="EM370" s="652" t="s">
        <v>709</v>
      </c>
      <c r="EN370" s="652" t="s">
        <v>713</v>
      </c>
      <c r="EO370" s="652" t="s">
        <v>783</v>
      </c>
      <c r="EP370" s="652" t="s">
        <v>715</v>
      </c>
      <c r="EQ370" s="652" t="s">
        <v>723</v>
      </c>
      <c r="ER370" s="652" t="s">
        <v>713</v>
      </c>
      <c r="ES370" s="652" t="s">
        <v>713</v>
      </c>
      <c r="ET370" s="652" t="s">
        <v>630</v>
      </c>
      <c r="EU370" s="653" t="s">
        <v>279</v>
      </c>
    </row>
    <row r="371" ht="16.25" customHeight="1" spans="96:151" x14ac:dyDescent="0.25">
      <c r="CR371" s="305">
        <v>43928</v>
      </c>
      <c r="CS371" s="654" t="s">
        <v>55</v>
      </c>
      <c r="CT371" s="131" t="s">
        <v>55</v>
      </c>
      <c r="CU371" s="131" t="s">
        <v>56</v>
      </c>
      <c r="CV371" s="133" t="s">
        <v>56</v>
      </c>
      <c r="CW371" s="654" t="s">
        <v>55</v>
      </c>
      <c r="CX371" s="131" t="s">
        <v>55</v>
      </c>
      <c r="CY371" s="131" t="s">
        <v>56</v>
      </c>
      <c r="CZ371" s="133" t="s">
        <v>56</v>
      </c>
      <c r="DA371" s="654" t="s">
        <v>55</v>
      </c>
      <c r="DB371" s="131" t="s">
        <v>55</v>
      </c>
      <c r="DC371" s="131" t="s">
        <v>56</v>
      </c>
      <c r="DD371" s="133" t="s">
        <v>56</v>
      </c>
      <c r="DE371" s="654" t="s">
        <v>55</v>
      </c>
      <c r="DF371" s="131" t="s">
        <v>55</v>
      </c>
      <c r="DG371" s="131" t="s">
        <v>56</v>
      </c>
      <c r="DH371" s="655" t="s">
        <v>56</v>
      </c>
      <c r="DI371" s="654" t="s">
        <v>55</v>
      </c>
      <c r="DJ371" s="131" t="s">
        <v>55</v>
      </c>
      <c r="DK371" s="131" t="s">
        <v>56</v>
      </c>
      <c r="DL371" s="133" t="s">
        <v>56</v>
      </c>
      <c r="DM371" s="654" t="s">
        <v>55</v>
      </c>
      <c r="DN371" s="656" t="s">
        <v>55</v>
      </c>
      <c r="DO371" s="131" t="s">
        <v>56</v>
      </c>
      <c r="DP371" s="655" t="s">
        <v>56</v>
      </c>
      <c r="DQ371" s="654" t="s">
        <v>55</v>
      </c>
      <c r="DR371" s="131" t="s">
        <v>55</v>
      </c>
      <c r="DS371" s="131" t="s">
        <v>56</v>
      </c>
      <c r="DT371" s="655" t="s">
        <v>56</v>
      </c>
      <c r="DU371" s="131" t="s">
        <v>56</v>
      </c>
      <c r="DV371" s="654" t="s">
        <v>55</v>
      </c>
      <c r="DW371" s="656" t="s">
        <v>55</v>
      </c>
      <c r="DX371" s="656" t="s">
        <v>55</v>
      </c>
      <c r="DY371" s="656" t="s">
        <v>56</v>
      </c>
      <c r="DZ371" s="655" t="s">
        <v>56</v>
      </c>
      <c r="EA371" s="654" t="s">
        <v>55</v>
      </c>
      <c r="EB371" s="656" t="s">
        <v>55</v>
      </c>
      <c r="EC371" s="656" t="s">
        <v>55</v>
      </c>
      <c r="ED371" s="131" t="s">
        <v>56</v>
      </c>
      <c r="EE371" s="654" t="s">
        <v>55</v>
      </c>
      <c r="EF371" s="133" t="s">
        <v>56</v>
      </c>
      <c r="EJ371" s="305">
        <v>43657</v>
      </c>
      <c r="EK371" s="657" t="s">
        <v>55</v>
      </c>
      <c r="EL371" s="658" t="s">
        <v>55</v>
      </c>
      <c r="EM371" s="658" t="s">
        <v>56</v>
      </c>
      <c r="EN371" s="658" t="s">
        <v>55</v>
      </c>
      <c r="EO371" s="658" t="s">
        <v>55</v>
      </c>
      <c r="EP371" s="658" t="s">
        <v>720</v>
      </c>
      <c r="EQ371" s="658" t="s">
        <v>721</v>
      </c>
      <c r="ER371" s="658" t="s">
        <v>117</v>
      </c>
      <c r="ES371" s="658" t="s">
        <v>118</v>
      </c>
      <c r="ET371" s="658" t="s">
        <v>55</v>
      </c>
      <c r="EU371" s="659" t="s">
        <v>56</v>
      </c>
    </row>
    <row r="372" ht="17.5" customHeight="1" spans="96:151" x14ac:dyDescent="0.25">
      <c r="CR372" s="332">
        <v>1995</v>
      </c>
      <c r="CS372" s="660">
        <f t="array" ref="CS372:CS395">TRANSPOSE(U130:AR130)</f>
        <v>0.959</v>
      </c>
      <c r="CT372" s="661">
        <v>1</v>
      </c>
      <c r="CU372" s="662">
        <f t="array" ref="CU372:CU395">TRANSPOSE(U55:AR55)</f>
        <v>2876.5161000000003</v>
      </c>
      <c r="CV372" s="663">
        <v>2876.5161000000003</v>
      </c>
      <c r="CW372" s="664">
        <f t="array" ref="CW372:CW395">TRANSPOSE(U140:AR140)</f>
        <v>1.07</v>
      </c>
      <c r="CX372" s="665">
        <v>1</v>
      </c>
      <c r="CY372" s="662">
        <f t="array" ref="CY372:CY395">TRANSPOSE(U52:AR52)</f>
        <v>369.9027</v>
      </c>
      <c r="CZ372" s="663">
        <v>369.9027</v>
      </c>
      <c r="DA372" s="666"/>
      <c r="DB372" s="661">
        <f t="array" ref="DB372:DB395">TRANSPOSE(U155:AR155)</f>
        <v>1</v>
      </c>
      <c r="DC372" s="662">
        <f t="array" ref="DC372:DC395">TRANSPOSE(U56:AR56)</f>
        <v>1447.9952</v>
      </c>
      <c r="DD372" s="663">
        <v>1447.9952000000003</v>
      </c>
      <c r="DE372" s="667">
        <f t="array" ref="DE372:DE395">TRANSPOSE(U141:AR141)</f>
        <v>0.899</v>
      </c>
      <c r="DF372" s="661">
        <v>1</v>
      </c>
      <c r="DG372" s="662">
        <f t="array" ref="DG372:DG395">TRANSPOSE(U79:AR79)</f>
        <v>266.974</v>
      </c>
      <c r="DH372" s="668">
        <v>266.974</v>
      </c>
      <c r="DI372" s="664">
        <f t="array" ref="DI372:DI395">TRANSPOSE(U135:AR135)</f>
        <v>0.972</v>
      </c>
      <c r="DJ372" s="661">
        <v>1</v>
      </c>
      <c r="DK372" s="662">
        <f t="array" ref="DK372:DK395">TRANSPOSE(U69:AR69)</f>
        <v>719.7935</v>
      </c>
      <c r="DL372" s="663">
        <v>719.7935</v>
      </c>
      <c r="DM372" s="664">
        <f t="array" ref="DM372:DM395">TRANSPOSE(U136:AR136)</f>
        <v>1.011</v>
      </c>
      <c r="DN372" s="669">
        <f t="array" ref="DN372:DN395">TRANSPOSE(U160:AR160)</f>
        <v>1</v>
      </c>
      <c r="DO372" s="662">
        <f t="array" ref="DO372:DO395">TRANSPOSE(U70:AR70)</f>
        <v>272.5015</v>
      </c>
      <c r="DP372" s="670">
        <v>272.5015</v>
      </c>
      <c r="DQ372" s="664">
        <f t="array" ref="DQ372:DQ395">TRANSPOSE(U137:AR137)</f>
        <v>0.695</v>
      </c>
      <c r="DR372" s="671">
        <v>1</v>
      </c>
      <c r="DS372" s="662">
        <f t="array" ref="DS372:DS395">TRANSPOSE(U71:AR71)</f>
        <v>24.2993</v>
      </c>
      <c r="DT372" s="668">
        <v>24.2993</v>
      </c>
      <c r="DU372" s="672">
        <f t="array" ref="DU372:DU395">TRANSPOSE(U64:AR64)</f>
        <v>0</v>
      </c>
      <c r="DV372" s="664">
        <f t="array" ref="DV372:DV395">TRANSPOSE(U127:AR127)</f>
        <v>0.959</v>
      </c>
      <c r="DW372" s="668">
        <v>1</v>
      </c>
      <c r="DX372" s="668">
        <v>1</v>
      </c>
      <c r="DY372" s="668">
        <f t="array" ref="DY372:DY395">TRANSPOSE(U67:AR67)</f>
        <v>1428.5209</v>
      </c>
      <c r="DZ372" s="668">
        <v>1428.5209</v>
      </c>
      <c r="EA372" s="664"/>
      <c r="EB372" s="668">
        <v>1</v>
      </c>
      <c r="EC372" s="668">
        <v>1</v>
      </c>
      <c r="ED372" s="662">
        <f t="shared" ref="ED372:ED395" si="225">DY372-DG372-DK372-DO372-DS372+CY372-DU372</f>
        <v>514.8553</v>
      </c>
      <c r="EE372" s="673">
        <f>EF372/CV372</f>
        <v>0.17898571817484352</v>
      </c>
      <c r="EF372" s="663">
        <v>514.8553</v>
      </c>
      <c r="EJ372" s="332">
        <v>1995</v>
      </c>
      <c r="EK372" s="46">
        <f t="array" ref="EK372:EK395">TRANSPOSE(U139:AR139)</f>
        <v>1.05</v>
      </c>
      <c r="EL372" s="272">
        <v>1</v>
      </c>
      <c r="EM372" s="55">
        <f t="array" ref="EM372:EM395">TRANSPOSE(U62:AR62)</f>
        <v>418.4685</v>
      </c>
      <c r="EN372" s="272">
        <v>1</v>
      </c>
      <c r="EO372" s="55">
        <f>EM372</f>
        <v>418.4685</v>
      </c>
      <c r="EP372" s="326">
        <v>3.6</v>
      </c>
      <c r="EQ372" s="57">
        <v>0.22080000000000002</v>
      </c>
      <c r="ER372" s="272"/>
      <c r="ES372" s="272"/>
      <c r="ET372" s="57">
        <v>9.270000000000001</v>
      </c>
      <c r="EU372" s="333">
        <v>1428.5</v>
      </c>
    </row>
    <row r="373" ht="17.5" customHeight="1" spans="96:151" x14ac:dyDescent="0.25">
      <c r="CR373" s="332">
        <v>1996</v>
      </c>
      <c r="CS373" s="674">
        <v>0.972</v>
      </c>
      <c r="CT373" s="675">
        <f>CT372*CS373</f>
        <v>0.972</v>
      </c>
      <c r="CU373" s="668">
        <v>3978.7420000000006</v>
      </c>
      <c r="CV373" s="676">
        <f>CV372*CS373</f>
        <v>2795.9736492</v>
      </c>
      <c r="CW373" s="677">
        <v>1.013</v>
      </c>
      <c r="CX373" s="675">
        <f>CX372*CW373</f>
        <v>1.013</v>
      </c>
      <c r="CY373" s="668">
        <v>438.694</v>
      </c>
      <c r="CZ373" s="676">
        <f>CZ372*CW373</f>
        <v>374.71143509999996</v>
      </c>
      <c r="DA373" s="678"/>
      <c r="DB373" s="675">
        <v>0.979892406825658</v>
      </c>
      <c r="DC373" s="668">
        <v>1970.9168</v>
      </c>
      <c r="DD373" s="676">
        <f>DD372*DB373</f>
        <v>1418.8795016000004</v>
      </c>
      <c r="DE373" s="677">
        <v>0.819</v>
      </c>
      <c r="DF373" s="675">
        <f>DF372*DE373</f>
        <v>0.819</v>
      </c>
      <c r="DG373" s="668">
        <v>375.958</v>
      </c>
      <c r="DH373" s="668">
        <f>DH$372*DF373</f>
        <v>218.651706</v>
      </c>
      <c r="DI373" s="679">
        <v>0.951</v>
      </c>
      <c r="DJ373" s="675">
        <f>DJ372*DI373</f>
        <v>0.951</v>
      </c>
      <c r="DK373" s="668">
        <v>1007.827</v>
      </c>
      <c r="DL373" s="676">
        <f>DL$372*DJ373</f>
        <v>684.5236185</v>
      </c>
      <c r="DM373" s="679">
        <v>1.031</v>
      </c>
      <c r="DN373" s="674">
        <v>1.031</v>
      </c>
      <c r="DO373" s="668">
        <v>391.3813</v>
      </c>
      <c r="DP373" s="670">
        <f>DP$372*DN373</f>
        <v>280.9490465</v>
      </c>
      <c r="DQ373" s="679">
        <v>1.006</v>
      </c>
      <c r="DR373" s="680">
        <f>DR372*DQ373</f>
        <v>1.006</v>
      </c>
      <c r="DS373" s="668">
        <v>36.6615</v>
      </c>
      <c r="DT373" s="668">
        <f>DT$372*DR373</f>
        <v>24.445095799999997</v>
      </c>
      <c r="DU373" s="681">
        <v>11.9298</v>
      </c>
      <c r="DV373" s="679">
        <v>0.964</v>
      </c>
      <c r="DW373" s="60">
        <f>DW372*DV373</f>
        <v>0.964</v>
      </c>
      <c r="DX373" s="675">
        <f>DY373/DZ373</f>
        <v>1.4580159268698065</v>
      </c>
      <c r="DY373" s="668">
        <v>2007.8252000000002</v>
      </c>
      <c r="DZ373" s="668">
        <f t="shared" ref="DZ373:DZ395" si="226">DZ$372*DW373</f>
        <v>1377.0941476</v>
      </c>
      <c r="EA373" s="677">
        <f>EB373/EB372</f>
        <v>1.0551238685898738</v>
      </c>
      <c r="EB373" s="675">
        <f t="shared" ref="EB373:EB395" si="227">EF373/EF$372</f>
        <v>1.0551238685898738</v>
      </c>
      <c r="EC373" s="675">
        <f t="shared" ref="EC373:EC395" si="228">ED373/EF373</f>
        <v>1.1463921152743077</v>
      </c>
      <c r="ED373" s="668">
        <f t="shared" si="225"/>
        <v>622.7616000000002</v>
      </c>
      <c r="EE373" s="60">
        <f>CU414</f>
        <v>0.20193696820110807</v>
      </c>
      <c r="EF373" s="676">
        <f t="shared" ref="EF373:EF395" si="229">DZ373-DH373-DL373-DP373-DT373+CZ373</f>
        <v>543.2361159000002</v>
      </c>
      <c r="EJ373" s="332">
        <v>1996</v>
      </c>
      <c r="EK373" s="46">
        <v>1.037</v>
      </c>
      <c r="EL373" s="272">
        <f>EL372*EK373</f>
        <v>1.037</v>
      </c>
      <c r="EM373" s="55">
        <v>523.4631</v>
      </c>
      <c r="EN373" s="57">
        <f>EM373/EO373</f>
        <v>1.2062700474653716</v>
      </c>
      <c r="EO373" s="55">
        <f t="shared" ref="EO373:EO395" si="230">EO$372*EL373</f>
        <v>433.95183449999996</v>
      </c>
      <c r="EP373" s="326">
        <v>4.6</v>
      </c>
      <c r="EQ373" s="57">
        <v>0.2823</v>
      </c>
      <c r="ER373" s="57"/>
      <c r="ES373" s="272"/>
      <c r="ET373" s="57">
        <v>11.277999999999999</v>
      </c>
      <c r="EU373" s="333">
        <f t="shared" ref="EU373:EU395" si="231">DY373</f>
        <v>2007.8252000000002</v>
      </c>
    </row>
    <row r="374" ht="17.5" customHeight="1" spans="96:151" x14ac:dyDescent="0.25">
      <c r="CR374" s="332">
        <v>1997</v>
      </c>
      <c r="CS374" s="674">
        <v>1.014</v>
      </c>
      <c r="CT374" s="675">
        <f>CT373*CS374</f>
        <v>0.985608</v>
      </c>
      <c r="CU374" s="668">
        <v>4542.1257</v>
      </c>
      <c r="CV374" s="676">
        <f>CV373*CS374</f>
        <v>2835.1172802888004</v>
      </c>
      <c r="CW374" s="677">
        <v>1.004</v>
      </c>
      <c r="CX374" s="675">
        <f>CX373*CW374</f>
        <v>1.0170519999999998</v>
      </c>
      <c r="CY374" s="668">
        <v>527.711</v>
      </c>
      <c r="CZ374" s="676">
        <f>CZ373*CW374</f>
        <v>376.21028084039995</v>
      </c>
      <c r="DA374" s="678"/>
      <c r="DB374" s="675">
        <v>0.9936109005212174</v>
      </c>
      <c r="DC374" s="668">
        <v>2199.612</v>
      </c>
      <c r="DD374" s="676">
        <f>DD$372*DB374</f>
        <v>1438.7438146224006</v>
      </c>
      <c r="DE374" s="677">
        <v>0.95</v>
      </c>
      <c r="DF374" s="675">
        <f>DF373*DE374</f>
        <v>0.7780499999999999</v>
      </c>
      <c r="DG374" s="668">
        <v>408.797</v>
      </c>
      <c r="DH374" s="668">
        <f t="shared" ref="DH374:DH395" si="232">DH$372*DF374</f>
        <v>207.71912069999996</v>
      </c>
      <c r="DI374" s="677">
        <v>1.05</v>
      </c>
      <c r="DJ374" s="675">
        <f>DJ373*DI374</f>
        <v>0.99855</v>
      </c>
      <c r="DK374" s="668">
        <v>1235.2137</v>
      </c>
      <c r="DL374" s="676">
        <f t="shared" ref="DL374:DL395" si="233">DL$372*DJ374</f>
        <v>718.749799425</v>
      </c>
      <c r="DM374" s="679">
        <v>0.976</v>
      </c>
      <c r="DN374" s="674">
        <v>1.0062559999999998</v>
      </c>
      <c r="DO374" s="668">
        <v>493.5735</v>
      </c>
      <c r="DP374" s="670">
        <f t="shared" ref="DP374:DP395" si="234">DP$372*DN374</f>
        <v>274.206269384</v>
      </c>
      <c r="DQ374" s="679">
        <v>0.992</v>
      </c>
      <c r="DR374" s="680">
        <f t="shared" ref="DR374:DR395" si="235">DR373*DQ374</f>
        <v>0.997952</v>
      </c>
      <c r="DS374" s="668">
        <v>47.3504</v>
      </c>
      <c r="DT374" s="668">
        <f t="shared" ref="DT374:DT395" si="236">DT$372*DR374</f>
        <v>24.249535033599997</v>
      </c>
      <c r="DU374" s="681">
        <v>0</v>
      </c>
      <c r="DV374" s="679">
        <v>1.014</v>
      </c>
      <c r="DW374" s="60">
        <f>DW373*DV374</f>
        <v>0.977496</v>
      </c>
      <c r="DX374" s="675">
        <f t="shared" ref="DX374:DX395" si="237">DY374/DZ374</f>
        <v>1.6775696170093488</v>
      </c>
      <c r="DY374" s="668">
        <v>2342.5137</v>
      </c>
      <c r="DZ374" s="668">
        <f t="shared" si="226"/>
        <v>1396.3734656664</v>
      </c>
      <c r="EA374" s="677">
        <f t="shared" ref="EA374:EA395" si="238">EB374/EB373</f>
        <v>1.0081417746993353</v>
      </c>
      <c r="EB374" s="675">
        <f t="shared" si="227"/>
        <v>1.0637144494078237</v>
      </c>
      <c r="EC374" s="675">
        <f t="shared" si="228"/>
        <v>1.2513079717780982</v>
      </c>
      <c r="ED374" s="668">
        <f t="shared" si="225"/>
        <v>685.2900999999999</v>
      </c>
      <c r="EE374" s="60">
        <f t="shared" ref="EE374:EE395" si="239">CU415</f>
        <v>0.2007703091712705</v>
      </c>
      <c r="EF374" s="676">
        <f t="shared" si="229"/>
        <v>547.6590219642</v>
      </c>
      <c r="EJ374" s="332">
        <v>1997</v>
      </c>
      <c r="EK374" s="46">
        <v>0.995</v>
      </c>
      <c r="EL374" s="272">
        <f t="shared" ref="EL374:EL395" si="240">EL373*EK374</f>
        <v>1.031815</v>
      </c>
      <c r="EM374" s="55">
        <v>579.2865</v>
      </c>
      <c r="EN374" s="57">
        <f t="shared" ref="EN374:EN395" si="241">EM374/EO374</f>
        <v>1.3416177583578945</v>
      </c>
      <c r="EO374" s="55">
        <f t="shared" si="230"/>
        <v>431.78207532749997</v>
      </c>
      <c r="EP374" s="326">
        <v>5.5</v>
      </c>
      <c r="EQ374" s="57">
        <v>0.3574</v>
      </c>
      <c r="ER374" s="57"/>
      <c r="ES374" s="272"/>
      <c r="ET374" s="57">
        <v>11.212</v>
      </c>
      <c r="EU374" s="333">
        <f t="shared" si="231"/>
        <v>2342.5137</v>
      </c>
    </row>
    <row r="375" ht="17.5" customHeight="1" spans="96:151" x14ac:dyDescent="0.25">
      <c r="CR375" s="332">
        <v>1998</v>
      </c>
      <c r="CS375" s="674">
        <v>0.949</v>
      </c>
      <c r="CT375" s="675">
        <f t="shared" ref="CT375:CT395" si="242">CT374*CS375</f>
        <v>0.935341992</v>
      </c>
      <c r="CU375" s="668">
        <v>4820.3403</v>
      </c>
      <c r="CV375" s="676">
        <f t="shared" ref="CV375:CV395" si="243">CV374*CS375</f>
        <v>2690.5262989940716</v>
      </c>
      <c r="CW375" s="677">
        <v>0.826</v>
      </c>
      <c r="CX375" s="675">
        <f t="shared" ref="CX375:CX395" si="244">CX374*CW375</f>
        <v>0.8400849519999998</v>
      </c>
      <c r="CY375" s="668">
        <v>645.634</v>
      </c>
      <c r="CZ375" s="676">
        <f t="shared" ref="CZ375:CZ395" si="245">CZ374*CW375</f>
        <v>310.74969197417033</v>
      </c>
      <c r="DA375" s="678"/>
      <c r="DB375" s="675">
        <v>0.9448654436202487</v>
      </c>
      <c r="DC375" s="668">
        <v>2190.7174</v>
      </c>
      <c r="DD375" s="676">
        <f t="shared" ref="DD375:DD395" si="246">DD$372*DB375</f>
        <v>1368.160627007991</v>
      </c>
      <c r="DE375" s="677">
        <v>0.88</v>
      </c>
      <c r="DF375" s="675">
        <f t="shared" ref="DF375:DF395" si="247">DF374*DE375</f>
        <v>0.684684</v>
      </c>
      <c r="DG375" s="668">
        <v>407.086</v>
      </c>
      <c r="DH375" s="668">
        <f t="shared" si="232"/>
        <v>182.79282621599998</v>
      </c>
      <c r="DI375" s="679">
        <v>0.966</v>
      </c>
      <c r="DJ375" s="675">
        <f t="shared" ref="DJ375:DJ395" si="248">DJ374*DI375</f>
        <v>0.9645993</v>
      </c>
      <c r="DK375" s="668">
        <v>1462.284</v>
      </c>
      <c r="DL375" s="676">
        <f t="shared" si="233"/>
        <v>694.3123062445501</v>
      </c>
      <c r="DM375" s="677">
        <v>1.01</v>
      </c>
      <c r="DN375" s="674">
        <v>1.0163185599999998</v>
      </c>
      <c r="DO375" s="668">
        <v>492.6206</v>
      </c>
      <c r="DP375" s="670">
        <f t="shared" si="234"/>
        <v>276.94833207783995</v>
      </c>
      <c r="DQ375" s="679">
        <v>1.005</v>
      </c>
      <c r="DR375" s="680">
        <f t="shared" si="235"/>
        <v>1.00294176</v>
      </c>
      <c r="DS375" s="668">
        <v>48.8855</v>
      </c>
      <c r="DT375" s="668">
        <f t="shared" si="236"/>
        <v>24.370782708767997</v>
      </c>
      <c r="DU375" s="681">
        <v>56.9411</v>
      </c>
      <c r="DV375" s="679">
        <v>0.947</v>
      </c>
      <c r="DW375" s="60">
        <f t="shared" ref="DW375:DW395" si="249">DW374*DV375</f>
        <v>0.925688712</v>
      </c>
      <c r="DX375" s="675">
        <f t="shared" si="237"/>
        <v>1.988574685283935</v>
      </c>
      <c r="DY375" s="668">
        <v>2629.6229</v>
      </c>
      <c r="DZ375" s="668">
        <f t="shared" si="226"/>
        <v>1322.3656719860808</v>
      </c>
      <c r="EA375" s="677">
        <f t="shared" si="238"/>
        <v>0.8302449123951724</v>
      </c>
      <c r="EB375" s="675">
        <f t="shared" si="227"/>
        <v>0.8831435098620776</v>
      </c>
      <c r="EC375" s="675">
        <f t="shared" si="228"/>
        <v>1.7757982734232498</v>
      </c>
      <c r="ED375" s="668">
        <f t="shared" si="225"/>
        <v>807.4396999999999</v>
      </c>
      <c r="EE375" s="60">
        <f t="shared" si="239"/>
        <v>0.17564649920911823</v>
      </c>
      <c r="EF375" s="676">
        <f t="shared" si="229"/>
        <v>454.691116713093</v>
      </c>
      <c r="EJ375" s="332">
        <v>1998</v>
      </c>
      <c r="EK375" s="46">
        <v>1.019</v>
      </c>
      <c r="EL375" s="272">
        <f t="shared" si="240"/>
        <v>1.0514194849999998</v>
      </c>
      <c r="EM375" s="55">
        <v>821.0434</v>
      </c>
      <c r="EN375" s="57">
        <f t="shared" si="241"/>
        <v>1.86606737883619</v>
      </c>
      <c r="EO375" s="55">
        <f t="shared" si="230"/>
        <v>439.9859347587224</v>
      </c>
      <c r="EP375" s="326">
        <v>9.7</v>
      </c>
      <c r="EQ375" s="57">
        <v>0.3969</v>
      </c>
      <c r="ER375" s="57"/>
      <c r="ES375" s="272"/>
      <c r="ET375" s="57">
        <v>10.96</v>
      </c>
      <c r="EU375" s="333">
        <f t="shared" si="231"/>
        <v>2629.6229</v>
      </c>
    </row>
    <row r="376" ht="17.5" customHeight="1" spans="96:151" x14ac:dyDescent="0.25">
      <c r="CR376" s="332">
        <v>1999</v>
      </c>
      <c r="CS376" s="674">
        <v>1.058</v>
      </c>
      <c r="CT376" s="675">
        <f t="shared" si="242"/>
        <v>0.9895918275360001</v>
      </c>
      <c r="CU376" s="668">
        <v>8798.5622</v>
      </c>
      <c r="CV376" s="676">
        <f t="shared" si="243"/>
        <v>2846.576824335728</v>
      </c>
      <c r="CW376" s="677">
        <v>0.83</v>
      </c>
      <c r="CX376" s="675">
        <f t="shared" si="244"/>
        <v>0.6972705101599997</v>
      </c>
      <c r="CY376" s="668">
        <v>1262.349</v>
      </c>
      <c r="CZ376" s="676">
        <f t="shared" si="245"/>
        <v>257.92224433856137</v>
      </c>
      <c r="DA376" s="678"/>
      <c r="DB376" s="675">
        <v>0.9941882054184558</v>
      </c>
      <c r="DC376" s="668">
        <v>3975.3293</v>
      </c>
      <c r="DD376" s="676">
        <f t="shared" si="246"/>
        <v>1439.5797493425382</v>
      </c>
      <c r="DE376" s="677">
        <v>1.05</v>
      </c>
      <c r="DF376" s="675">
        <f t="shared" si="247"/>
        <v>0.7189182</v>
      </c>
      <c r="DG376" s="668">
        <v>670.439</v>
      </c>
      <c r="DH376" s="668">
        <f t="shared" si="232"/>
        <v>191.93246752679997</v>
      </c>
      <c r="DI376" s="679">
        <v>0.976</v>
      </c>
      <c r="DJ376" s="675">
        <f t="shared" si="248"/>
        <v>0.9414489168</v>
      </c>
      <c r="DK376" s="668">
        <v>2526.1679</v>
      </c>
      <c r="DL376" s="676">
        <f t="shared" si="233"/>
        <v>677.6488108946808</v>
      </c>
      <c r="DM376" s="679">
        <v>1.031</v>
      </c>
      <c r="DN376" s="674">
        <v>1.0478244353599997</v>
      </c>
      <c r="DO376" s="668">
        <v>703.2091</v>
      </c>
      <c r="DP376" s="670">
        <f t="shared" si="234"/>
        <v>285.533730372253</v>
      </c>
      <c r="DQ376" s="679">
        <v>0.986</v>
      </c>
      <c r="DR376" s="680">
        <f t="shared" si="235"/>
        <v>0.9889005753599999</v>
      </c>
      <c r="DS376" s="668">
        <v>56.3011</v>
      </c>
      <c r="DT376" s="668">
        <f t="shared" si="236"/>
        <v>24.029591750845242</v>
      </c>
      <c r="DU376" s="681">
        <v>0</v>
      </c>
      <c r="DV376" s="679">
        <v>1.064</v>
      </c>
      <c r="DW376" s="60">
        <f t="shared" si="249"/>
        <v>0.9849327895680001</v>
      </c>
      <c r="DX376" s="675">
        <f t="shared" si="237"/>
        <v>3.4280333525379536</v>
      </c>
      <c r="DY376" s="668">
        <v>4823.2329</v>
      </c>
      <c r="DZ376" s="668">
        <f t="shared" si="226"/>
        <v>1406.9970749931902</v>
      </c>
      <c r="EA376" s="677">
        <f t="shared" si="238"/>
        <v>1.068362017491741</v>
      </c>
      <c r="EB376" s="675">
        <f t="shared" si="227"/>
        <v>0.9435169819309864</v>
      </c>
      <c r="EC376" s="675">
        <f t="shared" si="228"/>
        <v>4.3836468174313525</v>
      </c>
      <c r="ED376" s="668">
        <f t="shared" si="225"/>
        <v>2129.4647999999997</v>
      </c>
      <c r="EE376" s="60">
        <f t="shared" si="239"/>
        <v>0.1773667752933979</v>
      </c>
      <c r="EF376" s="676">
        <f t="shared" si="229"/>
        <v>485.7747187871727</v>
      </c>
      <c r="EJ376" s="332">
        <v>1999</v>
      </c>
      <c r="EK376" s="46">
        <v>1.112</v>
      </c>
      <c r="EL376" s="272">
        <f t="shared" si="240"/>
        <v>1.1691784673199999</v>
      </c>
      <c r="EM376" s="55">
        <v>2084.5851</v>
      </c>
      <c r="EN376" s="57">
        <f t="shared" si="241"/>
        <v>4.260651853603475</v>
      </c>
      <c r="EO376" s="55">
        <f t="shared" si="230"/>
        <v>489.26435945169936</v>
      </c>
      <c r="EP376" s="326">
        <v>24.62</v>
      </c>
      <c r="EQ376" s="57">
        <v>0.6251</v>
      </c>
      <c r="ER376" s="57"/>
      <c r="ES376" s="272"/>
      <c r="ET376" s="57">
        <v>21.7136</v>
      </c>
      <c r="EU376" s="333">
        <f t="shared" si="231"/>
        <v>4823.2329</v>
      </c>
    </row>
    <row r="377" ht="17.5" customHeight="1" spans="96:151" x14ac:dyDescent="0.25">
      <c r="CR377" s="332">
        <v>2000</v>
      </c>
      <c r="CS377" s="674">
        <v>1.094</v>
      </c>
      <c r="CT377" s="675">
        <f t="shared" si="242"/>
        <v>1.0826134593243841</v>
      </c>
      <c r="CU377" s="668">
        <v>13385.6595</v>
      </c>
      <c r="CV377" s="676">
        <f t="shared" si="243"/>
        <v>3114.1550458232864</v>
      </c>
      <c r="CW377" s="677">
        <v>1.324</v>
      </c>
      <c r="CX377" s="675">
        <f t="shared" si="244"/>
        <v>0.9231861554518397</v>
      </c>
      <c r="CY377" s="668">
        <v>1755.804</v>
      </c>
      <c r="CZ377" s="676">
        <f t="shared" si="245"/>
        <v>341.48905150425526</v>
      </c>
      <c r="DA377" s="678"/>
      <c r="DB377" s="675">
        <v>1.08181177902439</v>
      </c>
      <c r="DC377" s="668">
        <v>6080.0129</v>
      </c>
      <c r="DD377" s="676">
        <f t="shared" si="246"/>
        <v>1566.4582633307778</v>
      </c>
      <c r="DE377" s="677">
        <v>1.174</v>
      </c>
      <c r="DF377" s="675">
        <f t="shared" si="247"/>
        <v>0.8440099667999998</v>
      </c>
      <c r="DG377" s="668">
        <v>1165.234</v>
      </c>
      <c r="DH377" s="668">
        <f t="shared" si="232"/>
        <v>225.32871687646315</v>
      </c>
      <c r="DI377" s="679">
        <v>1.059</v>
      </c>
      <c r="DJ377" s="675">
        <f t="shared" si="248"/>
        <v>0.9969944028911999</v>
      </c>
      <c r="DK377" s="668">
        <v>3295.2373</v>
      </c>
      <c r="DL377" s="676">
        <f t="shared" si="233"/>
        <v>717.6300907374668</v>
      </c>
      <c r="DM377" s="677">
        <v>1.02</v>
      </c>
      <c r="DN377" s="674">
        <v>1.0687809240671997</v>
      </c>
      <c r="DO377" s="668">
        <v>1102.4971</v>
      </c>
      <c r="DP377" s="670">
        <f t="shared" si="234"/>
        <v>291.24440497969806</v>
      </c>
      <c r="DQ377" s="679">
        <v>1.016</v>
      </c>
      <c r="DR377" s="680">
        <f t="shared" si="235"/>
        <v>1.00472298456576</v>
      </c>
      <c r="DS377" s="668">
        <v>79.1165</v>
      </c>
      <c r="DT377" s="668">
        <f t="shared" si="236"/>
        <v>24.41406521885877</v>
      </c>
      <c r="DU377" s="681">
        <v>0</v>
      </c>
      <c r="DV377" s="677">
        <v>1.1</v>
      </c>
      <c r="DW377" s="60">
        <f t="shared" si="249"/>
        <v>1.0834260685248003</v>
      </c>
      <c r="DX377" s="675">
        <f t="shared" si="237"/>
        <v>4.720334553021763</v>
      </c>
      <c r="DY377" s="668">
        <v>7305.6466</v>
      </c>
      <c r="DZ377" s="668">
        <f t="shared" si="226"/>
        <v>1547.6967824925093</v>
      </c>
      <c r="EA377" s="677">
        <f t="shared" si="238"/>
        <v>1.2980678734344389</v>
      </c>
      <c r="EB377" s="675">
        <f t="shared" si="227"/>
        <v>1.2247490822844354</v>
      </c>
      <c r="EC377" s="675">
        <f t="shared" si="228"/>
        <v>5.422670804728047</v>
      </c>
      <c r="ED377" s="668">
        <f t="shared" si="225"/>
        <v>3419.3657</v>
      </c>
      <c r="EE377" s="60">
        <f t="shared" si="239"/>
        <v>0.21045165705943777</v>
      </c>
      <c r="EF377" s="676">
        <f t="shared" si="229"/>
        <v>630.5685561842777</v>
      </c>
      <c r="EJ377" s="332">
        <v>2000</v>
      </c>
      <c r="EK377" s="46">
        <v>1.095</v>
      </c>
      <c r="EL377" s="272">
        <f t="shared" si="240"/>
        <v>1.2802504217153998</v>
      </c>
      <c r="EM377" s="55">
        <v>3218.8663</v>
      </c>
      <c r="EN377" s="57">
        <f t="shared" si="241"/>
        <v>6.00821185960683</v>
      </c>
      <c r="EO377" s="55">
        <f t="shared" si="230"/>
        <v>535.7444735996108</v>
      </c>
      <c r="EP377" s="326">
        <v>28.14</v>
      </c>
      <c r="EQ377" s="57">
        <v>0.7146</v>
      </c>
      <c r="ER377" s="57"/>
      <c r="ES377" s="272"/>
      <c r="ET377" s="57">
        <v>28.2072</v>
      </c>
      <c r="EU377" s="333">
        <f t="shared" si="231"/>
        <v>7305.6466</v>
      </c>
    </row>
    <row r="378" ht="17.5" customHeight="1" spans="96:151" x14ac:dyDescent="0.25">
      <c r="CR378" s="332">
        <v>2001</v>
      </c>
      <c r="CS378" s="674">
        <v>1.049</v>
      </c>
      <c r="CT378" s="675">
        <f t="shared" si="242"/>
        <v>1.1356615188312789</v>
      </c>
      <c r="CU378" s="668">
        <v>17020.2773</v>
      </c>
      <c r="CV378" s="676">
        <f t="shared" si="243"/>
        <v>3266.748643068627</v>
      </c>
      <c r="CW378" s="677">
        <v>1.187</v>
      </c>
      <c r="CX378" s="675">
        <f t="shared" si="244"/>
        <v>1.0958219665213338</v>
      </c>
      <c r="CY378" s="668">
        <v>2165.928</v>
      </c>
      <c r="CZ378" s="676">
        <f t="shared" si="245"/>
        <v>405.347504135551</v>
      </c>
      <c r="DA378" s="678"/>
      <c r="DB378" s="675">
        <v>1.1326828463720047</v>
      </c>
      <c r="DC378" s="668">
        <v>8076.6947</v>
      </c>
      <c r="DD378" s="676">
        <f t="shared" si="246"/>
        <v>1640.1193246690004</v>
      </c>
      <c r="DE378" s="677">
        <v>1.1</v>
      </c>
      <c r="DF378" s="675">
        <f t="shared" si="247"/>
        <v>0.9284109634799999</v>
      </c>
      <c r="DG378" s="668">
        <v>1504.7</v>
      </c>
      <c r="DH378" s="668">
        <f t="shared" si="232"/>
        <v>247.86158856410947</v>
      </c>
      <c r="DI378" s="679">
        <v>1.082</v>
      </c>
      <c r="DJ378" s="675">
        <f t="shared" si="248"/>
        <v>1.0787479439282783</v>
      </c>
      <c r="DK378" s="668">
        <v>4318.1211</v>
      </c>
      <c r="DL378" s="676">
        <f t="shared" si="233"/>
        <v>776.4757581779392</v>
      </c>
      <c r="DM378" s="679">
        <v>0.992</v>
      </c>
      <c r="DN378" s="674">
        <v>1.060230676674662</v>
      </c>
      <c r="DO378" s="668">
        <v>1469.9576</v>
      </c>
      <c r="DP378" s="670">
        <f t="shared" si="234"/>
        <v>288.91444973986046</v>
      </c>
      <c r="DQ378" s="679">
        <v>1.019</v>
      </c>
      <c r="DR378" s="680">
        <f t="shared" si="235"/>
        <v>1.0238127212725092</v>
      </c>
      <c r="DS378" s="668">
        <v>98.7819</v>
      </c>
      <c r="DT378" s="668">
        <f t="shared" si="236"/>
        <v>24.87793245801708</v>
      </c>
      <c r="DU378" s="681">
        <v>-40.0226</v>
      </c>
      <c r="DV378" s="679">
        <v>1.051</v>
      </c>
      <c r="DW378" s="60">
        <f t="shared" si="249"/>
        <v>1.138680798019565</v>
      </c>
      <c r="DX378" s="675">
        <f t="shared" si="237"/>
        <v>5.4982302967459225</v>
      </c>
      <c r="DY378" s="668">
        <v>8943.5826</v>
      </c>
      <c r="DZ378" s="668">
        <f t="shared" si="226"/>
        <v>1626.6293183996272</v>
      </c>
      <c r="EA378" s="677">
        <f t="shared" si="238"/>
        <v>1.1003515585900572</v>
      </c>
      <c r="EB378" s="675">
        <f t="shared" si="227"/>
        <v>1.3476545615734206</v>
      </c>
      <c r="EC378" s="675">
        <f t="shared" si="228"/>
        <v>5.416139427100017</v>
      </c>
      <c r="ED378" s="668">
        <f t="shared" si="225"/>
        <v>3757.9725999999996</v>
      </c>
      <c r="EE378" s="60">
        <f t="shared" si="239"/>
        <v>0.22075386925949722</v>
      </c>
      <c r="EF378" s="676">
        <f t="shared" si="229"/>
        <v>693.847093595252</v>
      </c>
      <c r="EJ378" s="332">
        <v>2001</v>
      </c>
      <c r="EK378" s="46">
        <v>1.042</v>
      </c>
      <c r="EL378" s="272">
        <f t="shared" si="240"/>
        <v>1.3340209394274467</v>
      </c>
      <c r="EM378" s="55">
        <v>3299.5617</v>
      </c>
      <c r="EN378" s="57">
        <f t="shared" si="241"/>
        <v>5.910590005019161</v>
      </c>
      <c r="EO378" s="55">
        <f t="shared" si="230"/>
        <v>558.2457414907944</v>
      </c>
      <c r="EP378" s="326">
        <v>29.17</v>
      </c>
      <c r="EQ378" s="57">
        <v>1.1505999999999998</v>
      </c>
      <c r="ER378" s="57"/>
      <c r="ES378" s="272"/>
      <c r="ET378" s="57">
        <v>27.166600000000003</v>
      </c>
      <c r="EU378" s="333">
        <f t="shared" si="231"/>
        <v>8943.5826</v>
      </c>
    </row>
    <row r="379" ht="17.5" customHeight="1" spans="96:151" x14ac:dyDescent="0.25">
      <c r="CR379" s="332">
        <v>2002</v>
      </c>
      <c r="CS379" s="674">
        <v>1.044</v>
      </c>
      <c r="CT379" s="675">
        <f t="shared" si="242"/>
        <v>1.1856306256598552</v>
      </c>
      <c r="CU379" s="668">
        <v>20222.973599999998</v>
      </c>
      <c r="CV379" s="676">
        <f t="shared" si="243"/>
        <v>3410.485583363647</v>
      </c>
      <c r="CW379" s="677">
        <v>1.146</v>
      </c>
      <c r="CX379" s="675">
        <f t="shared" si="244"/>
        <v>1.2558119736334483</v>
      </c>
      <c r="CY379" s="668">
        <v>2646.204</v>
      </c>
      <c r="CZ379" s="676">
        <f t="shared" si="245"/>
        <v>464.5282397393414</v>
      </c>
      <c r="DA379" s="678"/>
      <c r="DB379" s="675">
        <v>1.1791507920739224</v>
      </c>
      <c r="DC379" s="668">
        <v>9403.7027</v>
      </c>
      <c r="DD379" s="676">
        <f t="shared" si="246"/>
        <v>1707.404686999238</v>
      </c>
      <c r="DE379" s="677">
        <v>1.028</v>
      </c>
      <c r="DF379" s="675">
        <f t="shared" si="247"/>
        <v>0.9544064704574399</v>
      </c>
      <c r="DG379" s="668">
        <v>1762.4</v>
      </c>
      <c r="DH379" s="668">
        <f t="shared" si="232"/>
        <v>254.80171304390456</v>
      </c>
      <c r="DI379" s="679">
        <v>1.077</v>
      </c>
      <c r="DJ379" s="675">
        <f t="shared" si="248"/>
        <v>1.1618115356107557</v>
      </c>
      <c r="DK379" s="668">
        <v>5409.1577</v>
      </c>
      <c r="DL379" s="676">
        <f t="shared" si="233"/>
        <v>836.2643915576405</v>
      </c>
      <c r="DM379" s="679">
        <v>1.026</v>
      </c>
      <c r="DN379" s="674">
        <v>1.0877966742682033</v>
      </c>
      <c r="DO379" s="668">
        <v>1942.4418</v>
      </c>
      <c r="DP379" s="670">
        <f t="shared" si="234"/>
        <v>296.4262254330968</v>
      </c>
      <c r="DQ379" s="679">
        <v>1.008</v>
      </c>
      <c r="DR379" s="680">
        <f t="shared" si="235"/>
        <v>1.0320032230426892</v>
      </c>
      <c r="DS379" s="668">
        <v>132.516</v>
      </c>
      <c r="DT379" s="668">
        <f t="shared" si="236"/>
        <v>25.076955917681218</v>
      </c>
      <c r="DU379" s="681">
        <v>-1.707</v>
      </c>
      <c r="DV379" s="679">
        <v>1.047</v>
      </c>
      <c r="DW379" s="60">
        <f t="shared" si="249"/>
        <v>1.1921987955264846</v>
      </c>
      <c r="DX379" s="675">
        <f t="shared" si="237"/>
        <v>6.352763936872314</v>
      </c>
      <c r="DY379" s="668">
        <v>10819.270899999998</v>
      </c>
      <c r="DZ379" s="668">
        <f t="shared" si="226"/>
        <v>1703.0808963644097</v>
      </c>
      <c r="EA379" s="677">
        <f t="shared" si="238"/>
        <v>1.0881934321279612</v>
      </c>
      <c r="EB379" s="675">
        <f t="shared" si="227"/>
        <v>1.4665088426814834</v>
      </c>
      <c r="EC379" s="675">
        <f t="shared" si="228"/>
        <v>5.589991573495779</v>
      </c>
      <c r="ED379" s="668">
        <f t="shared" si="225"/>
        <v>4220.666399999998</v>
      </c>
      <c r="EE379" s="60">
        <f t="shared" si="239"/>
        <v>0.23009857341476964</v>
      </c>
      <c r="EF379" s="676">
        <f t="shared" si="229"/>
        <v>755.039850151428</v>
      </c>
      <c r="EJ379" s="332">
        <v>2002</v>
      </c>
      <c r="EK379" s="46">
        <v>1.103</v>
      </c>
      <c r="EL379" s="272">
        <f t="shared" si="240"/>
        <v>1.4714250961884736</v>
      </c>
      <c r="EM379" s="55">
        <v>3813.7</v>
      </c>
      <c r="EN379" s="57">
        <f t="shared" si="241"/>
        <v>6.193634820546727</v>
      </c>
      <c r="EO379" s="55">
        <f t="shared" si="230"/>
        <v>615.7450528643462</v>
      </c>
      <c r="EP379" s="326">
        <v>31.35</v>
      </c>
      <c r="EQ379" s="57">
        <v>1.6094000000000002</v>
      </c>
      <c r="ER379" s="57"/>
      <c r="ES379" s="272"/>
      <c r="ET379" s="57">
        <v>28.683000000000003</v>
      </c>
      <c r="EU379" s="333">
        <f t="shared" si="231"/>
        <v>10819.270899999998</v>
      </c>
    </row>
    <row r="380" ht="17.5" customHeight="1" spans="96:151" x14ac:dyDescent="0.25">
      <c r="CR380" s="332">
        <v>2003</v>
      </c>
      <c r="CS380" s="674">
        <v>1.076</v>
      </c>
      <c r="CT380" s="675">
        <f t="shared" si="242"/>
        <v>1.2757385532100043</v>
      </c>
      <c r="CU380" s="668">
        <v>24861.5895</v>
      </c>
      <c r="CV380" s="676">
        <f t="shared" si="243"/>
        <v>3669.6824876992846</v>
      </c>
      <c r="CW380" s="677">
        <v>1.173</v>
      </c>
      <c r="CX380" s="675">
        <f t="shared" si="244"/>
        <v>1.473067445072035</v>
      </c>
      <c r="CY380" s="668">
        <v>3153.9</v>
      </c>
      <c r="CZ380" s="676">
        <f t="shared" si="245"/>
        <v>544.8916252142475</v>
      </c>
      <c r="DA380" s="678"/>
      <c r="DB380" s="675">
        <v>1.2722947464882988</v>
      </c>
      <c r="DC380" s="668">
        <v>11653.3392</v>
      </c>
      <c r="DD380" s="676">
        <f t="shared" si="246"/>
        <v>1842.2766859002738</v>
      </c>
      <c r="DE380" s="677">
        <v>1.125</v>
      </c>
      <c r="DF380" s="675">
        <f t="shared" si="247"/>
        <v>1.0737072792646198</v>
      </c>
      <c r="DG380" s="668">
        <v>2186.4</v>
      </c>
      <c r="DH380" s="668">
        <f t="shared" si="232"/>
        <v>286.6519271743926</v>
      </c>
      <c r="DI380" s="679">
        <v>1.077</v>
      </c>
      <c r="DJ380" s="675">
        <f t="shared" si="248"/>
        <v>1.2512710238527838</v>
      </c>
      <c r="DK380" s="668">
        <v>6537.4015</v>
      </c>
      <c r="DL380" s="676">
        <f t="shared" si="233"/>
        <v>900.6567497075787</v>
      </c>
      <c r="DM380" s="679">
        <v>1.024</v>
      </c>
      <c r="DN380" s="674">
        <v>1.1139037944506402</v>
      </c>
      <c r="DO380" s="668">
        <v>2366.3687</v>
      </c>
      <c r="DP380" s="670">
        <f t="shared" si="234"/>
        <v>303.54045484349115</v>
      </c>
      <c r="DQ380" s="679">
        <v>1.001</v>
      </c>
      <c r="DR380" s="680">
        <f t="shared" si="235"/>
        <v>1.0330352262657319</v>
      </c>
      <c r="DS380" s="668">
        <v>154.9174</v>
      </c>
      <c r="DT380" s="668">
        <f t="shared" si="236"/>
        <v>25.102032873598898</v>
      </c>
      <c r="DU380" s="681">
        <v>-107.4624</v>
      </c>
      <c r="DV380" s="679">
        <v>1.073</v>
      </c>
      <c r="DW380" s="60">
        <f t="shared" si="249"/>
        <v>1.279229307599918</v>
      </c>
      <c r="DX380" s="675">
        <f t="shared" si="237"/>
        <v>7.227869303576128</v>
      </c>
      <c r="DY380" s="668">
        <v>13208.250299999998</v>
      </c>
      <c r="DZ380" s="668">
        <f t="shared" si="226"/>
        <v>1827.4058017990117</v>
      </c>
      <c r="EA380" s="677">
        <f t="shared" si="238"/>
        <v>1.1341735965889115</v>
      </c>
      <c r="EB380" s="675">
        <f t="shared" si="227"/>
        <v>1.6632756085335</v>
      </c>
      <c r="EC380" s="675">
        <f t="shared" si="228"/>
        <v>6.100949264694751</v>
      </c>
      <c r="ED380" s="668">
        <f t="shared" si="225"/>
        <v>5224.525099999999</v>
      </c>
      <c r="EE380" s="60">
        <f t="shared" si="239"/>
        <v>0.24253877934926296</v>
      </c>
      <c r="EF380" s="676">
        <f t="shared" si="229"/>
        <v>856.3462624141979</v>
      </c>
      <c r="EJ380" s="332">
        <v>2003</v>
      </c>
      <c r="EK380" s="46">
        <v>1.126</v>
      </c>
      <c r="EL380" s="272">
        <f t="shared" si="240"/>
        <v>1.6568246583082211</v>
      </c>
      <c r="EM380" s="55">
        <v>4655.8803</v>
      </c>
      <c r="EN380" s="57">
        <f t="shared" si="241"/>
        <v>6.715254624075821</v>
      </c>
      <c r="EO380" s="55">
        <f t="shared" si="230"/>
        <v>693.3289295252538</v>
      </c>
      <c r="EP380" s="326">
        <v>30.69</v>
      </c>
      <c r="EQ380" s="57">
        <v>2.1305</v>
      </c>
      <c r="ER380" s="57"/>
      <c r="ES380" s="272"/>
      <c r="ET380" s="57">
        <v>29.938200000000002</v>
      </c>
      <c r="EU380" s="333">
        <f t="shared" si="231"/>
        <v>13208.250299999998</v>
      </c>
    </row>
    <row r="381" ht="17.5" customHeight="1" spans="96:151" x14ac:dyDescent="0.25">
      <c r="CR381" s="332">
        <v>2004</v>
      </c>
      <c r="CS381" s="674">
        <v>1.08</v>
      </c>
      <c r="CT381" s="675">
        <f t="shared" si="242"/>
        <v>1.3777976374668046</v>
      </c>
      <c r="CU381" s="668">
        <v>31659.022599999997</v>
      </c>
      <c r="CV381" s="676">
        <f t="shared" si="243"/>
        <v>3963.2570867152276</v>
      </c>
      <c r="CW381" s="677">
        <v>1.233</v>
      </c>
      <c r="CX381" s="675">
        <f t="shared" si="244"/>
        <v>1.816292159773819</v>
      </c>
      <c r="CY381" s="668">
        <v>3773.9</v>
      </c>
      <c r="CZ381" s="676">
        <f t="shared" si="245"/>
        <v>671.8513738891672</v>
      </c>
      <c r="DA381" s="678"/>
      <c r="DB381" s="675">
        <v>1.3841745243262458</v>
      </c>
      <c r="DC381" s="668">
        <v>14631.8556</v>
      </c>
      <c r="DD381" s="676">
        <f t="shared" si="246"/>
        <v>2004.2780671866876</v>
      </c>
      <c r="DE381" s="677">
        <v>1.137</v>
      </c>
      <c r="DF381" s="675">
        <f t="shared" si="247"/>
        <v>1.2208051765238728</v>
      </c>
      <c r="DG381" s="668">
        <v>2865</v>
      </c>
      <c r="DH381" s="668">
        <f t="shared" si="232"/>
        <v>325.92324119728437</v>
      </c>
      <c r="DI381" s="679">
        <v>1.125</v>
      </c>
      <c r="DJ381" s="675">
        <f t="shared" si="248"/>
        <v>1.4076799018343817</v>
      </c>
      <c r="DK381" s="668">
        <v>8438.4841</v>
      </c>
      <c r="DL381" s="676">
        <f t="shared" si="233"/>
        <v>1013.238843421026</v>
      </c>
      <c r="DM381" s="679">
        <v>1.021</v>
      </c>
      <c r="DN381" s="674">
        <v>1.1372957741341037</v>
      </c>
      <c r="DO381" s="668">
        <v>2889.8145</v>
      </c>
      <c r="DP381" s="670">
        <f t="shared" si="234"/>
        <v>309.9148043952045</v>
      </c>
      <c r="DQ381" s="679">
        <v>0.889</v>
      </c>
      <c r="DR381" s="680">
        <f t="shared" si="235"/>
        <v>0.9183683161502356</v>
      </c>
      <c r="DS381" s="668">
        <v>149.551</v>
      </c>
      <c r="DT381" s="668">
        <f t="shared" si="236"/>
        <v>22.31570722462942</v>
      </c>
      <c r="DU381" s="681">
        <v>-96.1435</v>
      </c>
      <c r="DV381" s="679">
        <v>1.072</v>
      </c>
      <c r="DW381" s="60">
        <f t="shared" si="249"/>
        <v>1.3713338177471122</v>
      </c>
      <c r="DX381" s="675">
        <f t="shared" si="237"/>
        <v>8.69185776379466</v>
      </c>
      <c r="DY381" s="668">
        <v>17027.166999999998</v>
      </c>
      <c r="DZ381" s="668">
        <f t="shared" si="226"/>
        <v>1958.9790195285407</v>
      </c>
      <c r="EA381" s="677">
        <f t="shared" si="238"/>
        <v>1.120385338606759</v>
      </c>
      <c r="EB381" s="675">
        <f t="shared" si="227"/>
        <v>1.8635096058631688</v>
      </c>
      <c r="EC381" s="675">
        <f t="shared" si="228"/>
        <v>6.831459964645646</v>
      </c>
      <c r="ED381" s="668">
        <f t="shared" si="225"/>
        <v>6554.360899999998</v>
      </c>
      <c r="EE381" s="60">
        <f t="shared" si="239"/>
        <v>0.2516082337282352</v>
      </c>
      <c r="EF381" s="676">
        <f t="shared" si="229"/>
        <v>959.4377971795636</v>
      </c>
      <c r="EJ381" s="332">
        <v>2004</v>
      </c>
      <c r="EK381" s="46">
        <v>1.118</v>
      </c>
      <c r="EL381" s="272">
        <f t="shared" si="240"/>
        <v>1.8523299679885914</v>
      </c>
      <c r="EM381" s="55">
        <v>5860.3969</v>
      </c>
      <c r="EN381" s="57">
        <f t="shared" si="241"/>
        <v>7.560419692709162</v>
      </c>
      <c r="EO381" s="55">
        <f t="shared" si="230"/>
        <v>775.1417432092338</v>
      </c>
      <c r="EP381" s="326">
        <v>28.81</v>
      </c>
      <c r="EQ381" s="57">
        <v>3.2051999999999996</v>
      </c>
      <c r="ER381" s="57"/>
      <c r="ES381" s="272"/>
      <c r="ET381" s="57">
        <v>32.7958</v>
      </c>
      <c r="EU381" s="333">
        <f t="shared" si="231"/>
        <v>17027.166999999998</v>
      </c>
    </row>
    <row r="382" ht="17.5" customHeight="1" spans="96:151" x14ac:dyDescent="0.25">
      <c r="CR382" s="332">
        <v>2005</v>
      </c>
      <c r="CS382" s="674">
        <v>1.057</v>
      </c>
      <c r="CT382" s="675">
        <f t="shared" si="242"/>
        <v>1.4563321028024123</v>
      </c>
      <c r="CU382" s="668">
        <v>40112.702</v>
      </c>
      <c r="CV382" s="676">
        <f t="shared" si="243"/>
        <v>4189.1627406579955</v>
      </c>
      <c r="CW382" s="677">
        <v>1.166</v>
      </c>
      <c r="CX382" s="675">
        <f t="shared" si="244"/>
        <v>2.117796658296273</v>
      </c>
      <c r="CY382" s="668">
        <v>4648.3</v>
      </c>
      <c r="CZ382" s="676">
        <f t="shared" si="245"/>
        <v>783.378701954769</v>
      </c>
      <c r="DA382" s="678"/>
      <c r="DB382" s="675">
        <v>1.4536022383773288</v>
      </c>
      <c r="DC382" s="668">
        <v>18502.9362</v>
      </c>
      <c r="DD382" s="676">
        <f t="shared" si="246"/>
        <v>2104.8090638796284</v>
      </c>
      <c r="DE382" s="677">
        <v>1.102</v>
      </c>
      <c r="DF382" s="675">
        <f t="shared" si="247"/>
        <v>1.345327304529308</v>
      </c>
      <c r="DG382" s="668">
        <v>3611.1</v>
      </c>
      <c r="DH382" s="668">
        <f t="shared" si="232"/>
        <v>359.16741179940743</v>
      </c>
      <c r="DI382" s="679">
        <v>1.122</v>
      </c>
      <c r="DJ382" s="675">
        <f t="shared" si="248"/>
        <v>1.5794168498581764</v>
      </c>
      <c r="DK382" s="668">
        <v>10652.8578</v>
      </c>
      <c r="DL382" s="676">
        <f t="shared" si="233"/>
        <v>1136.8539823183912</v>
      </c>
      <c r="DM382" s="679">
        <v>1.014</v>
      </c>
      <c r="DN382" s="674">
        <v>1.1532179149719812</v>
      </c>
      <c r="DO382" s="668">
        <v>3645.9185</v>
      </c>
      <c r="DP382" s="670">
        <f t="shared" si="234"/>
        <v>314.25361165673735</v>
      </c>
      <c r="DQ382" s="679">
        <v>0.817</v>
      </c>
      <c r="DR382" s="680">
        <f t="shared" si="235"/>
        <v>0.7503069142947425</v>
      </c>
      <c r="DS382" s="668">
        <v>139.3729</v>
      </c>
      <c r="DT382" s="668">
        <f t="shared" si="236"/>
        <v>18.231932802522234</v>
      </c>
      <c r="DU382" s="681">
        <v>-126.0953</v>
      </c>
      <c r="DV382" s="679">
        <v>1.064</v>
      </c>
      <c r="DW382" s="60">
        <f t="shared" si="249"/>
        <v>1.4590991820829273</v>
      </c>
      <c r="DX382" s="675">
        <f t="shared" si="237"/>
        <v>10.367609893058376</v>
      </c>
      <c r="DY382" s="668">
        <v>21609.765799999997</v>
      </c>
      <c r="DZ382" s="668">
        <f t="shared" si="226"/>
        <v>2084.353676778367</v>
      </c>
      <c r="EA382" s="677">
        <f t="shared" si="238"/>
        <v>1.0831608294055788</v>
      </c>
      <c r="EB382" s="675">
        <f t="shared" si="227"/>
        <v>2.018480610292013</v>
      </c>
      <c r="EC382" s="675">
        <f t="shared" si="228"/>
        <v>8.02031164551573</v>
      </c>
      <c r="ED382" s="668">
        <f t="shared" si="225"/>
        <v>8334.9119</v>
      </c>
      <c r="EE382" s="60">
        <f t="shared" si="239"/>
        <v>0.25783555641470957</v>
      </c>
      <c r="EF382" s="676">
        <f t="shared" si="229"/>
        <v>1039.2254401560776</v>
      </c>
      <c r="EJ382" s="332">
        <v>2005</v>
      </c>
      <c r="EK382" s="46">
        <v>1.065</v>
      </c>
      <c r="EL382" s="272">
        <f t="shared" si="240"/>
        <v>1.9727314159078497</v>
      </c>
      <c r="EM382" s="55">
        <v>7607.2565</v>
      </c>
      <c r="EN382" s="57">
        <f t="shared" si="241"/>
        <v>9.215042167890525</v>
      </c>
      <c r="EO382" s="55">
        <f t="shared" si="230"/>
        <v>825.5259565178341</v>
      </c>
      <c r="EP382" s="326">
        <v>28.3</v>
      </c>
      <c r="EQ382" s="57">
        <v>4.353899999999999</v>
      </c>
      <c r="ER382" s="57"/>
      <c r="ES382" s="272"/>
      <c r="ET382" s="57">
        <v>39.262</v>
      </c>
      <c r="EU382" s="333">
        <f t="shared" si="231"/>
        <v>21609.765799999997</v>
      </c>
    </row>
    <row r="383" ht="17.5" customHeight="1" spans="96:151" x14ac:dyDescent="0.25">
      <c r="CR383" s="332">
        <v>2006</v>
      </c>
      <c r="CS383" s="674">
        <v>1.089</v>
      </c>
      <c r="CT383" s="675">
        <f t="shared" si="242"/>
        <v>1.585945659951827</v>
      </c>
      <c r="CU383" s="668">
        <v>50163.7265</v>
      </c>
      <c r="CV383" s="676">
        <f t="shared" si="243"/>
        <v>4561.998224576557</v>
      </c>
      <c r="CW383" s="677">
        <v>1.213</v>
      </c>
      <c r="CX383" s="675">
        <f t="shared" si="244"/>
        <v>2.568887346513379</v>
      </c>
      <c r="CY383" s="668">
        <v>5653.4199</v>
      </c>
      <c r="CZ383" s="676">
        <f t="shared" si="245"/>
        <v>950.2383654711348</v>
      </c>
      <c r="DA383" s="678"/>
      <c r="DB383" s="675">
        <v>1.5930491663938962</v>
      </c>
      <c r="DC383" s="668">
        <v>23246.5228</v>
      </c>
      <c r="DD383" s="676">
        <f t="shared" si="246"/>
        <v>2306.7275463023634</v>
      </c>
      <c r="DE383" s="677">
        <v>1.167</v>
      </c>
      <c r="DF383" s="675">
        <f t="shared" si="247"/>
        <v>1.5699969643857024</v>
      </c>
      <c r="DG383" s="668">
        <v>4730</v>
      </c>
      <c r="DH383" s="668">
        <f t="shared" si="232"/>
        <v>419.1483695699085</v>
      </c>
      <c r="DI383" s="679">
        <v>1.122</v>
      </c>
      <c r="DJ383" s="675">
        <f t="shared" si="248"/>
        <v>1.7721057055408742</v>
      </c>
      <c r="DK383" s="668">
        <v>12974.7434</v>
      </c>
      <c r="DL383" s="676">
        <f t="shared" si="233"/>
        <v>1275.5501681612352</v>
      </c>
      <c r="DM383" s="679">
        <v>1.023</v>
      </c>
      <c r="DN383" s="674">
        <v>1.1797419270163367</v>
      </c>
      <c r="DO383" s="668">
        <v>4680.4097</v>
      </c>
      <c r="DP383" s="670">
        <f t="shared" si="234"/>
        <v>321.48144472484233</v>
      </c>
      <c r="DQ383" s="679">
        <v>0.983</v>
      </c>
      <c r="DR383" s="680">
        <f t="shared" si="235"/>
        <v>0.7375516967517318</v>
      </c>
      <c r="DS383" s="668">
        <v>154.5876</v>
      </c>
      <c r="DT383" s="668">
        <f t="shared" si="236"/>
        <v>17.921989944879357</v>
      </c>
      <c r="DU383" s="681">
        <v>-17.1794</v>
      </c>
      <c r="DV383" s="679">
        <v>1.082</v>
      </c>
      <c r="DW383" s="60">
        <f t="shared" si="249"/>
        <v>1.5787453150137274</v>
      </c>
      <c r="DX383" s="675">
        <f t="shared" si="237"/>
        <v>11.93524305499237</v>
      </c>
      <c r="DY383" s="668">
        <v>26917.2037</v>
      </c>
      <c r="DZ383" s="668">
        <f t="shared" si="226"/>
        <v>2255.2706782741934</v>
      </c>
      <c r="EA383" s="677">
        <f t="shared" si="238"/>
        <v>1.1271924513015512</v>
      </c>
      <c r="EB383" s="675">
        <f t="shared" si="227"/>
        <v>2.2752161070197054</v>
      </c>
      <c r="EC383" s="675">
        <f t="shared" si="228"/>
        <v>8.577771592643286</v>
      </c>
      <c r="ED383" s="668">
        <f t="shared" si="225"/>
        <v>10048.0623</v>
      </c>
      <c r="EE383" s="60">
        <f t="shared" si="239"/>
        <v>0.2668781385379209</v>
      </c>
      <c r="EF383" s="676">
        <f t="shared" si="229"/>
        <v>1171.4070713444628</v>
      </c>
      <c r="EJ383" s="332">
        <v>2006</v>
      </c>
      <c r="EK383" s="46">
        <v>1.073</v>
      </c>
      <c r="EL383" s="272">
        <f t="shared" si="240"/>
        <v>2.1167408092691224</v>
      </c>
      <c r="EM383" s="55">
        <v>9079.3</v>
      </c>
      <c r="EN383" s="57">
        <f t="shared" si="241"/>
        <v>10.24995388150444</v>
      </c>
      <c r="EO383" s="55">
        <f t="shared" si="230"/>
        <v>885.7893513436358</v>
      </c>
      <c r="EP383" s="326">
        <v>27.17</v>
      </c>
      <c r="EQ383" s="57">
        <v>6.032100000000001</v>
      </c>
      <c r="ER383" s="57"/>
      <c r="ES383" s="272"/>
      <c r="ET383" s="57">
        <v>43.226600000000005</v>
      </c>
      <c r="EU383" s="333">
        <f t="shared" si="231"/>
        <v>26917.2037</v>
      </c>
    </row>
    <row r="384" ht="17.5" customHeight="1" spans="96:151" x14ac:dyDescent="0.25">
      <c r="CR384" s="332">
        <v>2007</v>
      </c>
      <c r="CS384" s="674">
        <v>1.088</v>
      </c>
      <c r="CT384" s="675">
        <f t="shared" si="242"/>
        <v>1.7255088780275878</v>
      </c>
      <c r="CU384" s="668">
        <v>62515.1745</v>
      </c>
      <c r="CV384" s="676">
        <f t="shared" si="243"/>
        <v>4963.454068339294</v>
      </c>
      <c r="CW384" s="677">
        <v>1.262</v>
      </c>
      <c r="CX384" s="675">
        <f t="shared" si="244"/>
        <v>3.2419358312998843</v>
      </c>
      <c r="CY384" s="668">
        <v>7162.2108</v>
      </c>
      <c r="CZ384" s="676">
        <f t="shared" si="245"/>
        <v>1199.2008172245721</v>
      </c>
      <c r="DA384" s="678"/>
      <c r="DB384" s="675">
        <v>1.7379100306491306</v>
      </c>
      <c r="DC384" s="668">
        <v>29267.6613</v>
      </c>
      <c r="DD384" s="676">
        <f t="shared" si="246"/>
        <v>2516.4853824117945</v>
      </c>
      <c r="DE384" s="677">
        <v>1.227</v>
      </c>
      <c r="DF384" s="675">
        <f t="shared" si="247"/>
        <v>1.9263862753012568</v>
      </c>
      <c r="DG384" s="668">
        <v>6716.222</v>
      </c>
      <c r="DH384" s="668">
        <f t="shared" si="232"/>
        <v>514.2950494622777</v>
      </c>
      <c r="DI384" s="679">
        <v>1.143</v>
      </c>
      <c r="DJ384" s="675">
        <f t="shared" si="248"/>
        <v>2.0255168214332193</v>
      </c>
      <c r="DK384" s="668">
        <v>16031.7398</v>
      </c>
      <c r="DL384" s="676">
        <f t="shared" si="233"/>
        <v>1457.953842208292</v>
      </c>
      <c r="DM384" s="679">
        <v>1.027</v>
      </c>
      <c r="DN384" s="674">
        <v>1.2115949590457777</v>
      </c>
      <c r="DO384" s="668">
        <v>5750.9641</v>
      </c>
      <c r="DP384" s="670">
        <f t="shared" si="234"/>
        <v>330.16144373241303</v>
      </c>
      <c r="DQ384" s="679">
        <v>1.027</v>
      </c>
      <c r="DR384" s="680">
        <f t="shared" si="235"/>
        <v>0.7574655925640286</v>
      </c>
      <c r="DS384" s="668">
        <v>185.8756</v>
      </c>
      <c r="DT384" s="668">
        <f t="shared" si="236"/>
        <v>18.4058836733911</v>
      </c>
      <c r="DU384" s="681">
        <v>378.2842</v>
      </c>
      <c r="DV384" s="679">
        <v>1.085</v>
      </c>
      <c r="DW384" s="60">
        <f t="shared" si="249"/>
        <v>1.7129386667898943</v>
      </c>
      <c r="DX384" s="675">
        <f t="shared" si="237"/>
        <v>13.58722463070583</v>
      </c>
      <c r="DY384" s="668">
        <v>33247.5132</v>
      </c>
      <c r="DZ384" s="668">
        <f t="shared" si="226"/>
        <v>2446.9686859275</v>
      </c>
      <c r="EA384" s="677">
        <f t="shared" si="238"/>
        <v>1.131419910718608</v>
      </c>
      <c r="EB384" s="675">
        <f t="shared" si="227"/>
        <v>2.574224804669774</v>
      </c>
      <c r="EC384" s="675">
        <f t="shared" si="228"/>
        <v>8.561217930593617</v>
      </c>
      <c r="ED384" s="668">
        <f t="shared" si="225"/>
        <v>11346.6383</v>
      </c>
      <c r="EE384" s="60">
        <f t="shared" si="239"/>
        <v>0.2775287129387157</v>
      </c>
      <c r="EF384" s="676">
        <f t="shared" si="229"/>
        <v>1325.353284075698</v>
      </c>
      <c r="EJ384" s="332">
        <v>2007</v>
      </c>
      <c r="EK384" s="46">
        <v>1.063</v>
      </c>
      <c r="EL384" s="272">
        <f t="shared" si="240"/>
        <v>2.2500954802530773</v>
      </c>
      <c r="EM384" s="55">
        <v>10028.7621</v>
      </c>
      <c r="EN384" s="57">
        <f t="shared" si="241"/>
        <v>10.650833844352405</v>
      </c>
      <c r="EO384" s="55">
        <f t="shared" si="230"/>
        <v>941.5940804782849</v>
      </c>
      <c r="EP384" s="326">
        <v>25.58</v>
      </c>
      <c r="EQ384" s="57">
        <v>8.9707</v>
      </c>
      <c r="ER384" s="57"/>
      <c r="ES384" s="272"/>
      <c r="ET384" s="57">
        <v>45.370400000000004</v>
      </c>
      <c r="EU384" s="333">
        <f t="shared" si="231"/>
        <v>33247.5132</v>
      </c>
    </row>
    <row r="385" ht="17.5" customHeight="1" spans="96:151" x14ac:dyDescent="0.25">
      <c r="CR385" s="332">
        <v>2008</v>
      </c>
      <c r="CS385" s="674">
        <v>1.05</v>
      </c>
      <c r="CT385" s="675">
        <f t="shared" si="242"/>
        <v>1.8117843219289673</v>
      </c>
      <c r="CU385" s="668">
        <v>77695.8088</v>
      </c>
      <c r="CV385" s="676">
        <f t="shared" si="243"/>
        <v>5211.62677175626</v>
      </c>
      <c r="CW385" s="677">
        <v>1.148</v>
      </c>
      <c r="CX385" s="675">
        <f t="shared" si="244"/>
        <v>3.7217423343322666</v>
      </c>
      <c r="CY385" s="668">
        <v>9110.9865</v>
      </c>
      <c r="CZ385" s="676">
        <f t="shared" si="245"/>
        <v>1376.6825381738088</v>
      </c>
      <c r="DA385" s="678"/>
      <c r="DB385" s="675">
        <v>1.8214257299751602</v>
      </c>
      <c r="DC385" s="668">
        <v>36418.9596</v>
      </c>
      <c r="DD385" s="676">
        <f t="shared" si="246"/>
        <v>2637.4157141605288</v>
      </c>
      <c r="DE385" s="677">
        <v>1.095</v>
      </c>
      <c r="DF385" s="675">
        <f t="shared" si="247"/>
        <v>2.1093929714548763</v>
      </c>
      <c r="DG385" s="668">
        <v>8781.616</v>
      </c>
      <c r="DH385" s="668">
        <f t="shared" si="232"/>
        <v>563.1530791611941</v>
      </c>
      <c r="DI385" s="679">
        <v>1.106</v>
      </c>
      <c r="DJ385" s="675">
        <f t="shared" si="248"/>
        <v>2.2402216045051406</v>
      </c>
      <c r="DK385" s="668">
        <v>19966.9547</v>
      </c>
      <c r="DL385" s="676">
        <f t="shared" si="233"/>
        <v>1612.4969494823708</v>
      </c>
      <c r="DM385" s="679">
        <v>1.034</v>
      </c>
      <c r="DN385" s="674">
        <v>1.2527891876533341</v>
      </c>
      <c r="DO385" s="668">
        <v>7359.8442</v>
      </c>
      <c r="DP385" s="670">
        <f t="shared" si="234"/>
        <v>341.38693281931506</v>
      </c>
      <c r="DQ385" s="679">
        <v>0.986</v>
      </c>
      <c r="DR385" s="680">
        <f t="shared" si="235"/>
        <v>0.7468610742681322</v>
      </c>
      <c r="DS385" s="668">
        <v>216.7125</v>
      </c>
      <c r="DT385" s="668">
        <f t="shared" si="236"/>
        <v>18.148201301963624</v>
      </c>
      <c r="DU385" s="681">
        <v>-605.3455</v>
      </c>
      <c r="DV385" s="679">
        <v>1.052</v>
      </c>
      <c r="DW385" s="60">
        <f t="shared" si="249"/>
        <v>1.8020114774629687</v>
      </c>
      <c r="DX385" s="675">
        <f t="shared" si="237"/>
        <v>16.034757164997917</v>
      </c>
      <c r="DY385" s="668">
        <v>41276.8492</v>
      </c>
      <c r="DZ385" s="668">
        <f t="shared" si="226"/>
        <v>2574.21105759573</v>
      </c>
      <c r="EA385" s="677">
        <f t="shared" si="238"/>
        <v>1.0681743879270733</v>
      </c>
      <c r="EB385" s="675">
        <f t="shared" si="227"/>
        <v>2.7497210051148255</v>
      </c>
      <c r="EC385" s="675">
        <f t="shared" si="228"/>
        <v>10.360928463828223</v>
      </c>
      <c r="ED385" s="668">
        <f t="shared" si="225"/>
        <v>14668.053799999998</v>
      </c>
      <c r="EE385" s="60">
        <f t="shared" si="239"/>
        <v>0.2823324410242868</v>
      </c>
      <c r="EF385" s="676">
        <f t="shared" si="229"/>
        <v>1415.7084330046953</v>
      </c>
      <c r="EJ385" s="332">
        <v>2008</v>
      </c>
      <c r="EK385" s="46">
        <v>1.006</v>
      </c>
      <c r="EL385" s="272">
        <f t="shared" si="240"/>
        <v>2.2635960531345956</v>
      </c>
      <c r="EM385" s="55">
        <v>12923.5537</v>
      </c>
      <c r="EN385" s="57">
        <f t="shared" si="241"/>
        <v>13.643325842032947</v>
      </c>
      <c r="EO385" s="55">
        <f t="shared" si="230"/>
        <v>947.2436449611545</v>
      </c>
      <c r="EP385" s="326">
        <v>24.86</v>
      </c>
      <c r="EQ385" s="57">
        <v>12.869</v>
      </c>
      <c r="ER385" s="57"/>
      <c r="ES385" s="272"/>
      <c r="ET385" s="57">
        <v>55.452799999999996</v>
      </c>
      <c r="EU385" s="333">
        <f t="shared" si="231"/>
        <v>41276.8492</v>
      </c>
    </row>
    <row r="386" ht="17.5" customHeight="1" spans="96:151" x14ac:dyDescent="0.25">
      <c r="CR386" s="332">
        <v>2009</v>
      </c>
      <c r="CS386" s="674">
        <v>0.926</v>
      </c>
      <c r="CT386" s="675">
        <f t="shared" si="242"/>
        <v>1.6777122821062238</v>
      </c>
      <c r="CU386" s="668">
        <v>73092.3949</v>
      </c>
      <c r="CV386" s="676">
        <f t="shared" si="243"/>
        <v>4825.9663906462965</v>
      </c>
      <c r="CW386" s="677">
        <v>0.696</v>
      </c>
      <c r="CX386" s="675">
        <f t="shared" si="244"/>
        <v>2.5903326646952576</v>
      </c>
      <c r="CY386" s="668">
        <v>7954.3271</v>
      </c>
      <c r="CZ386" s="676">
        <f t="shared" si="245"/>
        <v>958.1710465689708</v>
      </c>
      <c r="DA386" s="678"/>
      <c r="DB386" s="675">
        <v>1.6955291057599</v>
      </c>
      <c r="DC386" s="668">
        <v>34285.124</v>
      </c>
      <c r="DD386" s="676">
        <f t="shared" si="246"/>
        <v>2455.118006600628</v>
      </c>
      <c r="DE386" s="677">
        <v>0.865</v>
      </c>
      <c r="DF386" s="675">
        <f t="shared" si="247"/>
        <v>1.824624920308468</v>
      </c>
      <c r="DG386" s="668">
        <v>7976.013</v>
      </c>
      <c r="DH386" s="668">
        <f t="shared" si="232"/>
        <v>487.1274134744329</v>
      </c>
      <c r="DI386" s="679">
        <v>0.949</v>
      </c>
      <c r="DJ386" s="675">
        <f t="shared" si="248"/>
        <v>2.1259703026753782</v>
      </c>
      <c r="DK386" s="668">
        <v>20986.036</v>
      </c>
      <c r="DL386" s="676">
        <f t="shared" si="233"/>
        <v>1530.25960505877</v>
      </c>
      <c r="DM386" s="679">
        <v>0.994</v>
      </c>
      <c r="DN386" s="674">
        <v>1.2452724525274141</v>
      </c>
      <c r="DO386" s="668">
        <v>8066.7</v>
      </c>
      <c r="DP386" s="670">
        <f t="shared" si="234"/>
        <v>339.33861122239915</v>
      </c>
      <c r="DQ386" s="677">
        <v>0.92</v>
      </c>
      <c r="DR386" s="680">
        <f t="shared" si="235"/>
        <v>0.6871121883266816</v>
      </c>
      <c r="DS386" s="668">
        <v>216.9964</v>
      </c>
      <c r="DT386" s="668">
        <f t="shared" si="236"/>
        <v>16.696345197806533</v>
      </c>
      <c r="DU386" s="681">
        <v>-694.862</v>
      </c>
      <c r="DV386" s="677">
        <v>0.921</v>
      </c>
      <c r="DW386" s="60">
        <f t="shared" si="249"/>
        <v>1.6596525707433942</v>
      </c>
      <c r="DX386" s="675">
        <f t="shared" si="237"/>
        <v>16.36851650284715</v>
      </c>
      <c r="DY386" s="668">
        <v>38807.270899999996</v>
      </c>
      <c r="DZ386" s="668">
        <f t="shared" si="226"/>
        <v>2370.848384045667</v>
      </c>
      <c r="EA386" s="677">
        <f t="shared" si="238"/>
        <v>0.6749959478824833</v>
      </c>
      <c r="EB386" s="675">
        <f t="shared" si="227"/>
        <v>1.8560505362598563</v>
      </c>
      <c r="EC386" s="675">
        <f t="shared" si="228"/>
        <v>10.685163024983835</v>
      </c>
      <c r="ED386" s="668">
        <f t="shared" si="225"/>
        <v>10210.714599999998</v>
      </c>
      <c r="EE386" s="60">
        <f t="shared" si="239"/>
        <v>0.2058026497269587</v>
      </c>
      <c r="EF386" s="676">
        <f t="shared" si="229"/>
        <v>955.5974556612293</v>
      </c>
      <c r="EJ386" s="332">
        <v>2009</v>
      </c>
      <c r="EK386" s="46">
        <v>0.953</v>
      </c>
      <c r="EL386" s="272">
        <f t="shared" si="240"/>
        <v>2.1572070386372695</v>
      </c>
      <c r="EM386" s="55">
        <v>10842.0262</v>
      </c>
      <c r="EN386" s="57">
        <f t="shared" si="241"/>
        <v>12.010355196687106</v>
      </c>
      <c r="EO386" s="55">
        <f t="shared" si="230"/>
        <v>902.7231936479802</v>
      </c>
      <c r="EP386" s="326">
        <v>31.83</v>
      </c>
      <c r="EQ386" s="57">
        <v>12.9759</v>
      </c>
      <c r="ER386" s="57"/>
      <c r="ES386" s="272"/>
      <c r="ET386" s="57">
        <v>44.4594</v>
      </c>
      <c r="EU386" s="333">
        <f t="shared" si="231"/>
        <v>38807.270899999996</v>
      </c>
    </row>
    <row r="387" ht="17.5" customHeight="1" spans="96:151" x14ac:dyDescent="0.25">
      <c r="CR387" s="332">
        <v>2010</v>
      </c>
      <c r="CS387" s="674">
        <v>1.05</v>
      </c>
      <c r="CT387" s="675">
        <f t="shared" si="242"/>
        <v>1.761597896211535</v>
      </c>
      <c r="CU387" s="668">
        <v>88323.068</v>
      </c>
      <c r="CV387" s="676">
        <f t="shared" si="243"/>
        <v>5067.2647101786115</v>
      </c>
      <c r="CW387" s="677">
        <v>1.258</v>
      </c>
      <c r="CX387" s="675">
        <f t="shared" si="244"/>
        <v>3.258638492186634</v>
      </c>
      <c r="CY387" s="668">
        <v>9789.614</v>
      </c>
      <c r="CZ387" s="676">
        <f t="shared" si="245"/>
        <v>1205.3791765837652</v>
      </c>
      <c r="DA387" s="678"/>
      <c r="DB387" s="675">
        <v>1.788492219346368</v>
      </c>
      <c r="DC387" s="668">
        <v>42014.537</v>
      </c>
      <c r="DD387" s="676">
        <f t="shared" si="246"/>
        <v>2589.7281488508884</v>
      </c>
      <c r="DE387" s="677">
        <v>1.063</v>
      </c>
      <c r="DF387" s="675">
        <f t="shared" si="247"/>
        <v>1.9395762902879012</v>
      </c>
      <c r="DG387" s="668">
        <v>9152.1</v>
      </c>
      <c r="DH387" s="668">
        <f t="shared" si="232"/>
        <v>517.8164405233222</v>
      </c>
      <c r="DI387" s="679">
        <v>1.055</v>
      </c>
      <c r="DJ387" s="675">
        <f t="shared" si="248"/>
        <v>2.242898669322524</v>
      </c>
      <c r="DK387" s="668">
        <v>23617.623</v>
      </c>
      <c r="DL387" s="676">
        <f t="shared" si="233"/>
        <v>1614.423883337002</v>
      </c>
      <c r="DM387" s="679">
        <v>0.985</v>
      </c>
      <c r="DN387" s="674">
        <v>1.226593365739503</v>
      </c>
      <c r="DO387" s="668">
        <v>8671.323</v>
      </c>
      <c r="DP387" s="670">
        <f t="shared" si="234"/>
        <v>334.24853205406316</v>
      </c>
      <c r="DQ387" s="679">
        <v>0.995</v>
      </c>
      <c r="DR387" s="680">
        <f t="shared" si="235"/>
        <v>0.6836766273850482</v>
      </c>
      <c r="DS387" s="668">
        <v>225.726</v>
      </c>
      <c r="DT387" s="668">
        <f t="shared" si="236"/>
        <v>16.6128634718175</v>
      </c>
      <c r="DU387" s="681">
        <v>-418.459</v>
      </c>
      <c r="DV387" s="679">
        <v>1.045</v>
      </c>
      <c r="DW387" s="60">
        <f t="shared" si="249"/>
        <v>1.7343369364268468</v>
      </c>
      <c r="DX387" s="675">
        <f t="shared" si="237"/>
        <v>18.69136129929928</v>
      </c>
      <c r="DY387" s="668">
        <v>46308.53100000001</v>
      </c>
      <c r="DZ387" s="668">
        <f t="shared" si="226"/>
        <v>2477.536561327722</v>
      </c>
      <c r="EA387" s="677">
        <f t="shared" si="238"/>
        <v>1.2555642665405242</v>
      </c>
      <c r="EB387" s="675">
        <f t="shared" si="227"/>
        <v>2.330390730221253</v>
      </c>
      <c r="EC387" s="675">
        <f t="shared" si="228"/>
        <v>12.376778209553063</v>
      </c>
      <c r="ED387" s="668">
        <f t="shared" si="225"/>
        <v>14849.832000000011</v>
      </c>
      <c r="EE387" s="60">
        <f t="shared" si="239"/>
        <v>0.24609376472050032</v>
      </c>
      <c r="EF387" s="676">
        <f t="shared" si="229"/>
        <v>1199.8140185252826</v>
      </c>
      <c r="EJ387" s="332">
        <v>2010</v>
      </c>
      <c r="EK387" s="46">
        <v>1.07</v>
      </c>
      <c r="EL387" s="272">
        <f t="shared" si="240"/>
        <v>2.3082115313418785</v>
      </c>
      <c r="EM387" s="55">
        <v>13529.311</v>
      </c>
      <c r="EN387" s="57">
        <f t="shared" si="241"/>
        <v>14.006747557636276</v>
      </c>
      <c r="EO387" s="55">
        <f t="shared" si="230"/>
        <v>965.9138172033389</v>
      </c>
      <c r="EP387" s="326">
        <v>30.36</v>
      </c>
      <c r="EQ387" s="57">
        <v>15.2676</v>
      </c>
      <c r="ER387" s="57"/>
      <c r="ES387" s="272"/>
      <c r="ET387" s="57">
        <v>51.0408</v>
      </c>
      <c r="EU387" s="333">
        <f t="shared" si="231"/>
        <v>46308.53100000001</v>
      </c>
    </row>
    <row r="388" ht="17.5" customHeight="1" spans="96:151" x14ac:dyDescent="0.25">
      <c r="CR388" s="332">
        <v>2011</v>
      </c>
      <c r="CS388" s="674">
        <v>1.043</v>
      </c>
      <c r="CT388" s="675">
        <f t="shared" si="242"/>
        <v>1.837346605748631</v>
      </c>
      <c r="CU388" s="668">
        <v>109158.8003</v>
      </c>
      <c r="CV388" s="676">
        <f t="shared" si="243"/>
        <v>5285.157092716291</v>
      </c>
      <c r="CW388" s="677">
        <v>1.203</v>
      </c>
      <c r="CX388" s="675">
        <f t="shared" si="244"/>
        <v>3.920142106100521</v>
      </c>
      <c r="CY388" s="668">
        <v>12010.7569</v>
      </c>
      <c r="CZ388" s="676">
        <f t="shared" si="245"/>
        <v>1450.0711494302695</v>
      </c>
      <c r="DA388" s="678"/>
      <c r="DB388" s="675">
        <v>1.8653973847782621</v>
      </c>
      <c r="DC388" s="668">
        <v>48876.2599</v>
      </c>
      <c r="DD388" s="676">
        <f t="shared" si="246"/>
        <v>2701.086459251477</v>
      </c>
      <c r="DE388" s="677">
        <v>1.108</v>
      </c>
      <c r="DF388" s="675">
        <f t="shared" si="247"/>
        <v>2.149050529638995</v>
      </c>
      <c r="DG388" s="668">
        <v>11035.652</v>
      </c>
      <c r="DH388" s="668">
        <f t="shared" si="232"/>
        <v>573.740616099841</v>
      </c>
      <c r="DI388" s="679">
        <v>1.068</v>
      </c>
      <c r="DJ388" s="675">
        <f t="shared" si="248"/>
        <v>2.3954157788364556</v>
      </c>
      <c r="DK388" s="668">
        <v>29939.4635</v>
      </c>
      <c r="DL388" s="676">
        <f t="shared" si="233"/>
        <v>1724.2047074039183</v>
      </c>
      <c r="DM388" s="679">
        <v>1.014</v>
      </c>
      <c r="DN388" s="674">
        <v>1.243765672859856</v>
      </c>
      <c r="DO388" s="668">
        <v>10527.4218</v>
      </c>
      <c r="DP388" s="670">
        <f t="shared" si="234"/>
        <v>338.9280115028201</v>
      </c>
      <c r="DQ388" s="679">
        <v>0.951</v>
      </c>
      <c r="DR388" s="680">
        <f t="shared" si="235"/>
        <v>0.6501764726431808</v>
      </c>
      <c r="DS388" s="668">
        <v>225.3324</v>
      </c>
      <c r="DT388" s="668">
        <f t="shared" si="236"/>
        <v>15.798833161698441</v>
      </c>
      <c r="DU388" s="681">
        <v>0</v>
      </c>
      <c r="DV388" s="679">
        <v>1.043</v>
      </c>
      <c r="DW388" s="60">
        <f t="shared" si="249"/>
        <v>1.808913424693201</v>
      </c>
      <c r="DX388" s="675">
        <f t="shared" si="237"/>
        <v>23.32851881806769</v>
      </c>
      <c r="DY388" s="668">
        <v>60282.540400000005</v>
      </c>
      <c r="DZ388" s="668">
        <f t="shared" si="226"/>
        <v>2584.070633464814</v>
      </c>
      <c r="EA388" s="677">
        <f t="shared" si="238"/>
        <v>1.1514031286488886</v>
      </c>
      <c r="EB388" s="675">
        <f t="shared" si="227"/>
        <v>2.683219177751119</v>
      </c>
      <c r="EC388" s="675">
        <f t="shared" si="228"/>
        <v>14.886630426588821</v>
      </c>
      <c r="ED388" s="668">
        <f t="shared" si="225"/>
        <v>20565.427600000003</v>
      </c>
      <c r="EE388" s="60">
        <f t="shared" si="239"/>
        <v>0.2716712661938327</v>
      </c>
      <c r="EF388" s="676">
        <f t="shared" si="229"/>
        <v>1381.4696147268057</v>
      </c>
      <c r="EJ388" s="332">
        <v>2011</v>
      </c>
      <c r="EK388" s="46">
        <v>1.003</v>
      </c>
      <c r="EL388" s="272">
        <f t="shared" si="240"/>
        <v>2.315136165935904</v>
      </c>
      <c r="EM388" s="55">
        <v>16865.192199999998</v>
      </c>
      <c r="EN388" s="57">
        <f t="shared" si="241"/>
        <v>17.40812446892646</v>
      </c>
      <c r="EO388" s="55">
        <f t="shared" si="230"/>
        <v>968.8115586549488</v>
      </c>
      <c r="EP388" s="326">
        <v>29.39</v>
      </c>
      <c r="EQ388" s="57">
        <v>20.0119</v>
      </c>
      <c r="ER388" s="57"/>
      <c r="ES388" s="272"/>
      <c r="ET388" s="57">
        <v>63.6662</v>
      </c>
      <c r="EU388" s="333">
        <f t="shared" si="231"/>
        <v>60282.540400000005</v>
      </c>
    </row>
    <row r="389" ht="17.5" customHeight="1" spans="96:151" x14ac:dyDescent="0.25">
      <c r="CR389" s="332">
        <v>2012</v>
      </c>
      <c r="CS389" s="674">
        <v>1.0390000000000001</v>
      </c>
      <c r="CT389" s="675">
        <f t="shared" si="242"/>
        <v>1.9090031233728277</v>
      </c>
      <c r="CU389" s="668">
        <v>122259.8224</v>
      </c>
      <c r="CV389" s="676">
        <f t="shared" si="243"/>
        <v>5491.278219332227</v>
      </c>
      <c r="CW389" s="677">
        <v>1.097</v>
      </c>
      <c r="CX389" s="675">
        <f t="shared" si="244"/>
        <v>4.300395890392272</v>
      </c>
      <c r="CY389" s="668">
        <v>13786.8717</v>
      </c>
      <c r="CZ389" s="676">
        <f t="shared" si="245"/>
        <v>1590.7280509250056</v>
      </c>
      <c r="DA389" s="678"/>
      <c r="DB389" s="675">
        <v>1.9425040268983567</v>
      </c>
      <c r="DC389" s="668">
        <v>54095.9393</v>
      </c>
      <c r="DD389" s="676">
        <f t="shared" si="246"/>
        <v>2812.736506929492</v>
      </c>
      <c r="DE389" s="677">
        <v>1.068</v>
      </c>
      <c r="DF389" s="675">
        <f t="shared" si="247"/>
        <v>2.2951859656544467</v>
      </c>
      <c r="DG389" s="668">
        <v>12586.090400000001</v>
      </c>
      <c r="DH389" s="668">
        <f t="shared" si="232"/>
        <v>612.7549779946302</v>
      </c>
      <c r="DI389" s="679">
        <v>1.079</v>
      </c>
      <c r="DJ389" s="675">
        <f t="shared" si="248"/>
        <v>2.5846536253645356</v>
      </c>
      <c r="DK389" s="668">
        <v>34492.3617</v>
      </c>
      <c r="DL389" s="676">
        <f t="shared" si="233"/>
        <v>1860.4168792888279</v>
      </c>
      <c r="DM389" s="679">
        <v>1.026</v>
      </c>
      <c r="DN389" s="674">
        <v>1.2761035803542125</v>
      </c>
      <c r="DO389" s="668">
        <v>12155.9717</v>
      </c>
      <c r="DP389" s="670">
        <f t="shared" si="234"/>
        <v>347.74013980189346</v>
      </c>
      <c r="DQ389" s="679">
        <v>0.99</v>
      </c>
      <c r="DR389" s="680">
        <f t="shared" si="235"/>
        <v>0.643674707916749</v>
      </c>
      <c r="DS389" s="668">
        <v>247.44670000000002</v>
      </c>
      <c r="DT389" s="668">
        <f t="shared" si="236"/>
        <v>15.640844830081457</v>
      </c>
      <c r="DU389" s="681">
        <v>0</v>
      </c>
      <c r="DV389" s="677">
        <v>1.0365590157306384</v>
      </c>
      <c r="DW389" s="60">
        <f t="shared" si="249"/>
        <v>1.8750455190419226</v>
      </c>
      <c r="DX389" s="675">
        <f t="shared" si="237"/>
        <v>25.448132013167307</v>
      </c>
      <c r="DY389" s="668">
        <v>68163.8831</v>
      </c>
      <c r="DZ389" s="668">
        <f t="shared" si="226"/>
        <v>2678.5417124027344</v>
      </c>
      <c r="EA389" s="677">
        <f t="shared" si="238"/>
        <v>1.0370962242956285</v>
      </c>
      <c r="EB389" s="675">
        <f t="shared" si="227"/>
        <v>2.7827564782033063</v>
      </c>
      <c r="EC389" s="675">
        <f t="shared" si="228"/>
        <v>15.682710215951944</v>
      </c>
      <c r="ED389" s="668">
        <f t="shared" si="225"/>
        <v>22468.884300000005</v>
      </c>
      <c r="EE389" s="60">
        <f t="shared" si="239"/>
        <v>0.2711734787480621</v>
      </c>
      <c r="EF389" s="676">
        <f t="shared" si="229"/>
        <v>1432.7169214123069</v>
      </c>
      <c r="EJ389" s="332">
        <v>2012</v>
      </c>
      <c r="EK389" s="46">
        <v>1.014</v>
      </c>
      <c r="EL389" s="272">
        <f t="shared" si="240"/>
        <v>2.3475480722590065</v>
      </c>
      <c r="EM389" s="55">
        <v>18324.7723</v>
      </c>
      <c r="EN389" s="57">
        <f t="shared" si="241"/>
        <v>18.653542469425737</v>
      </c>
      <c r="EO389" s="55">
        <f t="shared" si="230"/>
        <v>982.3749204761181</v>
      </c>
      <c r="EP389" s="326">
        <v>31.08</v>
      </c>
      <c r="EQ389" s="57">
        <v>24.2048</v>
      </c>
      <c r="ER389" s="57"/>
      <c r="ES389" s="57"/>
      <c r="ET389" s="57">
        <v>64.8144</v>
      </c>
      <c r="EU389" s="333">
        <f t="shared" si="231"/>
        <v>68163.8831</v>
      </c>
    </row>
    <row r="390" ht="17.5" customHeight="1" spans="96:151" x14ac:dyDescent="0.25">
      <c r="CR390" s="332">
        <v>2013</v>
      </c>
      <c r="CS390" s="674">
        <v>1.021</v>
      </c>
      <c r="CT390" s="675">
        <f t="shared" si="242"/>
        <v>1.949092188963657</v>
      </c>
      <c r="CU390" s="668">
        <v>132429.9303</v>
      </c>
      <c r="CV390" s="676">
        <f t="shared" si="243"/>
        <v>5606.595061938204</v>
      </c>
      <c r="CW390" s="677">
        <v>1.035</v>
      </c>
      <c r="CX390" s="675">
        <f t="shared" si="244"/>
        <v>4.450909746556001</v>
      </c>
      <c r="CY390" s="668">
        <v>14919.6208</v>
      </c>
      <c r="CZ390" s="676">
        <f t="shared" si="245"/>
        <v>1646.4035327073807</v>
      </c>
      <c r="DA390" s="678"/>
      <c r="DB390" s="675">
        <v>1.9891170112403125</v>
      </c>
      <c r="DC390" s="668">
        <v>59296.035200000006</v>
      </c>
      <c r="DD390" s="676">
        <f t="shared" si="246"/>
        <v>2880.231884514319</v>
      </c>
      <c r="DE390" s="677">
        <v>1.008</v>
      </c>
      <c r="DF390" s="675">
        <f t="shared" si="247"/>
        <v>2.313547453379682</v>
      </c>
      <c r="DG390" s="668">
        <v>13450.2382</v>
      </c>
      <c r="DH390" s="668">
        <f t="shared" si="232"/>
        <v>617.6570178185872</v>
      </c>
      <c r="DI390" s="679">
        <v>1.052</v>
      </c>
      <c r="DJ390" s="675">
        <f t="shared" si="248"/>
        <v>2.7190556138834916</v>
      </c>
      <c r="DK390" s="668">
        <v>38465.140799999994</v>
      </c>
      <c r="DL390" s="676">
        <f t="shared" si="233"/>
        <v>1957.158557011847</v>
      </c>
      <c r="DM390" s="679">
        <v>1.0090000000000001</v>
      </c>
      <c r="DN390" s="674">
        <v>1.2875885125774005</v>
      </c>
      <c r="DO390" s="668">
        <v>13551.9461</v>
      </c>
      <c r="DP390" s="670">
        <f t="shared" si="234"/>
        <v>350.86980106011055</v>
      </c>
      <c r="DQ390" s="679">
        <v>0.988</v>
      </c>
      <c r="DR390" s="680">
        <f t="shared" si="235"/>
        <v>0.635950611421748</v>
      </c>
      <c r="DS390" s="668">
        <v>257.1967</v>
      </c>
      <c r="DT390" s="668">
        <f t="shared" si="236"/>
        <v>15.453154692120481</v>
      </c>
      <c r="DU390" s="681">
        <v>0</v>
      </c>
      <c r="DV390" s="677">
        <v>1.0178535450091057</v>
      </c>
      <c r="DW390" s="60">
        <f t="shared" si="249"/>
        <v>1.9085217286102596</v>
      </c>
      <c r="DX390" s="675">
        <f t="shared" si="237"/>
        <v>26.824707619879</v>
      </c>
      <c r="DY390" s="668">
        <v>73133.89509999998</v>
      </c>
      <c r="DZ390" s="668">
        <f t="shared" si="226"/>
        <v>2726.363177423884</v>
      </c>
      <c r="EA390" s="677">
        <f t="shared" si="238"/>
        <v>0.999240085848477</v>
      </c>
      <c r="EB390" s="675">
        <f t="shared" si="227"/>
        <v>2.7806418221752773</v>
      </c>
      <c r="EC390" s="675">
        <f t="shared" si="228"/>
        <v>15.596922733834738</v>
      </c>
      <c r="ED390" s="668">
        <f t="shared" si="225"/>
        <v>22328.99409999999</v>
      </c>
      <c r="EE390" s="60">
        <f t="shared" si="239"/>
        <v>0.2653941333830007</v>
      </c>
      <c r="EF390" s="676">
        <f t="shared" si="229"/>
        <v>1431.6281795485993</v>
      </c>
      <c r="EJ390" s="332">
        <v>2013</v>
      </c>
      <c r="EK390" s="46">
        <v>1.046</v>
      </c>
      <c r="EL390" s="272">
        <f t="shared" si="240"/>
        <v>2.455535283582921</v>
      </c>
      <c r="EM390" s="55">
        <v>18863.370199999998</v>
      </c>
      <c r="EN390" s="57">
        <f t="shared" si="241"/>
        <v>18.357364736075578</v>
      </c>
      <c r="EO390" s="55">
        <f t="shared" si="230"/>
        <v>1027.5641668180197</v>
      </c>
      <c r="EP390" s="326">
        <v>31.85</v>
      </c>
      <c r="EQ390" s="57">
        <v>27.1646</v>
      </c>
      <c r="ER390" s="57"/>
      <c r="ES390" s="57"/>
      <c r="ET390" s="57">
        <v>64.169</v>
      </c>
      <c r="EU390" s="333">
        <f t="shared" si="231"/>
        <v>73133.89509999998</v>
      </c>
    </row>
    <row r="391" ht="17.5" customHeight="1" spans="96:151" x14ac:dyDescent="0.25">
      <c r="CR391" s="332">
        <v>2014</v>
      </c>
      <c r="CS391" s="674">
        <v>1.008</v>
      </c>
      <c r="CT391" s="675">
        <f t="shared" si="242"/>
        <v>1.9646849264753663</v>
      </c>
      <c r="CU391" s="668">
        <v>143137.04599999997</v>
      </c>
      <c r="CV391" s="676">
        <f t="shared" si="243"/>
        <v>5651.44782243371</v>
      </c>
      <c r="CW391" s="677">
        <v>0.927</v>
      </c>
      <c r="CX391" s="675">
        <f t="shared" si="244"/>
        <v>4.125993335057413</v>
      </c>
      <c r="CY391" s="668">
        <v>16351.5355</v>
      </c>
      <c r="CZ391" s="676">
        <f t="shared" si="245"/>
        <v>1526.216074819742</v>
      </c>
      <c r="DA391" s="678"/>
      <c r="DB391" s="675">
        <v>2.0061860049662994</v>
      </c>
      <c r="DC391" s="668">
        <v>64078.5</v>
      </c>
      <c r="DD391" s="676">
        <f t="shared" si="246"/>
        <v>2904.947705498378</v>
      </c>
      <c r="DE391" s="677">
        <v>0.985</v>
      </c>
      <c r="DF391" s="675">
        <f t="shared" si="247"/>
        <v>2.278844241578987</v>
      </c>
      <c r="DG391" s="668">
        <v>13902.6453</v>
      </c>
      <c r="DH391" s="668">
        <f t="shared" si="232"/>
        <v>608.3921625513084</v>
      </c>
      <c r="DI391" s="679">
        <v>1.02</v>
      </c>
      <c r="DJ391" s="675">
        <f t="shared" si="248"/>
        <v>2.7734367261611617</v>
      </c>
      <c r="DK391" s="668">
        <v>41954.83</v>
      </c>
      <c r="DL391" s="676">
        <f t="shared" si="233"/>
        <v>1996.301728152084</v>
      </c>
      <c r="DM391" s="679">
        <v>0.9790000000000001</v>
      </c>
      <c r="DN391" s="674">
        <v>1.2605491538132751</v>
      </c>
      <c r="DO391" s="668">
        <v>14173.19</v>
      </c>
      <c r="DP391" s="670">
        <f t="shared" si="234"/>
        <v>343.5015352378482</v>
      </c>
      <c r="DQ391" s="677">
        <v>1</v>
      </c>
      <c r="DR391" s="680">
        <f t="shared" si="235"/>
        <v>0.635950611421748</v>
      </c>
      <c r="DS391" s="668">
        <v>290.191</v>
      </c>
      <c r="DT391" s="668">
        <f t="shared" si="236"/>
        <v>15.453154692120481</v>
      </c>
      <c r="DU391" s="681">
        <v>-317.8</v>
      </c>
      <c r="DV391" s="677">
        <v>1.0073860077330101</v>
      </c>
      <c r="DW391" s="60">
        <f t="shared" si="249"/>
        <v>1.9226180848563927</v>
      </c>
      <c r="DX391" s="675">
        <f t="shared" si="237"/>
        <v>28.784997864196892</v>
      </c>
      <c r="DY391" s="668">
        <v>79058</v>
      </c>
      <c r="DZ391" s="668">
        <f t="shared" si="226"/>
        <v>2746.5001169353304</v>
      </c>
      <c r="EA391" s="677">
        <f t="shared" si="238"/>
        <v>0.914390782342988</v>
      </c>
      <c r="EB391" s="675">
        <f t="shared" si="227"/>
        <v>2.5425932511944835</v>
      </c>
      <c r="EC391" s="675">
        <f t="shared" si="228"/>
        <v>19.408072573294923</v>
      </c>
      <c r="ED391" s="668">
        <f t="shared" si="225"/>
        <v>25406.47919999999</v>
      </c>
      <c r="EE391" s="60">
        <f t="shared" si="239"/>
        <v>0.2407479655290886</v>
      </c>
      <c r="EF391" s="676">
        <f t="shared" si="229"/>
        <v>1309.0676111217113</v>
      </c>
      <c r="EJ391" s="332">
        <v>2014</v>
      </c>
      <c r="EK391" s="46">
        <v>1.005</v>
      </c>
      <c r="EL391" s="272">
        <f t="shared" si="240"/>
        <v>2.467812960000835</v>
      </c>
      <c r="EM391" s="55">
        <v>21425.9346</v>
      </c>
      <c r="EN391" s="57">
        <f t="shared" si="241"/>
        <v>20.747451690988555</v>
      </c>
      <c r="EO391" s="55">
        <f t="shared" si="230"/>
        <v>1032.7019876521094</v>
      </c>
      <c r="EP391" s="326">
        <v>32.73</v>
      </c>
      <c r="EQ391" s="57">
        <v>31.1556</v>
      </c>
      <c r="ER391" s="57"/>
      <c r="ES391" s="57"/>
      <c r="ET391" s="57">
        <v>60.5214</v>
      </c>
      <c r="EU391" s="333">
        <f t="shared" si="231"/>
        <v>79058</v>
      </c>
    </row>
    <row r="392" ht="17.5" customHeight="1" spans="96:151" x14ac:dyDescent="0.25">
      <c r="CR392" s="332">
        <v>2015</v>
      </c>
      <c r="CS392" s="674">
        <v>0.987</v>
      </c>
      <c r="CT392" s="675">
        <f t="shared" si="242"/>
        <v>1.9391440224311864</v>
      </c>
      <c r="CU392" s="668">
        <v>154422.9596</v>
      </c>
      <c r="CV392" s="676">
        <f t="shared" si="243"/>
        <v>5577.979000742072</v>
      </c>
      <c r="CW392" s="677">
        <v>0.749</v>
      </c>
      <c r="CX392" s="675">
        <f t="shared" si="244"/>
        <v>3.0903690079580026</v>
      </c>
      <c r="CY392" s="668">
        <v>17153.42</v>
      </c>
      <c r="CZ392" s="676">
        <f t="shared" si="245"/>
        <v>1143.1358400399868</v>
      </c>
      <c r="DA392" s="678"/>
      <c r="DB392" s="675">
        <v>1.999073192021805</v>
      </c>
      <c r="DC392" s="668">
        <v>71328.7</v>
      </c>
      <c r="DD392" s="676">
        <f t="shared" si="246"/>
        <v>2894.6483864962524</v>
      </c>
      <c r="DE392" s="677">
        <v>0.899</v>
      </c>
      <c r="DF392" s="675">
        <f t="shared" si="247"/>
        <v>2.0486809731795095</v>
      </c>
      <c r="DG392" s="668">
        <v>13897.2</v>
      </c>
      <c r="DH392" s="668">
        <f t="shared" si="232"/>
        <v>546.9445541336263</v>
      </c>
      <c r="DI392" s="679">
        <v>0.906</v>
      </c>
      <c r="DJ392" s="675">
        <f t="shared" si="248"/>
        <v>2.5127336739020127</v>
      </c>
      <c r="DK392" s="668">
        <v>43242.32</v>
      </c>
      <c r="DL392" s="676">
        <f t="shared" si="233"/>
        <v>1808.6493657057883</v>
      </c>
      <c r="DM392" s="679">
        <v>0.964</v>
      </c>
      <c r="DN392" s="674">
        <v>1.2151693842759972</v>
      </c>
      <c r="DO392" s="668">
        <v>14684.12</v>
      </c>
      <c r="DP392" s="670">
        <f t="shared" si="234"/>
        <v>331.13547996928565</v>
      </c>
      <c r="DQ392" s="677">
        <v>0.971</v>
      </c>
      <c r="DR392" s="680">
        <f t="shared" si="235"/>
        <v>0.6175080436905173</v>
      </c>
      <c r="DS392" s="668">
        <v>314.087</v>
      </c>
      <c r="DT392" s="668">
        <f t="shared" si="236"/>
        <v>15.005013206048986</v>
      </c>
      <c r="DU392" s="681">
        <v>-450.2</v>
      </c>
      <c r="DV392" s="677">
        <v>0.977</v>
      </c>
      <c r="DW392" s="60">
        <f t="shared" si="249"/>
        <v>1.8783978689046956</v>
      </c>
      <c r="DX392" s="675">
        <f t="shared" si="237"/>
        <v>30.966739453891172</v>
      </c>
      <c r="DY392" s="668">
        <v>83094</v>
      </c>
      <c r="DZ392" s="668">
        <f t="shared" si="226"/>
        <v>2683.3306142458177</v>
      </c>
      <c r="EA392" s="677">
        <f t="shared" si="238"/>
        <v>0.8591856002817891</v>
      </c>
      <c r="EB392" s="675">
        <f t="shared" si="227"/>
        <v>2.1845595087999583</v>
      </c>
      <c r="EC392" s="675">
        <f t="shared" si="228"/>
        <v>25.392619710313024</v>
      </c>
      <c r="ED392" s="668">
        <f t="shared" si="225"/>
        <v>28559.893</v>
      </c>
      <c r="EE392" s="60">
        <f t="shared" si="239"/>
        <v>0.20957161629151927</v>
      </c>
      <c r="EF392" s="676">
        <f t="shared" si="229"/>
        <v>1124.7320412710553</v>
      </c>
      <c r="EJ392" s="332">
        <v>2015</v>
      </c>
      <c r="EK392" s="46">
        <v>1.037</v>
      </c>
      <c r="EL392" s="272">
        <f t="shared" si="240"/>
        <v>2.559122039520866</v>
      </c>
      <c r="EM392" s="55">
        <v>23854.05</v>
      </c>
      <c r="EN392" s="57">
        <f t="shared" si="241"/>
        <v>22.2745200953556</v>
      </c>
      <c r="EO392" s="55">
        <f t="shared" si="230"/>
        <v>1070.9119611952376</v>
      </c>
      <c r="EP392" s="326">
        <v>56.26</v>
      </c>
      <c r="EQ392" s="57">
        <v>31.6157</v>
      </c>
      <c r="ER392" s="57"/>
      <c r="ES392" s="57"/>
      <c r="ET392" s="57">
        <v>54.6388</v>
      </c>
      <c r="EU392" s="333">
        <f t="shared" si="231"/>
        <v>83094</v>
      </c>
    </row>
    <row r="393" ht="17.5" customHeight="1" spans="96:151" x14ac:dyDescent="0.25">
      <c r="CR393" s="332">
        <v>2016</v>
      </c>
      <c r="CS393" s="674">
        <v>1.012</v>
      </c>
      <c r="CT393" s="675">
        <f t="shared" si="242"/>
        <v>1.9624137507003607</v>
      </c>
      <c r="CU393" s="668">
        <v>162395.42</v>
      </c>
      <c r="CV393" s="676">
        <f t="shared" si="243"/>
        <v>5644.914748750976</v>
      </c>
      <c r="CW393" s="677">
        <v>0.964</v>
      </c>
      <c r="CX393" s="675">
        <f t="shared" si="244"/>
        <v>2.9791157236715144</v>
      </c>
      <c r="CY393" s="668">
        <v>17689.044</v>
      </c>
      <c r="CZ393" s="676">
        <f t="shared" si="245"/>
        <v>1101.9829497985472</v>
      </c>
      <c r="DA393" s="678"/>
      <c r="DB393" s="675">
        <v>2.041593420528373</v>
      </c>
      <c r="DC393" s="668">
        <v>76381.24</v>
      </c>
      <c r="DD393" s="676">
        <f t="shared" si="246"/>
        <v>2956.2174732766657</v>
      </c>
      <c r="DE393" s="677">
        <v>0.998</v>
      </c>
      <c r="DF393" s="675">
        <f t="shared" si="247"/>
        <v>2.0445836112331506</v>
      </c>
      <c r="DG393" s="668">
        <v>14748.8</v>
      </c>
      <c r="DH393" s="668">
        <f t="shared" si="232"/>
        <v>545.8506650253591</v>
      </c>
      <c r="DI393" s="679">
        <v>0.981</v>
      </c>
      <c r="DJ393" s="675">
        <f t="shared" si="248"/>
        <v>2.4649917340978744</v>
      </c>
      <c r="DK393" s="668">
        <v>45317.05</v>
      </c>
      <c r="DL393" s="676">
        <f t="shared" si="233"/>
        <v>1774.2850277573784</v>
      </c>
      <c r="DM393" s="679">
        <v>1.015</v>
      </c>
      <c r="DN393" s="674">
        <v>1.233396925040137</v>
      </c>
      <c r="DO393" s="668">
        <v>15728.49</v>
      </c>
      <c r="DP393" s="670">
        <f t="shared" si="234"/>
        <v>336.10251216882494</v>
      </c>
      <c r="DQ393" s="679">
        <v>1.01</v>
      </c>
      <c r="DR393" s="680">
        <f t="shared" si="235"/>
        <v>0.6236831241274224</v>
      </c>
      <c r="DS393" s="668">
        <v>344.229</v>
      </c>
      <c r="DT393" s="668">
        <f t="shared" si="236"/>
        <v>15.155063338109475</v>
      </c>
      <c r="DU393" s="681">
        <v>-67.02</v>
      </c>
      <c r="DV393" s="677">
        <v>1.002</v>
      </c>
      <c r="DW393" s="60">
        <f t="shared" si="249"/>
        <v>1.882154664642505</v>
      </c>
      <c r="DX393" s="675">
        <f t="shared" si="237"/>
        <v>31.99095739955566</v>
      </c>
      <c r="DY393" s="668">
        <v>86014</v>
      </c>
      <c r="DZ393" s="668">
        <f t="shared" si="226"/>
        <v>2688.697275474309</v>
      </c>
      <c r="EA393" s="677">
        <f t="shared" si="238"/>
        <v>0.9951587719669498</v>
      </c>
      <c r="EB393" s="675">
        <f t="shared" si="227"/>
        <v>2.1739835580660896</v>
      </c>
      <c r="EC393" s="675">
        <f t="shared" si="228"/>
        <v>24.686694352693262</v>
      </c>
      <c r="ED393" s="668">
        <f t="shared" si="225"/>
        <v>27631.495</v>
      </c>
      <c r="EE393" s="60">
        <f t="shared" si="239"/>
        <v>0.2065780810326533</v>
      </c>
      <c r="EF393" s="676">
        <f t="shared" si="229"/>
        <v>1119.2869569831842</v>
      </c>
      <c r="EJ393" s="332">
        <v>2016</v>
      </c>
      <c r="EK393" s="46">
        <v>1.032</v>
      </c>
      <c r="EL393" s="272">
        <f t="shared" si="240"/>
        <v>2.641013944785534</v>
      </c>
      <c r="EM393" s="55">
        <v>22137.648</v>
      </c>
      <c r="EN393" s="57">
        <f t="shared" si="241"/>
        <v>20.030786917707065</v>
      </c>
      <c r="EO393" s="55">
        <f t="shared" si="230"/>
        <v>1105.1811439534852</v>
      </c>
      <c r="EP393" s="326">
        <v>72.88</v>
      </c>
      <c r="EQ393" s="57">
        <v>35.1797</v>
      </c>
      <c r="ER393" s="272"/>
      <c r="ES393" s="57"/>
      <c r="ET393" s="57">
        <v>61.632400000000004</v>
      </c>
      <c r="EU393" s="333">
        <f t="shared" si="231"/>
        <v>86014</v>
      </c>
    </row>
    <row r="394" ht="17.5" customHeight="1" spans="96:151" x14ac:dyDescent="0.25">
      <c r="CR394" s="332">
        <v>2017</v>
      </c>
      <c r="CS394" s="674">
        <v>1.025</v>
      </c>
      <c r="CT394" s="675">
        <f t="shared" si="242"/>
        <v>2.0114740944678697</v>
      </c>
      <c r="CU394" s="682">
        <v>175275.06</v>
      </c>
      <c r="CV394" s="676">
        <f t="shared" si="243"/>
        <v>5786.03761746975</v>
      </c>
      <c r="CW394" s="679">
        <v>1.174</v>
      </c>
      <c r="CX394" s="675">
        <f t="shared" si="244"/>
        <v>3.4974818595903576</v>
      </c>
      <c r="CY394" s="668">
        <v>19072.95</v>
      </c>
      <c r="CZ394" s="676">
        <f t="shared" si="245"/>
        <v>1293.7279830634943</v>
      </c>
      <c r="DA394" s="678"/>
      <c r="DB394" s="675">
        <v>2.1056311450734793</v>
      </c>
      <c r="DC394" s="668">
        <v>83173.7</v>
      </c>
      <c r="DD394" s="676">
        <f t="shared" si="246"/>
        <v>3048.9437910369024</v>
      </c>
      <c r="DE394" s="677">
        <v>1.048</v>
      </c>
      <c r="DF394" s="675">
        <f t="shared" si="247"/>
        <v>2.142723624572342</v>
      </c>
      <c r="DG394" s="668">
        <v>16027.3</v>
      </c>
      <c r="DH394" s="668">
        <f t="shared" si="232"/>
        <v>572.0514969465764</v>
      </c>
      <c r="DI394" s="679">
        <v>1.033</v>
      </c>
      <c r="DJ394" s="675">
        <f t="shared" si="248"/>
        <v>2.546336461323104</v>
      </c>
      <c r="DK394" s="668">
        <v>48135.66</v>
      </c>
      <c r="DL394" s="676">
        <f t="shared" si="233"/>
        <v>1832.8364336733716</v>
      </c>
      <c r="DM394" s="679">
        <v>1.025</v>
      </c>
      <c r="DN394" s="674">
        <v>1.2642318481661403</v>
      </c>
      <c r="DO394" s="668">
        <v>16649.19</v>
      </c>
      <c r="DP394" s="670">
        <f t="shared" si="234"/>
        <v>344.5050749730455</v>
      </c>
      <c r="DQ394" s="679">
        <v>1.005</v>
      </c>
      <c r="DR394" s="680">
        <f t="shared" si="235"/>
        <v>0.6268015397480595</v>
      </c>
      <c r="DS394" s="668">
        <v>380.678</v>
      </c>
      <c r="DT394" s="668">
        <f t="shared" si="236"/>
        <v>15.230838654800023</v>
      </c>
      <c r="DU394" s="681">
        <v>-174.6</v>
      </c>
      <c r="DV394" s="679">
        <v>1.018</v>
      </c>
      <c r="DW394" s="60">
        <f t="shared" si="249"/>
        <v>1.91603344860607</v>
      </c>
      <c r="DX394" s="675">
        <f t="shared" si="237"/>
        <v>33.64919357552015</v>
      </c>
      <c r="DY394" s="668">
        <v>92101</v>
      </c>
      <c r="DZ394" s="668">
        <f t="shared" si="226"/>
        <v>2737.0938264328465</v>
      </c>
      <c r="EA394" s="677">
        <f t="shared" si="238"/>
        <v>1.1312541054363152</v>
      </c>
      <c r="EB394" s="675">
        <f t="shared" si="227"/>
        <v>2.459327825213312</v>
      </c>
      <c r="EC394" s="675">
        <f t="shared" si="228"/>
        <v>23.815961506525245</v>
      </c>
      <c r="ED394" s="668">
        <f t="shared" si="225"/>
        <v>30155.721999999994</v>
      </c>
      <c r="EE394" s="60">
        <f t="shared" si="239"/>
        <v>0.22697099503222676</v>
      </c>
      <c r="EF394" s="676">
        <f t="shared" si="229"/>
        <v>1266.1979652485475</v>
      </c>
      <c r="EJ394" s="332">
        <v>2017</v>
      </c>
      <c r="EK394" s="46">
        <v>1.05</v>
      </c>
      <c r="EL394" s="272">
        <f t="shared" si="240"/>
        <v>2.773064642024811</v>
      </c>
      <c r="EM394" s="272">
        <v>23994.3</v>
      </c>
      <c r="EN394" s="57">
        <f t="shared" si="241"/>
        <v>20.67689483369983</v>
      </c>
      <c r="EO394" s="55">
        <f t="shared" si="230"/>
        <v>1160.4402011511595</v>
      </c>
      <c r="EP394" s="326">
        <v>60.66</v>
      </c>
      <c r="EQ394" s="57">
        <v>38.418</v>
      </c>
      <c r="ER394" s="272"/>
      <c r="ES394" s="272"/>
      <c r="ET394" s="57">
        <v>58.4928</v>
      </c>
      <c r="EU394" s="333">
        <f t="shared" si="231"/>
        <v>92101</v>
      </c>
    </row>
    <row r="395" ht="17.5" customHeight="1" spans="96:151" x14ac:dyDescent="0.25">
      <c r="CR395" s="332">
        <v>2018</v>
      </c>
      <c r="CS395" s="674">
        <v>1.025</v>
      </c>
      <c r="CT395" s="675">
        <f t="shared" si="242"/>
        <v>2.0617609468295663</v>
      </c>
      <c r="CU395" s="682">
        <v>196610.47000000003</v>
      </c>
      <c r="CV395" s="676">
        <f t="shared" si="243"/>
        <v>5930.688557906494</v>
      </c>
      <c r="CW395" s="679">
        <v>1.027</v>
      </c>
      <c r="CX395" s="675">
        <f t="shared" si="244"/>
        <v>3.591913869799297</v>
      </c>
      <c r="CY395" s="668">
        <v>21574.3</v>
      </c>
      <c r="CZ395" s="676">
        <f t="shared" si="245"/>
        <v>1328.6586386062086</v>
      </c>
      <c r="DA395" s="678"/>
      <c r="DB395" s="675">
        <v>2.152601130399828</v>
      </c>
      <c r="DC395" s="668">
        <v>92734.7</v>
      </c>
      <c r="DD395" s="676">
        <f t="shared" si="246"/>
        <v>3116.9561043335257</v>
      </c>
      <c r="DE395" s="677">
        <v>1.043</v>
      </c>
      <c r="DF395" s="675">
        <f t="shared" si="247"/>
        <v>2.2348607404289527</v>
      </c>
      <c r="DG395" s="668">
        <v>17595</v>
      </c>
      <c r="DH395" s="668">
        <f t="shared" si="232"/>
        <v>596.6497113152792</v>
      </c>
      <c r="DI395" s="679">
        <v>1.023</v>
      </c>
      <c r="DJ395" s="675">
        <f t="shared" si="248"/>
        <v>2.604902199933535</v>
      </c>
      <c r="DK395" s="668">
        <v>50851.05</v>
      </c>
      <c r="DL395" s="676">
        <f t="shared" si="233"/>
        <v>1874.991671647859</v>
      </c>
      <c r="DM395" s="679">
        <v>1.003</v>
      </c>
      <c r="DN395" s="674">
        <v>1.2680245437106386</v>
      </c>
      <c r="DO395" s="668">
        <v>18049.3</v>
      </c>
      <c r="DP395" s="670">
        <f t="shared" si="234"/>
        <v>345.5385901979646</v>
      </c>
      <c r="DQ395" s="679">
        <v>1.045</v>
      </c>
      <c r="DR395" s="680">
        <f t="shared" si="235"/>
        <v>0.6550076090367222</v>
      </c>
      <c r="DS395" s="668">
        <v>432.626</v>
      </c>
      <c r="DT395" s="668">
        <f t="shared" si="236"/>
        <v>15.916226394266022</v>
      </c>
      <c r="DU395" s="681">
        <v>573.33</v>
      </c>
      <c r="DV395" s="679">
        <v>1.028</v>
      </c>
      <c r="DW395" s="60">
        <f t="shared" si="249"/>
        <v>1.96968238516704</v>
      </c>
      <c r="DX395" s="675">
        <f t="shared" si="237"/>
        <v>36.91751142440532</v>
      </c>
      <c r="DY395" s="668">
        <v>103876</v>
      </c>
      <c r="DZ395" s="668">
        <f t="shared" si="226"/>
        <v>2813.7324535729667</v>
      </c>
      <c r="EA395" s="677">
        <f t="shared" si="238"/>
        <v>1.034036484466155</v>
      </c>
      <c r="EB395" s="675">
        <f t="shared" si="227"/>
        <v>2.5430346985333676</v>
      </c>
      <c r="EC395" s="675">
        <f t="shared" si="228"/>
        <v>28.98429850585516</v>
      </c>
      <c r="ED395" s="668">
        <f t="shared" si="225"/>
        <v>37948.99399999999</v>
      </c>
      <c r="EE395" s="60">
        <f t="shared" si="239"/>
        <v>0.2265787550715769</v>
      </c>
      <c r="EF395" s="676">
        <f t="shared" si="229"/>
        <v>1309.2948926238066</v>
      </c>
      <c r="EJ395" s="332">
        <v>2018</v>
      </c>
      <c r="EK395" s="272">
        <v>1.055</v>
      </c>
      <c r="EL395" s="272">
        <f t="shared" si="240"/>
        <v>2.9255831973361754</v>
      </c>
      <c r="EM395" s="272">
        <v>31932.55</v>
      </c>
      <c r="EN395" s="57">
        <f t="shared" si="241"/>
        <v>26.083050100459737</v>
      </c>
      <c r="EO395" s="55">
        <f t="shared" si="230"/>
        <v>1224.2644122144734</v>
      </c>
      <c r="EP395" s="326">
        <v>57.6</v>
      </c>
      <c r="EQ395" s="57">
        <v>42.4422</v>
      </c>
      <c r="ER395" s="57"/>
      <c r="ES395" s="272"/>
      <c r="ET395" s="57">
        <v>63.354000000000006</v>
      </c>
      <c r="EU395" s="333">
        <f t="shared" si="231"/>
        <v>103876</v>
      </c>
    </row>
    <row r="396" ht="17.5" customHeight="1" spans="96:151" x14ac:dyDescent="0.25">
      <c r="CR396" s="332">
        <v>2019</v>
      </c>
      <c r="CS396" s="679"/>
      <c r="CT396" s="682"/>
      <c r="CU396" s="682"/>
      <c r="CV396" s="683"/>
      <c r="CW396" s="679"/>
      <c r="CX396" s="682"/>
      <c r="CY396" s="684"/>
      <c r="CZ396" s="680"/>
      <c r="DA396" s="678"/>
      <c r="DB396" s="682"/>
      <c r="DC396" s="682"/>
      <c r="DD396" s="683"/>
      <c r="DE396" s="678"/>
      <c r="DH396" s="675"/>
      <c r="DI396" s="678"/>
      <c r="DL396" s="685"/>
      <c r="DM396" s="678"/>
      <c r="DN396" s="677"/>
      <c r="DP396" s="679"/>
      <c r="DQ396" s="678"/>
      <c r="DR396" s="676"/>
      <c r="DT396" s="668"/>
      <c r="DU396" s="686"/>
      <c r="DV396" s="678"/>
      <c r="DW396" s="668"/>
      <c r="DX396" s="668"/>
      <c r="DY396" s="668"/>
      <c r="DZ396" s="668"/>
      <c r="EA396" s="679"/>
      <c r="EB396" s="668"/>
      <c r="EC396" s="675"/>
      <c r="ED396" s="684"/>
      <c r="EE396" s="684"/>
      <c r="EF396" s="680"/>
      <c r="EJ396" s="332">
        <v>2019</v>
      </c>
      <c r="EK396" s="272"/>
      <c r="EL396" s="272"/>
      <c r="EM396" s="272"/>
      <c r="EN396" s="272"/>
      <c r="EO396" s="272"/>
      <c r="EP396" s="272"/>
      <c r="EQ396" s="326"/>
      <c r="ER396" s="57"/>
      <c r="ES396" s="272"/>
      <c r="ET396" s="272"/>
      <c r="EU396" s="687"/>
    </row>
    <row r="397" ht="17.5" customHeight="1" spans="96:151" x14ac:dyDescent="0.25">
      <c r="CR397" s="332">
        <v>2020</v>
      </c>
      <c r="CS397" s="679"/>
      <c r="CT397" s="682"/>
      <c r="CU397" s="682"/>
      <c r="CV397" s="683"/>
      <c r="CW397" s="679"/>
      <c r="CX397" s="682"/>
      <c r="CY397" s="684"/>
      <c r="CZ397" s="683"/>
      <c r="DA397" s="678"/>
      <c r="DB397" s="682"/>
      <c r="DC397" s="682"/>
      <c r="DD397" s="683"/>
      <c r="DE397" s="668"/>
      <c r="DH397" s="675"/>
      <c r="DI397" s="678"/>
      <c r="DL397" s="685"/>
      <c r="DM397" s="678"/>
      <c r="DN397" s="677"/>
      <c r="DP397" s="679"/>
      <c r="DQ397" s="678"/>
      <c r="DR397" s="676"/>
      <c r="DT397" s="668"/>
      <c r="DU397" s="686"/>
      <c r="DV397" s="678"/>
      <c r="DW397" s="668"/>
      <c r="DX397" s="668"/>
      <c r="DY397" s="668"/>
      <c r="DZ397" s="668"/>
      <c r="EA397" s="679"/>
      <c r="EB397" s="668"/>
      <c r="EC397" s="675"/>
      <c r="ED397" s="684"/>
      <c r="EE397" s="684"/>
      <c r="EF397" s="683"/>
      <c r="EJ397" s="332">
        <v>2020</v>
      </c>
      <c r="EK397" s="272"/>
      <c r="EL397" s="272"/>
      <c r="EM397" s="272"/>
      <c r="EN397" s="272"/>
      <c r="EO397" s="272"/>
      <c r="EP397" s="272"/>
      <c r="EQ397" s="326"/>
      <c r="ER397" s="272"/>
      <c r="ES397" s="272"/>
      <c r="ET397" s="272"/>
      <c r="EU397" s="687"/>
    </row>
    <row r="398" ht="17.5" customHeight="1" spans="96:151" x14ac:dyDescent="0.25">
      <c r="CR398" s="332">
        <v>2021</v>
      </c>
      <c r="CS398" s="679"/>
      <c r="CT398" s="682"/>
      <c r="CU398" s="682"/>
      <c r="CV398" s="683"/>
      <c r="CW398" s="679"/>
      <c r="CX398" s="682"/>
      <c r="CY398" s="682"/>
      <c r="CZ398" s="683"/>
      <c r="DA398" s="678"/>
      <c r="DB398" s="682"/>
      <c r="DC398" s="682"/>
      <c r="DD398" s="683"/>
      <c r="DE398" s="678"/>
      <c r="DH398" s="675"/>
      <c r="DI398" s="678"/>
      <c r="DL398" s="685"/>
      <c r="DM398" s="678"/>
      <c r="DN398" s="677"/>
      <c r="DP398" s="679"/>
      <c r="DQ398" s="678"/>
      <c r="DR398" s="676"/>
      <c r="DT398" s="668"/>
      <c r="DU398" s="686"/>
      <c r="DV398" s="678"/>
      <c r="DW398" s="668"/>
      <c r="DX398" s="668"/>
      <c r="DY398" s="668"/>
      <c r="DZ398" s="668"/>
      <c r="EA398" s="679"/>
      <c r="EB398" s="668"/>
      <c r="EC398" s="675"/>
      <c r="ED398" s="682"/>
      <c r="EE398" s="682"/>
      <c r="EF398" s="683"/>
      <c r="EJ398" s="332">
        <v>2021</v>
      </c>
      <c r="EK398" s="272"/>
      <c r="EL398" s="272"/>
      <c r="EM398" s="272"/>
      <c r="EN398" s="272"/>
      <c r="EO398" s="272"/>
      <c r="EP398" s="272"/>
      <c r="EQ398" s="272"/>
      <c r="ER398" s="272"/>
      <c r="ES398" s="272"/>
      <c r="ET398" s="272"/>
      <c r="EU398" s="687"/>
    </row>
    <row r="399" ht="17.5" customHeight="1" spans="96:151" x14ac:dyDescent="0.25">
      <c r="CR399" s="332">
        <v>2022</v>
      </c>
      <c r="CS399" s="679"/>
      <c r="CT399" s="682"/>
      <c r="CU399" s="682"/>
      <c r="CV399" s="683"/>
      <c r="CW399" s="679"/>
      <c r="CX399" s="682"/>
      <c r="CY399" s="682"/>
      <c r="CZ399" s="683"/>
      <c r="DA399" s="678"/>
      <c r="DB399" s="682"/>
      <c r="DC399" s="682"/>
      <c r="DD399" s="683"/>
      <c r="DE399" s="678"/>
      <c r="DH399" s="675"/>
      <c r="DI399" s="678"/>
      <c r="DL399" s="685"/>
      <c r="DM399" s="678"/>
      <c r="DN399" s="677"/>
      <c r="DP399" s="679"/>
      <c r="DQ399" s="678"/>
      <c r="DR399" s="676"/>
      <c r="DT399" s="668"/>
      <c r="DU399" s="686"/>
      <c r="DV399" s="678"/>
      <c r="DW399" s="668"/>
      <c r="DX399" s="668"/>
      <c r="DY399" s="668"/>
      <c r="DZ399" s="668"/>
      <c r="EA399" s="679"/>
      <c r="EB399" s="668"/>
      <c r="EC399" s="675"/>
      <c r="ED399" s="682"/>
      <c r="EE399" s="682"/>
      <c r="EF399" s="683"/>
      <c r="EJ399" s="332">
        <v>2022</v>
      </c>
      <c r="EK399" s="272"/>
      <c r="EL399" s="272"/>
      <c r="EM399" s="272"/>
      <c r="EN399" s="272"/>
      <c r="EO399" s="272"/>
      <c r="EP399" s="272"/>
      <c r="EQ399" s="272"/>
      <c r="ER399" s="272"/>
      <c r="ES399" s="272"/>
      <c r="ET399" s="272"/>
      <c r="EU399" s="687"/>
    </row>
    <row r="400" ht="17.5" customHeight="1" spans="96:151" x14ac:dyDescent="0.25">
      <c r="CR400" s="332">
        <v>2023</v>
      </c>
      <c r="CS400" s="679"/>
      <c r="CT400" s="682"/>
      <c r="CU400" s="682"/>
      <c r="CV400" s="683"/>
      <c r="CW400" s="679"/>
      <c r="CX400" s="682"/>
      <c r="CY400" s="682"/>
      <c r="CZ400" s="683"/>
      <c r="DA400" s="678"/>
      <c r="DB400" s="682"/>
      <c r="DC400" s="682"/>
      <c r="DD400" s="683"/>
      <c r="DE400" s="678"/>
      <c r="DH400" s="675"/>
      <c r="DI400" s="678"/>
      <c r="DL400" s="685"/>
      <c r="DM400" s="678"/>
      <c r="DN400" s="677"/>
      <c r="DP400" s="679"/>
      <c r="DQ400" s="678"/>
      <c r="DR400" s="676"/>
      <c r="DT400" s="668"/>
      <c r="DU400" s="686"/>
      <c r="DV400" s="678"/>
      <c r="DW400" s="668"/>
      <c r="DX400" s="668"/>
      <c r="DY400" s="668"/>
      <c r="DZ400" s="668"/>
      <c r="EA400" s="679"/>
      <c r="EB400" s="668"/>
      <c r="EC400" s="675"/>
      <c r="ED400" s="682"/>
      <c r="EE400" s="682"/>
      <c r="EF400" s="683"/>
      <c r="EJ400" s="332">
        <v>2023</v>
      </c>
      <c r="EK400" s="272"/>
      <c r="EL400" s="272"/>
      <c r="EM400" s="272"/>
      <c r="EN400" s="272"/>
      <c r="EO400" s="272"/>
      <c r="EP400" s="272"/>
      <c r="EQ400" s="272"/>
      <c r="ER400" s="272"/>
      <c r="ES400" s="272"/>
      <c r="ET400" s="272"/>
      <c r="EU400" s="687"/>
    </row>
    <row r="401" ht="17.5" customHeight="1" spans="96:151" x14ac:dyDescent="0.25">
      <c r="CR401" s="332">
        <v>2024</v>
      </c>
      <c r="CS401" s="679"/>
      <c r="CT401" s="682"/>
      <c r="CU401" s="682"/>
      <c r="CV401" s="683"/>
      <c r="CW401" s="679"/>
      <c r="CX401" s="682"/>
      <c r="CY401" s="682"/>
      <c r="CZ401" s="683"/>
      <c r="DA401" s="678"/>
      <c r="DB401" s="682"/>
      <c r="DC401" s="682"/>
      <c r="DD401" s="683"/>
      <c r="DE401" s="678"/>
      <c r="DH401" s="675"/>
      <c r="DI401" s="678"/>
      <c r="DL401" s="685"/>
      <c r="DM401" s="678"/>
      <c r="DN401" s="677"/>
      <c r="DP401" s="679"/>
      <c r="DQ401" s="678"/>
      <c r="DR401" s="676"/>
      <c r="DT401" s="668"/>
      <c r="DU401" s="686"/>
      <c r="DV401" s="678"/>
      <c r="DW401" s="668"/>
      <c r="DX401" s="668"/>
      <c r="DY401" s="668"/>
      <c r="DZ401" s="668"/>
      <c r="EA401" s="679"/>
      <c r="EB401" s="668"/>
      <c r="EC401" s="675"/>
      <c r="ED401" s="682"/>
      <c r="EE401" s="682"/>
      <c r="EF401" s="683"/>
      <c r="EJ401" s="332">
        <v>2024</v>
      </c>
      <c r="EK401" s="272"/>
      <c r="EL401" s="272"/>
      <c r="EM401" s="272"/>
      <c r="EN401" s="272"/>
      <c r="EO401" s="272"/>
      <c r="EP401" s="272"/>
      <c r="EQ401" s="272"/>
      <c r="ER401" s="272"/>
      <c r="ES401" s="272"/>
      <c r="ET401" s="272"/>
      <c r="EU401" s="687"/>
    </row>
    <row r="402" ht="17.5" customHeight="1" spans="96:151" x14ac:dyDescent="0.25">
      <c r="CR402" s="332">
        <v>2025</v>
      </c>
      <c r="CS402" s="679"/>
      <c r="CT402" s="682"/>
      <c r="CU402" s="682"/>
      <c r="CV402" s="683"/>
      <c r="CW402" s="679"/>
      <c r="CX402" s="682"/>
      <c r="CY402" s="682"/>
      <c r="CZ402" s="683"/>
      <c r="DA402" s="678"/>
      <c r="DB402" s="682"/>
      <c r="DC402" s="682"/>
      <c r="DD402" s="683"/>
      <c r="DE402" s="678"/>
      <c r="DH402" s="675"/>
      <c r="DI402" s="678"/>
      <c r="DL402" s="685"/>
      <c r="DM402" s="678"/>
      <c r="DN402" s="677"/>
      <c r="DP402" s="679"/>
      <c r="DQ402" s="678"/>
      <c r="DR402" s="676"/>
      <c r="DT402" s="668"/>
      <c r="DU402" s="686"/>
      <c r="DV402" s="678"/>
      <c r="DW402" s="668"/>
      <c r="DX402" s="668"/>
      <c r="DY402" s="668"/>
      <c r="DZ402" s="668"/>
      <c r="EA402" s="679"/>
      <c r="EB402" s="668"/>
      <c r="EC402" s="675"/>
      <c r="ED402" s="682"/>
      <c r="EE402" s="682"/>
      <c r="EF402" s="683"/>
      <c r="EJ402" s="332">
        <v>2025</v>
      </c>
      <c r="EK402" s="272"/>
      <c r="EL402" s="272"/>
      <c r="EM402" s="272"/>
      <c r="EN402" s="272"/>
      <c r="EO402" s="272"/>
      <c r="EP402" s="272"/>
      <c r="EQ402" s="272"/>
      <c r="ER402" s="272"/>
      <c r="ES402" s="272"/>
      <c r="ET402" s="272"/>
      <c r="EU402" s="687"/>
    </row>
    <row r="403" ht="17.5" customHeight="1" spans="96:151" x14ac:dyDescent="0.25">
      <c r="CR403" s="332">
        <v>2026</v>
      </c>
      <c r="CS403" s="679"/>
      <c r="CT403" s="682"/>
      <c r="CU403" s="682"/>
      <c r="CV403" s="683"/>
      <c r="CW403" s="679"/>
      <c r="CX403" s="682"/>
      <c r="CY403" s="682"/>
      <c r="CZ403" s="683"/>
      <c r="DA403" s="678"/>
      <c r="DB403" s="682"/>
      <c r="DC403" s="682"/>
      <c r="DD403" s="683"/>
      <c r="DE403" s="678"/>
      <c r="DH403" s="675"/>
      <c r="DI403" s="678"/>
      <c r="DL403" s="685"/>
      <c r="DM403" s="678"/>
      <c r="DN403" s="677"/>
      <c r="DP403" s="679"/>
      <c r="DQ403" s="678"/>
      <c r="DR403" s="676"/>
      <c r="DT403" s="668"/>
      <c r="DU403" s="686"/>
      <c r="DV403" s="678"/>
      <c r="DW403" s="668"/>
      <c r="DX403" s="668"/>
      <c r="DY403" s="668"/>
      <c r="DZ403" s="668"/>
      <c r="EA403" s="679"/>
      <c r="EB403" s="668"/>
      <c r="EC403" s="675"/>
      <c r="ED403" s="682"/>
      <c r="EE403" s="682"/>
      <c r="EF403" s="683"/>
      <c r="EJ403" s="332">
        <v>2026</v>
      </c>
      <c r="EK403" s="272"/>
      <c r="EL403" s="272"/>
      <c r="EM403" s="272"/>
      <c r="EN403" s="272"/>
      <c r="EO403" s="272"/>
      <c r="EP403" s="272"/>
      <c r="EQ403" s="272"/>
      <c r="ER403" s="272"/>
      <c r="ES403" s="272"/>
      <c r="ET403" s="272"/>
      <c r="EU403" s="687"/>
    </row>
    <row r="404" ht="17.5" customHeight="1" spans="96:151" x14ac:dyDescent="0.25">
      <c r="CR404" s="332">
        <v>2027</v>
      </c>
      <c r="CS404" s="679"/>
      <c r="CT404" s="682"/>
      <c r="CU404" s="682"/>
      <c r="CV404" s="683"/>
      <c r="CW404" s="679"/>
      <c r="CX404" s="682"/>
      <c r="CY404" s="682"/>
      <c r="CZ404" s="683"/>
      <c r="DA404" s="678"/>
      <c r="DB404" s="682"/>
      <c r="DC404" s="682"/>
      <c r="DD404" s="683"/>
      <c r="DE404" s="678"/>
      <c r="DH404" s="675"/>
      <c r="DI404" s="678"/>
      <c r="DL404" s="685"/>
      <c r="DM404" s="678"/>
      <c r="DN404" s="677"/>
      <c r="DP404" s="679"/>
      <c r="DQ404" s="678"/>
      <c r="DR404" s="676"/>
      <c r="DT404" s="668"/>
      <c r="DU404" s="686"/>
      <c r="DV404" s="678"/>
      <c r="DW404" s="668"/>
      <c r="DX404" s="668"/>
      <c r="DY404" s="668"/>
      <c r="DZ404" s="668"/>
      <c r="EA404" s="679"/>
      <c r="EB404" s="668"/>
      <c r="EC404" s="675"/>
      <c r="ED404" s="682"/>
      <c r="EE404" s="682"/>
      <c r="EF404" s="683"/>
      <c r="EJ404" s="332">
        <v>2027</v>
      </c>
      <c r="EK404" s="272"/>
      <c r="EL404" s="272"/>
      <c r="EM404" s="272"/>
      <c r="EN404" s="272"/>
      <c r="EO404" s="272"/>
      <c r="EP404" s="272"/>
      <c r="EQ404" s="272"/>
      <c r="ER404" s="272"/>
      <c r="ES404" s="272"/>
      <c r="ET404" s="272"/>
      <c r="EU404" s="687"/>
    </row>
    <row r="405" ht="17.5" customHeight="1" spans="96:151" x14ac:dyDescent="0.25">
      <c r="CR405" s="332">
        <v>2028</v>
      </c>
      <c r="CS405" s="679"/>
      <c r="CT405" s="682"/>
      <c r="CU405" s="682"/>
      <c r="CV405" s="683"/>
      <c r="CW405" s="679"/>
      <c r="CX405" s="682"/>
      <c r="CY405" s="682"/>
      <c r="CZ405" s="683"/>
      <c r="DA405" s="678"/>
      <c r="DB405" s="682"/>
      <c r="DC405" s="682"/>
      <c r="DD405" s="683"/>
      <c r="DE405" s="678"/>
      <c r="DH405" s="675"/>
      <c r="DI405" s="678"/>
      <c r="DL405" s="685"/>
      <c r="DM405" s="678"/>
      <c r="DN405" s="677"/>
      <c r="DP405" s="679"/>
      <c r="DQ405" s="678"/>
      <c r="DR405" s="676"/>
      <c r="DT405" s="668"/>
      <c r="DU405" s="686"/>
      <c r="DV405" s="678"/>
      <c r="DW405" s="668"/>
      <c r="DX405" s="668"/>
      <c r="DY405" s="668"/>
      <c r="DZ405" s="668"/>
      <c r="EA405" s="679"/>
      <c r="EB405" s="668"/>
      <c r="EC405" s="675"/>
      <c r="ED405" s="682"/>
      <c r="EE405" s="682"/>
      <c r="EF405" s="683"/>
      <c r="EJ405" s="332">
        <v>2028</v>
      </c>
      <c r="EK405" s="272"/>
      <c r="EL405" s="272"/>
      <c r="EM405" s="272"/>
      <c r="EN405" s="272"/>
      <c r="EO405" s="272"/>
      <c r="EP405" s="272"/>
      <c r="EQ405" s="272"/>
      <c r="ER405" s="272"/>
      <c r="ES405" s="272"/>
      <c r="ET405" s="272"/>
      <c r="EU405" s="687"/>
    </row>
    <row r="406" ht="17.5" customHeight="1" spans="96:151" x14ac:dyDescent="0.25">
      <c r="CR406" s="332">
        <v>2029</v>
      </c>
      <c r="CS406" s="679"/>
      <c r="CT406" s="682"/>
      <c r="CU406" s="682"/>
      <c r="CV406" s="683"/>
      <c r="CW406" s="679"/>
      <c r="CX406" s="682"/>
      <c r="CY406" s="682"/>
      <c r="CZ406" s="683"/>
      <c r="DA406" s="678"/>
      <c r="DB406" s="682"/>
      <c r="DC406" s="682"/>
      <c r="DD406" s="683"/>
      <c r="DE406" s="678"/>
      <c r="DH406" s="685"/>
      <c r="DI406" s="678"/>
      <c r="DL406" s="685"/>
      <c r="DM406" s="678"/>
      <c r="DN406" s="677"/>
      <c r="DP406" s="679"/>
      <c r="DQ406" s="678"/>
      <c r="DR406" s="676"/>
      <c r="DT406" s="668"/>
      <c r="DU406" s="686"/>
      <c r="DV406" s="678"/>
      <c r="DW406" s="668"/>
      <c r="DX406" s="668"/>
      <c r="DY406" s="668"/>
      <c r="DZ406" s="668"/>
      <c r="EA406" s="679"/>
      <c r="EB406" s="668"/>
      <c r="EC406" s="675"/>
      <c r="ED406" s="682"/>
      <c r="EE406" s="682"/>
      <c r="EF406" s="683"/>
      <c r="EJ406" s="332">
        <v>2029</v>
      </c>
      <c r="EK406" s="272"/>
      <c r="EL406" s="272"/>
      <c r="EM406" s="272"/>
      <c r="EN406" s="272"/>
      <c r="EO406" s="272"/>
      <c r="EP406" s="272"/>
      <c r="EQ406" s="272"/>
      <c r="ER406" s="272"/>
      <c r="ES406" s="272"/>
      <c r="ET406" s="272"/>
      <c r="EU406" s="687"/>
    </row>
    <row r="407" ht="18" customHeight="1" spans="96:151" x14ac:dyDescent="0.25">
      <c r="CR407" s="383">
        <v>2030</v>
      </c>
      <c r="CS407" s="688"/>
      <c r="CT407" s="689"/>
      <c r="CU407" s="689"/>
      <c r="CV407" s="690"/>
      <c r="CW407" s="688"/>
      <c r="CX407" s="689"/>
      <c r="CY407" s="689"/>
      <c r="CZ407" s="690"/>
      <c r="DA407" s="691"/>
      <c r="DB407" s="689"/>
      <c r="DC407" s="689"/>
      <c r="DD407" s="690"/>
      <c r="DE407" s="691"/>
      <c r="DF407" s="692"/>
      <c r="DG407" s="692"/>
      <c r="DH407" s="693"/>
      <c r="DI407" s="691"/>
      <c r="DJ407" s="692"/>
      <c r="DK407" s="692"/>
      <c r="DL407" s="693"/>
      <c r="DM407" s="691"/>
      <c r="DN407" s="694"/>
      <c r="DO407" s="692"/>
      <c r="DP407" s="695"/>
      <c r="DQ407" s="691"/>
      <c r="DR407" s="693"/>
      <c r="DS407" s="692"/>
      <c r="DT407" s="693"/>
      <c r="DU407" s="696"/>
      <c r="DV407" s="691"/>
      <c r="DW407" s="692"/>
      <c r="DX407" s="692"/>
      <c r="DY407" s="692"/>
      <c r="DZ407" s="693"/>
      <c r="EA407" s="688"/>
      <c r="EB407" s="689"/>
      <c r="EC407" s="692"/>
      <c r="ED407" s="689"/>
      <c r="EE407" s="689"/>
      <c r="EF407" s="690"/>
      <c r="EJ407" s="383">
        <v>2030</v>
      </c>
      <c r="EK407" s="577"/>
      <c r="EL407" s="577"/>
      <c r="EM407" s="577"/>
      <c r="EN407" s="577"/>
      <c r="EO407" s="577"/>
      <c r="EP407" s="577"/>
      <c r="EQ407" s="577"/>
      <c r="ER407" s="577"/>
      <c r="ES407" s="577"/>
      <c r="ET407" s="577"/>
      <c r="EU407" s="697"/>
    </row>
    <row r="410" ht="16.25" customHeight="1" x14ac:dyDescent="0.25"/>
    <row r="411" ht="20.5" customHeight="1" spans="98:152" x14ac:dyDescent="0.25">
      <c r="CT411" s="698" t="s">
        <v>13</v>
      </c>
      <c r="CU411" s="531" t="s">
        <v>784</v>
      </c>
      <c r="CV411" s="699" t="s">
        <v>782</v>
      </c>
      <c r="CW411" s="466" t="s">
        <v>693</v>
      </c>
      <c r="CX411" s="700" t="s">
        <v>784</v>
      </c>
      <c r="DJ411" s="701" t="s">
        <v>784</v>
      </c>
      <c r="DL411" s="698" t="s">
        <v>13</v>
      </c>
      <c r="DM411" s="702" t="s">
        <v>785</v>
      </c>
      <c r="DN411" s="702" t="s">
        <v>785</v>
      </c>
      <c r="DO411" s="703" t="s">
        <v>738</v>
      </c>
      <c r="EB411" s="704" t="s">
        <v>786</v>
      </c>
      <c r="ED411" s="698" t="s">
        <v>13</v>
      </c>
      <c r="EE411" s="531" t="s">
        <v>787</v>
      </c>
      <c r="EF411" s="699" t="s">
        <v>782</v>
      </c>
      <c r="EG411" s="466" t="s">
        <v>693</v>
      </c>
      <c r="EH411" s="705" t="s">
        <v>787</v>
      </c>
      <c r="EV411" s="705" t="s">
        <v>787</v>
      </c>
    </row>
    <row r="412" ht="21" customHeight="1" spans="98:152" x14ac:dyDescent="0.25">
      <c r="CT412" s="305">
        <v>44337</v>
      </c>
      <c r="CU412" s="706" t="s">
        <v>55</v>
      </c>
      <c r="CV412" s="707" t="s">
        <v>56</v>
      </c>
      <c r="CW412" s="476" t="s">
        <v>56</v>
      </c>
      <c r="CX412" s="543" t="s">
        <v>633</v>
      </c>
      <c r="DJ412" s="708" t="s">
        <v>633</v>
      </c>
      <c r="DL412" s="709">
        <v>43929</v>
      </c>
      <c r="DM412" s="710" t="s">
        <v>55</v>
      </c>
      <c r="DN412" s="130" t="s">
        <v>619</v>
      </c>
      <c r="DO412" s="710" t="s">
        <v>55</v>
      </c>
      <c r="EB412" s="708" t="s">
        <v>633</v>
      </c>
      <c r="ED412" s="305">
        <v>44337</v>
      </c>
      <c r="EE412" s="706" t="s">
        <v>55</v>
      </c>
      <c r="EF412" s="707" t="s">
        <v>56</v>
      </c>
      <c r="EG412" s="476" t="s">
        <v>56</v>
      </c>
      <c r="EH412" s="543" t="s">
        <v>633</v>
      </c>
      <c r="EV412" s="708" t="s">
        <v>633</v>
      </c>
    </row>
    <row r="413" ht="17.5" customHeight="1" spans="98:152" x14ac:dyDescent="0.25">
      <c r="CT413" s="62">
        <v>1995</v>
      </c>
      <c r="CU413" s="46">
        <f>CV413/CW413</f>
        <v>0.18602814222542435</v>
      </c>
      <c r="CV413" s="676">
        <v>514.8553</v>
      </c>
      <c r="CW413" s="55">
        <f t="array" ref="CW413:CW436">TRANSPOSE(U167:AR167)</f>
        <v>2767.6205</v>
      </c>
      <c r="CX413" s="576"/>
      <c r="DJ413" s="711">
        <f t="shared" ref="DJ413:DJ436" si="250">CU413</f>
        <v>0.18602814222542435</v>
      </c>
      <c r="DL413" s="43">
        <v>1995</v>
      </c>
      <c r="DM413" s="482">
        <v>1</v>
      </c>
      <c r="DN413" s="315"/>
      <c r="DO413" s="712">
        <v>1</v>
      </c>
      <c r="EB413" s="713">
        <v>1</v>
      </c>
      <c r="ED413" s="62">
        <v>1995</v>
      </c>
      <c r="EE413" s="46">
        <v>1</v>
      </c>
      <c r="EF413" s="66"/>
      <c r="EG413" s="55">
        <v>2767.6205</v>
      </c>
      <c r="EH413" s="576"/>
      <c r="EV413" s="711">
        <v>1</v>
      </c>
    </row>
    <row r="414" ht="17.5" customHeight="1" spans="98:152" x14ac:dyDescent="0.25">
      <c r="CT414" s="62">
        <v>1996</v>
      </c>
      <c r="CU414" s="46">
        <f>CV414/CW414</f>
        <v>0.20193696820110807</v>
      </c>
      <c r="CV414" s="676">
        <v>543.2361159000002</v>
      </c>
      <c r="CW414" s="55">
        <v>2690.127126</v>
      </c>
      <c r="CX414" s="75"/>
      <c r="DJ414" s="711">
        <f t="shared" si="250"/>
        <v>0.20193696820110807</v>
      </c>
      <c r="DL414" s="62">
        <v>1996</v>
      </c>
      <c r="DM414" s="143">
        <f t="shared" ref="DM414:DM436" si="251">EC373</f>
        <v>1.1463921152743077</v>
      </c>
      <c r="DN414" s="57"/>
      <c r="DO414" s="75">
        <f>НАСТРОЙКА!DR137</f>
        <v>1.218</v>
      </c>
      <c r="EB414" s="574">
        <f t="shared" ref="EB414:EB436" si="252">DM414</f>
        <v>1.1463921152743077</v>
      </c>
      <c r="ED414" s="62">
        <v>1996</v>
      </c>
      <c r="EE414" s="46">
        <f>EB373</f>
        <v>1.0551238685898738</v>
      </c>
      <c r="EF414" s="66"/>
      <c r="EG414" s="55">
        <v>2690.127126</v>
      </c>
      <c r="EH414" s="75"/>
      <c r="EV414" s="711">
        <f>EE414</f>
        <v>1.0551238685898738</v>
      </c>
    </row>
    <row r="415" ht="17.5" customHeight="1" spans="98:152" x14ac:dyDescent="0.25">
      <c r="CT415" s="62">
        <v>1997</v>
      </c>
      <c r="CU415" s="46">
        <f t="shared" ref="CU415:CU436" si="253">CV415/CW415</f>
        <v>0.2007703091712705</v>
      </c>
      <c r="CV415" s="676">
        <v>547.6590219642</v>
      </c>
      <c r="CW415" s="55">
        <v>2727.788905764</v>
      </c>
      <c r="CX415" s="75"/>
      <c r="DJ415" s="711">
        <f t="shared" si="250"/>
        <v>0.2007703091712705</v>
      </c>
      <c r="DL415" s="62">
        <v>1997</v>
      </c>
      <c r="DM415" s="216">
        <f t="shared" si="251"/>
        <v>1.2513079717780982</v>
      </c>
      <c r="DN415" s="57"/>
      <c r="DO415" s="75">
        <f>НАСТРОЙКА!DR138</f>
        <v>1.3519800000000002</v>
      </c>
      <c r="EB415" s="574">
        <f t="shared" si="252"/>
        <v>1.2513079717780982</v>
      </c>
      <c r="ED415" s="62">
        <v>1997</v>
      </c>
      <c r="EE415" s="46">
        <f t="shared" ref="EE415:EE436" si="254">EB374</f>
        <v>1.0637144494078237</v>
      </c>
      <c r="EF415" s="66"/>
      <c r="EG415" s="55">
        <v>2727.788905764</v>
      </c>
      <c r="EH415" s="75"/>
      <c r="EV415" s="711">
        <f t="shared" ref="EV415:EV436" si="255">EE415</f>
        <v>1.0637144494078237</v>
      </c>
    </row>
    <row r="416" ht="17.5" customHeight="1" spans="98:152" x14ac:dyDescent="0.25">
      <c r="CT416" s="62">
        <v>1998</v>
      </c>
      <c r="CU416" s="46">
        <f t="shared" si="253"/>
        <v>0.17564649920911823</v>
      </c>
      <c r="CV416" s="676">
        <v>454.6911167130931</v>
      </c>
      <c r="CW416" s="55">
        <v>2588.671671570036</v>
      </c>
      <c r="CX416" s="75"/>
      <c r="DJ416" s="711">
        <f t="shared" si="250"/>
        <v>0.17564649920911823</v>
      </c>
      <c r="DL416" s="62">
        <v>1998</v>
      </c>
      <c r="DM416" s="216">
        <f t="shared" si="251"/>
        <v>1.7757982734232498</v>
      </c>
      <c r="DN416" s="57"/>
      <c r="DO416" s="75">
        <f>НАСТРОЙКА!DR139</f>
        <v>2.4930511200000005</v>
      </c>
      <c r="EB416" s="574">
        <f t="shared" si="252"/>
        <v>1.7757982734232498</v>
      </c>
      <c r="ED416" s="62">
        <v>1998</v>
      </c>
      <c r="EE416" s="46">
        <f t="shared" si="254"/>
        <v>0.8831435098620776</v>
      </c>
      <c r="EF416" s="66"/>
      <c r="EG416" s="55">
        <v>2588.671671570036</v>
      </c>
      <c r="EH416" s="75"/>
      <c r="EV416" s="711">
        <f t="shared" si="255"/>
        <v>0.8831435098620776</v>
      </c>
    </row>
    <row r="417" ht="17.5" customHeight="1" spans="98:152" x14ac:dyDescent="0.25">
      <c r="CT417" s="62">
        <v>1999</v>
      </c>
      <c r="CU417" s="46">
        <f t="shared" si="253"/>
        <v>0.1773667752933979</v>
      </c>
      <c r="CV417" s="676">
        <v>485.7747187871727</v>
      </c>
      <c r="CW417" s="55">
        <v>2738.8146285210983</v>
      </c>
      <c r="CX417" s="75"/>
      <c r="DJ417" s="711">
        <f t="shared" si="250"/>
        <v>0.1773667752933979</v>
      </c>
      <c r="DL417" s="62">
        <v>1999</v>
      </c>
      <c r="DM417" s="216">
        <f t="shared" si="251"/>
        <v>4.3836468174313525</v>
      </c>
      <c r="DN417" s="57"/>
      <c r="DO417" s="75">
        <f>НАСТРОЙКА!DR140</f>
        <v>3.4030147788000007</v>
      </c>
      <c r="EB417" s="574">
        <f t="shared" si="252"/>
        <v>4.3836468174313525</v>
      </c>
      <c r="ED417" s="62">
        <v>1999</v>
      </c>
      <c r="EE417" s="46">
        <f t="shared" si="254"/>
        <v>0.9435169819309864</v>
      </c>
      <c r="EF417" s="66"/>
      <c r="EG417" s="55">
        <v>2738.8146285210983</v>
      </c>
      <c r="EH417" s="75"/>
      <c r="EV417" s="711">
        <f t="shared" si="255"/>
        <v>0.9435169819309864</v>
      </c>
    </row>
    <row r="418" ht="17.5" customHeight="1" spans="98:152" x14ac:dyDescent="0.25">
      <c r="CT418" s="62">
        <v>2000</v>
      </c>
      <c r="CU418" s="46">
        <f t="shared" si="253"/>
        <v>0.21045165705943777</v>
      </c>
      <c r="CV418" s="676">
        <v>630.5685561842777</v>
      </c>
      <c r="CW418" s="55">
        <v>2996.263203602082</v>
      </c>
      <c r="CX418" s="75"/>
      <c r="DJ418" s="711">
        <f t="shared" si="250"/>
        <v>0.21045165705943777</v>
      </c>
      <c r="DL418" s="62">
        <v>2000</v>
      </c>
      <c r="DM418" s="216">
        <f t="shared" si="251"/>
        <v>5.422670804728047</v>
      </c>
      <c r="DN418" s="57"/>
      <c r="DO418" s="75">
        <f>НАСТРОЙКА!DR141</f>
        <v>4.090423764117601</v>
      </c>
      <c r="EB418" s="574">
        <f t="shared" si="252"/>
        <v>5.422670804728047</v>
      </c>
      <c r="ED418" s="62">
        <v>2000</v>
      </c>
      <c r="EE418" s="46">
        <f t="shared" si="254"/>
        <v>1.2247490822844354</v>
      </c>
      <c r="EF418" s="66"/>
      <c r="EG418" s="55">
        <v>2996.263203602082</v>
      </c>
      <c r="EH418" s="75"/>
      <c r="EV418" s="711">
        <f t="shared" si="255"/>
        <v>1.2247490822844354</v>
      </c>
    </row>
    <row r="419" ht="17.5" customHeight="1" spans="98:152" x14ac:dyDescent="0.25">
      <c r="CT419" s="62">
        <v>2001</v>
      </c>
      <c r="CU419" s="46">
        <f t="shared" si="253"/>
        <v>0.22075386925949722</v>
      </c>
      <c r="CV419" s="676">
        <v>693.847093595252</v>
      </c>
      <c r="CW419" s="55">
        <v>3143.0801005785834</v>
      </c>
      <c r="CX419" s="75"/>
      <c r="DJ419" s="711">
        <f t="shared" si="250"/>
        <v>0.22075386925949722</v>
      </c>
      <c r="DL419" s="62">
        <v>2001</v>
      </c>
      <c r="DM419" s="216">
        <f t="shared" si="251"/>
        <v>5.416139427100017</v>
      </c>
      <c r="DN419" s="57"/>
      <c r="DO419" s="75">
        <f>НАСТРОЙКА!DR142</f>
        <v>4.851242584243474</v>
      </c>
      <c r="EB419" s="574">
        <f t="shared" si="252"/>
        <v>5.416139427100017</v>
      </c>
      <c r="ED419" s="62">
        <v>2001</v>
      </c>
      <c r="EE419" s="46">
        <f t="shared" si="254"/>
        <v>1.3476545615734206</v>
      </c>
      <c r="EF419" s="66"/>
      <c r="EG419" s="55">
        <v>3143.0801005785834</v>
      </c>
      <c r="EH419" s="75"/>
      <c r="EV419" s="711">
        <f t="shared" si="255"/>
        <v>1.3476545615734206</v>
      </c>
    </row>
    <row r="420" ht="17.5" customHeight="1" spans="98:152" x14ac:dyDescent="0.25">
      <c r="CT420" s="62">
        <v>2002</v>
      </c>
      <c r="CU420" s="46">
        <f t="shared" si="253"/>
        <v>0.23009857341476964</v>
      </c>
      <c r="CV420" s="676">
        <v>755.039850151428</v>
      </c>
      <c r="CW420" s="55">
        <v>3281.3756250040415</v>
      </c>
      <c r="CX420" s="75"/>
      <c r="DJ420" s="711">
        <f t="shared" si="250"/>
        <v>0.23009857341476964</v>
      </c>
      <c r="DL420" s="62">
        <v>2002</v>
      </c>
      <c r="DM420" s="216">
        <f t="shared" si="251"/>
        <v>5.589991573495779</v>
      </c>
      <c r="DN420" s="57"/>
      <c r="DO420" s="75">
        <f>НАСТРОЙКА!DR143</f>
        <v>5.583780214464239</v>
      </c>
      <c r="EB420" s="574">
        <f t="shared" si="252"/>
        <v>5.589991573495779</v>
      </c>
      <c r="ED420" s="62">
        <v>2002</v>
      </c>
      <c r="EE420" s="46">
        <f t="shared" si="254"/>
        <v>1.4665088426814834</v>
      </c>
      <c r="EF420" s="66"/>
      <c r="EG420" s="55">
        <v>3281.3756250040415</v>
      </c>
      <c r="EH420" s="75"/>
      <c r="EV420" s="711">
        <f t="shared" si="255"/>
        <v>1.4665088426814834</v>
      </c>
    </row>
    <row r="421" ht="17.5" customHeight="1" spans="98:152" x14ac:dyDescent="0.25">
      <c r="CT421" s="62">
        <v>2003</v>
      </c>
      <c r="CU421" s="46">
        <f t="shared" si="253"/>
        <v>0.24253877934926296</v>
      </c>
      <c r="CV421" s="676">
        <v>856.3462624141979</v>
      </c>
      <c r="CW421" s="55">
        <v>3530.7601725043487</v>
      </c>
      <c r="CX421" s="75"/>
      <c r="DJ421" s="711">
        <f t="shared" si="250"/>
        <v>0.24253877934926296</v>
      </c>
      <c r="DL421" s="62">
        <v>2003</v>
      </c>
      <c r="DM421" s="216">
        <f t="shared" si="251"/>
        <v>6.100949264694751</v>
      </c>
      <c r="DN421" s="57"/>
      <c r="DO421" s="75">
        <f>НАСТРОЙКА!DR144</f>
        <v>6.253833840199949</v>
      </c>
      <c r="EB421" s="574">
        <f t="shared" si="252"/>
        <v>6.100949264694751</v>
      </c>
      <c r="ED421" s="62">
        <v>2003</v>
      </c>
      <c r="EE421" s="46">
        <f t="shared" si="254"/>
        <v>1.6632756085335</v>
      </c>
      <c r="EF421" s="66"/>
      <c r="EG421" s="55">
        <v>3530.7601725043487</v>
      </c>
      <c r="EH421" s="75"/>
      <c r="EV421" s="711">
        <f t="shared" si="255"/>
        <v>1.6632756085335</v>
      </c>
    </row>
    <row r="422" ht="17.5" customHeight="1" spans="98:152" x14ac:dyDescent="0.25">
      <c r="CT422" s="62">
        <v>2004</v>
      </c>
      <c r="CU422" s="46">
        <f t="shared" si="253"/>
        <v>0.2516082337282352</v>
      </c>
      <c r="CV422" s="676">
        <v>959.4377971795636</v>
      </c>
      <c r="CW422" s="55">
        <v>3813.2209863046965</v>
      </c>
      <c r="CX422" s="75"/>
      <c r="DJ422" s="711">
        <f t="shared" si="250"/>
        <v>0.2516082337282352</v>
      </c>
      <c r="DL422" s="62">
        <v>2004</v>
      </c>
      <c r="DM422" s="216">
        <f t="shared" si="251"/>
        <v>6.831459964645646</v>
      </c>
      <c r="DN422" s="57"/>
      <c r="DO422" s="75">
        <f>НАСТРОЙКА!DR145</f>
        <v>6.9855323995033425</v>
      </c>
      <c r="EB422" s="574">
        <f t="shared" si="252"/>
        <v>6.831459964645646</v>
      </c>
      <c r="ED422" s="62">
        <v>2004</v>
      </c>
      <c r="EE422" s="46">
        <f t="shared" si="254"/>
        <v>1.8635096058631688</v>
      </c>
      <c r="EF422" s="66"/>
      <c r="EG422" s="55">
        <v>3813.2209863046965</v>
      </c>
      <c r="EH422" s="75"/>
      <c r="EV422" s="711">
        <f t="shared" si="255"/>
        <v>1.8635096058631688</v>
      </c>
    </row>
    <row r="423" ht="17.5" customHeight="1" spans="98:152" x14ac:dyDescent="0.25">
      <c r="CT423" s="62">
        <v>2005</v>
      </c>
      <c r="CU423" s="46">
        <f t="shared" si="253"/>
        <v>0.25783555641470957</v>
      </c>
      <c r="CV423" s="676">
        <v>1039.2254401560776</v>
      </c>
      <c r="CW423" s="55">
        <v>4030.5745825240638</v>
      </c>
      <c r="CX423" s="75"/>
      <c r="DJ423" s="711">
        <f t="shared" si="250"/>
        <v>0.25783555641470957</v>
      </c>
      <c r="DL423" s="62">
        <v>2005</v>
      </c>
      <c r="DM423" s="216">
        <f t="shared" si="251"/>
        <v>8.02031164551573</v>
      </c>
      <c r="DN423" s="57"/>
      <c r="DO423" s="75">
        <f>НАСТРОЙКА!DR146</f>
        <v>7.746955431049207</v>
      </c>
      <c r="EB423" s="574">
        <f t="shared" si="252"/>
        <v>8.02031164551573</v>
      </c>
      <c r="ED423" s="62">
        <v>2005</v>
      </c>
      <c r="EE423" s="46">
        <f t="shared" si="254"/>
        <v>2.018480610292013</v>
      </c>
      <c r="EF423" s="66"/>
      <c r="EG423" s="55">
        <v>4030.5745825240638</v>
      </c>
      <c r="EH423" s="75"/>
      <c r="EV423" s="711">
        <f t="shared" si="255"/>
        <v>2.018480610292013</v>
      </c>
    </row>
    <row r="424" ht="17.5" customHeight="1" spans="98:152" x14ac:dyDescent="0.25">
      <c r="CT424" s="62">
        <v>2006</v>
      </c>
      <c r="CU424" s="46">
        <f t="shared" si="253"/>
        <v>0.2668781385379209</v>
      </c>
      <c r="CV424" s="676">
        <v>1171.4070713444628</v>
      </c>
      <c r="CW424" s="55">
        <v>4389.295720368706</v>
      </c>
      <c r="CX424" s="75"/>
      <c r="DJ424" s="711">
        <f t="shared" si="250"/>
        <v>0.2668781385379209</v>
      </c>
      <c r="DL424" s="62">
        <v>2006</v>
      </c>
      <c r="DM424" s="216">
        <f t="shared" si="251"/>
        <v>8.577771592643286</v>
      </c>
      <c r="DN424" s="57"/>
      <c r="DO424" s="75">
        <f>НАСТРОЙКА!DR147</f>
        <v>8.444181419843636</v>
      </c>
      <c r="EB424" s="574">
        <f t="shared" si="252"/>
        <v>8.577771592643286</v>
      </c>
      <c r="ED424" s="62">
        <v>2006</v>
      </c>
      <c r="EE424" s="46">
        <f t="shared" si="254"/>
        <v>2.2752161070197054</v>
      </c>
      <c r="EF424" s="66"/>
      <c r="EG424" s="55">
        <v>4389.295720368706</v>
      </c>
      <c r="EH424" s="75"/>
      <c r="EV424" s="711">
        <f t="shared" si="255"/>
        <v>2.2752161070197054</v>
      </c>
    </row>
    <row r="425" ht="17.5" customHeight="1" spans="98:152" x14ac:dyDescent="0.25">
      <c r="CT425" s="62">
        <v>2007</v>
      </c>
      <c r="CU425" s="46">
        <f t="shared" si="253"/>
        <v>0.2775287129387157</v>
      </c>
      <c r="CV425" s="676">
        <v>1325.353284075698</v>
      </c>
      <c r="CW425" s="55">
        <v>4775.553743761152</v>
      </c>
      <c r="CX425" s="75"/>
      <c r="DJ425" s="711">
        <f t="shared" si="250"/>
        <v>0.2775287129387157</v>
      </c>
      <c r="DL425" s="62">
        <v>2007</v>
      </c>
      <c r="DM425" s="216">
        <f t="shared" si="251"/>
        <v>8.561217930593617</v>
      </c>
      <c r="DN425" s="57"/>
      <c r="DO425" s="75">
        <f>НАСТРОЙКА!DR148</f>
        <v>9.446505754379075</v>
      </c>
      <c r="EB425" s="574">
        <f t="shared" si="252"/>
        <v>8.561217930593617</v>
      </c>
      <c r="ED425" s="62">
        <v>2007</v>
      </c>
      <c r="EE425" s="46">
        <f t="shared" si="254"/>
        <v>2.574224804669774</v>
      </c>
      <c r="EF425" s="66"/>
      <c r="EG425" s="55">
        <v>4775.553743761152</v>
      </c>
      <c r="EH425" s="75"/>
      <c r="EV425" s="711">
        <f t="shared" si="255"/>
        <v>2.574224804669774</v>
      </c>
    </row>
    <row r="426" ht="17.5" customHeight="1" spans="98:152" x14ac:dyDescent="0.25">
      <c r="CT426" s="62">
        <v>2008</v>
      </c>
      <c r="CU426" s="46">
        <f t="shared" si="253"/>
        <v>0.2823324410242868</v>
      </c>
      <c r="CV426" s="676">
        <v>1415.7084330046953</v>
      </c>
      <c r="CW426" s="55">
        <v>5014.33143094921</v>
      </c>
      <c r="CX426" s="75"/>
      <c r="DJ426" s="711">
        <f t="shared" si="250"/>
        <v>0.2823324410242868</v>
      </c>
      <c r="DL426" s="62">
        <v>2008</v>
      </c>
      <c r="DM426" s="216">
        <f t="shared" si="251"/>
        <v>10.360928463828223</v>
      </c>
      <c r="DN426" s="57"/>
      <c r="DO426" s="75">
        <f>НАСТРОЙКА!DR149</f>
        <v>10.701001718560617</v>
      </c>
      <c r="EB426" s="574">
        <f t="shared" si="252"/>
        <v>10.360928463828223</v>
      </c>
      <c r="ED426" s="62">
        <v>2008</v>
      </c>
      <c r="EE426" s="46">
        <f t="shared" si="254"/>
        <v>2.7497210051148255</v>
      </c>
      <c r="EF426" s="66"/>
      <c r="EG426" s="55">
        <v>5014.33143094921</v>
      </c>
      <c r="EH426" s="75"/>
      <c r="EV426" s="711">
        <f t="shared" si="255"/>
        <v>2.7497210051148255</v>
      </c>
    </row>
    <row r="427" ht="17.5" customHeight="1" spans="98:152" x14ac:dyDescent="0.25">
      <c r="CT427" s="62">
        <v>2009</v>
      </c>
      <c r="CU427" s="46">
        <f t="shared" si="253"/>
        <v>0.2058026497269587</v>
      </c>
      <c r="CV427" s="676">
        <v>955.5974556612293</v>
      </c>
      <c r="CW427" s="55">
        <v>4643.270905058968</v>
      </c>
      <c r="CX427" s="75"/>
      <c r="DJ427" s="711">
        <f t="shared" si="250"/>
        <v>0.2058026497269587</v>
      </c>
      <c r="DL427" s="62">
        <v>2009</v>
      </c>
      <c r="DM427" s="216">
        <f t="shared" si="251"/>
        <v>10.685163024983835</v>
      </c>
      <c r="DN427" s="57"/>
      <c r="DO427" s="75">
        <f>НАСТРОЙКА!DR150</f>
        <v>11.642689869793951</v>
      </c>
      <c r="EB427" s="574">
        <f t="shared" si="252"/>
        <v>10.685163024983835</v>
      </c>
      <c r="ED427" s="62">
        <v>2009</v>
      </c>
      <c r="EE427" s="46">
        <f t="shared" si="254"/>
        <v>1.8560505362598563</v>
      </c>
      <c r="EF427" s="66"/>
      <c r="EG427" s="55">
        <v>4643.270905058968</v>
      </c>
      <c r="EH427" s="75"/>
      <c r="EV427" s="711">
        <f t="shared" si="255"/>
        <v>1.8560505362598563</v>
      </c>
    </row>
    <row r="428" ht="17.5" customHeight="1" spans="98:152" x14ac:dyDescent="0.25">
      <c r="CT428" s="62">
        <v>2010</v>
      </c>
      <c r="CU428" s="46">
        <f t="shared" si="253"/>
        <v>0.24609376472050032</v>
      </c>
      <c r="CV428" s="676">
        <v>1199.8140185252826</v>
      </c>
      <c r="CW428" s="55">
        <v>4875.434450311916</v>
      </c>
      <c r="CX428" s="75"/>
      <c r="DJ428" s="711">
        <f t="shared" si="250"/>
        <v>0.24609376472050032</v>
      </c>
      <c r="DL428" s="62">
        <v>2010</v>
      </c>
      <c r="DM428" s="216">
        <f t="shared" si="251"/>
        <v>12.376778209553063</v>
      </c>
      <c r="DN428" s="57"/>
      <c r="DO428" s="75">
        <f>НАСТРОЙКА!DR151</f>
        <v>12.664918040361862</v>
      </c>
      <c r="EB428" s="574">
        <f t="shared" si="252"/>
        <v>12.376778209553063</v>
      </c>
      <c r="ED428" s="62">
        <v>2010</v>
      </c>
      <c r="EE428" s="46">
        <f t="shared" si="254"/>
        <v>2.330390730221253</v>
      </c>
      <c r="EF428" s="66"/>
      <c r="EG428" s="55">
        <v>4875.434450311916</v>
      </c>
      <c r="EH428" s="75"/>
      <c r="EV428" s="711">
        <f t="shared" si="255"/>
        <v>2.330390730221253</v>
      </c>
    </row>
    <row r="429" ht="17.5" customHeight="1" spans="98:152" x14ac:dyDescent="0.25">
      <c r="CT429" s="62">
        <v>2011</v>
      </c>
      <c r="CU429" s="46">
        <f t="shared" si="253"/>
        <v>0.2716712661938327</v>
      </c>
      <c r="CV429" s="676">
        <v>1381.4696147268057</v>
      </c>
      <c r="CW429" s="55">
        <v>5085.078131675329</v>
      </c>
      <c r="CX429" s="75"/>
      <c r="DJ429" s="711">
        <f t="shared" si="250"/>
        <v>0.2716712661938327</v>
      </c>
      <c r="DL429" s="62">
        <v>2011</v>
      </c>
      <c r="DM429" s="216">
        <f t="shared" si="251"/>
        <v>14.886630426588821</v>
      </c>
      <c r="DN429" s="57"/>
      <c r="DO429" s="75">
        <f>НАСТРОЙКА!DR152</f>
        <v>13.437478040823935</v>
      </c>
      <c r="EB429" s="574">
        <f t="shared" si="252"/>
        <v>14.886630426588821</v>
      </c>
      <c r="ED429" s="62">
        <v>2011</v>
      </c>
      <c r="EE429" s="46">
        <f t="shared" si="254"/>
        <v>2.683219177751119</v>
      </c>
      <c r="EF429" s="66"/>
      <c r="EG429" s="55">
        <v>5085.078131675329</v>
      </c>
      <c r="EH429" s="75"/>
      <c r="EV429" s="711">
        <f t="shared" si="255"/>
        <v>2.683219177751119</v>
      </c>
    </row>
    <row r="430" ht="17.5" customHeight="1" spans="98:152" x14ac:dyDescent="0.25">
      <c r="CT430" s="62">
        <v>2012</v>
      </c>
      <c r="CU430" s="46">
        <f t="shared" si="253"/>
        <v>0.2711734787480621</v>
      </c>
      <c r="CV430" s="676">
        <v>1432.7169214123069</v>
      </c>
      <c r="CW430" s="55">
        <v>5283.396178810667</v>
      </c>
      <c r="CX430" s="75"/>
      <c r="DJ430" s="711">
        <f t="shared" si="250"/>
        <v>0.2711734787480621</v>
      </c>
      <c r="DL430" s="62">
        <v>2012</v>
      </c>
      <c r="DM430" s="216">
        <f t="shared" si="251"/>
        <v>15.682710215951944</v>
      </c>
      <c r="DN430" s="57"/>
      <c r="DO430" s="75">
        <f>НАСТРОЙКА!DR153</f>
        <v>14.321664095910151</v>
      </c>
      <c r="EB430" s="574">
        <f t="shared" si="252"/>
        <v>15.682710215951944</v>
      </c>
      <c r="ED430" s="62">
        <v>2012</v>
      </c>
      <c r="EE430" s="46">
        <f t="shared" si="254"/>
        <v>2.7827564782033063</v>
      </c>
      <c r="EF430" s="66"/>
      <c r="EG430" s="55">
        <v>5283.396178810667</v>
      </c>
      <c r="EH430" s="75"/>
      <c r="EV430" s="711">
        <f t="shared" si="255"/>
        <v>2.7827564782033063</v>
      </c>
    </row>
    <row r="431" ht="17.5" customHeight="1" spans="98:152" x14ac:dyDescent="0.25">
      <c r="CT431" s="62">
        <v>2013</v>
      </c>
      <c r="CU431" s="46">
        <f t="shared" si="253"/>
        <v>0.2653941333830007</v>
      </c>
      <c r="CV431" s="676">
        <v>1431.6281795485993</v>
      </c>
      <c r="CW431" s="55">
        <v>5394.347498565691</v>
      </c>
      <c r="CX431" s="75"/>
      <c r="DJ431" s="711">
        <f t="shared" si="250"/>
        <v>0.2653941333830007</v>
      </c>
      <c r="DL431" s="62">
        <v>2013</v>
      </c>
      <c r="DM431" s="216">
        <f t="shared" si="251"/>
        <v>15.596922733834738</v>
      </c>
      <c r="DN431" s="57"/>
      <c r="DO431" s="75">
        <f>НАСТРОЙКА!DR154</f>
        <v>15.245411430096356</v>
      </c>
      <c r="EB431" s="574">
        <f t="shared" si="252"/>
        <v>15.596922733834738</v>
      </c>
      <c r="ED431" s="62">
        <v>2013</v>
      </c>
      <c r="EE431" s="46">
        <f t="shared" si="254"/>
        <v>2.7806418221752773</v>
      </c>
      <c r="EF431" s="66"/>
      <c r="EG431" s="55">
        <v>5394.347498565691</v>
      </c>
      <c r="EH431" s="75"/>
      <c r="EV431" s="711">
        <f t="shared" si="255"/>
        <v>2.7806418221752773</v>
      </c>
    </row>
    <row r="432" ht="17.5" customHeight="1" spans="98:152" x14ac:dyDescent="0.25">
      <c r="CT432" s="62">
        <v>2014</v>
      </c>
      <c r="CU432" s="46">
        <f t="shared" si="253"/>
        <v>0.2407479655290886</v>
      </c>
      <c r="CV432" s="676">
        <v>1309.0676111217113</v>
      </c>
      <c r="CW432" s="55">
        <v>5437.502278554217</v>
      </c>
      <c r="CX432" s="75"/>
      <c r="DJ432" s="711">
        <f t="shared" si="250"/>
        <v>0.2407479655290886</v>
      </c>
      <c r="DL432" s="62">
        <v>2014</v>
      </c>
      <c r="DM432" s="216">
        <f t="shared" si="251"/>
        <v>19.408072573294923</v>
      </c>
      <c r="DN432" s="57">
        <f t="shared" ref="DN432:DN436" si="256">0.0265*DO432*DO432+0.6278*DO432+0.9441</f>
        <v>19.76525522656956</v>
      </c>
      <c r="DO432" s="75">
        <f>НАСТРОЙКА!DR155</f>
        <v>17.31878738458946</v>
      </c>
      <c r="EB432" s="574">
        <f t="shared" si="252"/>
        <v>19.408072573294923</v>
      </c>
      <c r="ED432" s="62">
        <v>2014</v>
      </c>
      <c r="EE432" s="46">
        <f t="shared" si="254"/>
        <v>2.5425932511944835</v>
      </c>
      <c r="EF432" s="66"/>
      <c r="EG432" s="55">
        <v>5437.502278554217</v>
      </c>
      <c r="EH432" s="75"/>
      <c r="EV432" s="711">
        <f t="shared" si="255"/>
        <v>2.5425932511944835</v>
      </c>
    </row>
    <row r="433" ht="17.5" customHeight="1" spans="98:152" x14ac:dyDescent="0.25">
      <c r="CT433" s="62">
        <v>2015</v>
      </c>
      <c r="CU433" s="46">
        <f t="shared" si="253"/>
        <v>0.20957161629151927</v>
      </c>
      <c r="CV433" s="676">
        <v>1124.7320412710553</v>
      </c>
      <c r="CW433" s="55">
        <v>5366.814748933011</v>
      </c>
      <c r="CX433" s="75"/>
      <c r="DJ433" s="711">
        <f t="shared" si="250"/>
        <v>0.20957161629151927</v>
      </c>
      <c r="DL433" s="62">
        <v>2015</v>
      </c>
      <c r="DM433" s="216">
        <f t="shared" si="251"/>
        <v>25.392619710313024</v>
      </c>
      <c r="DN433" s="57">
        <f t="shared" si="256"/>
        <v>23.35080016178774</v>
      </c>
      <c r="DO433" s="75">
        <f>НАСТРОЙКА!DR156</f>
        <v>19.5529109572015</v>
      </c>
      <c r="EB433" s="574">
        <f t="shared" si="252"/>
        <v>25.392619710313024</v>
      </c>
      <c r="ED433" s="62">
        <v>2015</v>
      </c>
      <c r="EE433" s="46">
        <f t="shared" si="254"/>
        <v>2.1845595087999583</v>
      </c>
      <c r="EF433" s="66"/>
      <c r="EG433" s="55">
        <v>5366.814748933011</v>
      </c>
      <c r="EH433" s="75"/>
      <c r="EV433" s="711">
        <f t="shared" si="255"/>
        <v>2.1845595087999583</v>
      </c>
    </row>
    <row r="434" ht="17.5" customHeight="1" spans="98:152" x14ac:dyDescent="0.25">
      <c r="CT434" s="62">
        <v>2016</v>
      </c>
      <c r="CU434" s="46">
        <f t="shared" si="253"/>
        <v>0.2065780810326533</v>
      </c>
      <c r="CV434" s="676">
        <v>1121.9702875974303</v>
      </c>
      <c r="CW434" s="55">
        <v>5431.2165259202075</v>
      </c>
      <c r="CX434" s="75"/>
      <c r="DJ434" s="711">
        <f t="shared" si="250"/>
        <v>0.2065780810326533</v>
      </c>
      <c r="DL434" s="62">
        <v>2016</v>
      </c>
      <c r="DM434" s="216">
        <f t="shared" si="251"/>
        <v>24.686694352693262</v>
      </c>
      <c r="DN434" s="57">
        <f t="shared" si="256"/>
        <v>25.13403662026203</v>
      </c>
      <c r="DO434" s="75">
        <f>НАСТРОЙКА!DR157</f>
        <v>20.60681285779466</v>
      </c>
      <c r="EB434" s="574">
        <f t="shared" si="252"/>
        <v>24.686694352693262</v>
      </c>
      <c r="ED434" s="62">
        <v>2016</v>
      </c>
      <c r="EE434" s="46">
        <f t="shared" si="254"/>
        <v>2.1739835580660896</v>
      </c>
      <c r="EF434" s="66"/>
      <c r="EG434" s="55">
        <v>5431.2165259202075</v>
      </c>
      <c r="EH434" s="75"/>
      <c r="EV434" s="711">
        <f t="shared" si="255"/>
        <v>2.1739835580660896</v>
      </c>
    </row>
    <row r="435" ht="17.5" customHeight="1" spans="98:152" x14ac:dyDescent="0.25">
      <c r="CT435" s="62">
        <v>2017</v>
      </c>
      <c r="CU435" s="46">
        <f t="shared" si="253"/>
        <v>0.22697099503222676</v>
      </c>
      <c r="CV435" s="676">
        <v>1263.5468346016728</v>
      </c>
      <c r="CW435" s="55">
        <v>5566.996939068213</v>
      </c>
      <c r="CX435" s="63">
        <f>CU435</f>
        <v>0.22697099503222676</v>
      </c>
      <c r="DJ435" s="711">
        <f t="shared" si="250"/>
        <v>0.22697099503222676</v>
      </c>
      <c r="DL435" s="62">
        <v>2017</v>
      </c>
      <c r="DM435" s="216">
        <f t="shared" si="251"/>
        <v>23.815961506525245</v>
      </c>
      <c r="DN435" s="57">
        <f t="shared" si="256"/>
        <v>26.0307433047048</v>
      </c>
      <c r="DO435" s="75">
        <f>НАСТРОЙКА!DR158</f>
        <v>21.124043860525305</v>
      </c>
      <c r="EB435" s="574">
        <f t="shared" si="252"/>
        <v>23.815961506525245</v>
      </c>
      <c r="ED435" s="62">
        <v>2017</v>
      </c>
      <c r="EE435" s="46">
        <f t="shared" si="254"/>
        <v>2.459327825213312</v>
      </c>
      <c r="EF435" s="66"/>
      <c r="EG435" s="55">
        <v>5566.996939068213</v>
      </c>
      <c r="EH435" s="63">
        <f>EE435</f>
        <v>2.459327825213312</v>
      </c>
      <c r="EV435" s="711">
        <f t="shared" si="255"/>
        <v>2.459327825213312</v>
      </c>
    </row>
    <row r="436" ht="17.5" customHeight="1" spans="98:152" x14ac:dyDescent="0.25">
      <c r="CT436" s="62">
        <v>2018</v>
      </c>
      <c r="CU436" s="46">
        <f t="shared" si="253"/>
        <v>0.2265787550715769</v>
      </c>
      <c r="CV436" s="676">
        <v>1292.8973168398886</v>
      </c>
      <c r="CW436" s="55">
        <v>5706.1718625449175</v>
      </c>
      <c r="CX436" s="63">
        <f>CU436</f>
        <v>0.2265787550715769</v>
      </c>
      <c r="DJ436" s="711">
        <f t="shared" si="250"/>
        <v>0.2265787550715769</v>
      </c>
      <c r="DL436" s="62">
        <v>2018</v>
      </c>
      <c r="DM436" s="216">
        <f t="shared" si="251"/>
        <v>28.98429850585516</v>
      </c>
      <c r="DN436" s="57">
        <f t="shared" si="256"/>
        <v>27.624637450487874</v>
      </c>
      <c r="DO436" s="75">
        <f>НАСТРОЙКА!DR159</f>
        <v>22.02392812898368</v>
      </c>
      <c r="EB436" s="574">
        <f t="shared" si="252"/>
        <v>28.98429850585516</v>
      </c>
      <c r="ED436" s="62">
        <v>2018</v>
      </c>
      <c r="EE436" s="46">
        <f t="shared" si="254"/>
        <v>2.5430346985333676</v>
      </c>
      <c r="EF436" s="66"/>
      <c r="EG436" s="55">
        <v>5706.1718625449175</v>
      </c>
      <c r="EH436" s="63">
        <f>EE436</f>
        <v>2.5430346985333676</v>
      </c>
      <c r="EV436" s="711">
        <f t="shared" si="255"/>
        <v>2.5430346985333676</v>
      </c>
    </row>
    <row r="437" ht="18" customHeight="1" spans="98:152" x14ac:dyDescent="0.25">
      <c r="CT437" s="62">
        <v>2019</v>
      </c>
      <c r="CU437" s="272"/>
      <c r="CV437" s="680"/>
      <c r="CW437" s="167"/>
      <c r="CX437" s="63">
        <f>CX436+0.6*(CX436-CX435)</f>
        <v>0.226343411095187</v>
      </c>
      <c r="DJ437" s="711">
        <f>CX437</f>
        <v>0.226343411095187</v>
      </c>
      <c r="DL437" s="62">
        <v>2019</v>
      </c>
      <c r="DM437" s="714"/>
      <c r="DN437" s="57">
        <f>0.025*DO437*DO437+0.639*DO437+0.912</f>
        <v>28.28794120598946</v>
      </c>
      <c r="DO437" s="75">
        <f>НАСТРОЙКА!DR160</f>
        <v>22.693455544104783</v>
      </c>
      <c r="EB437" s="574">
        <f>DN437</f>
        <v>28.28794120598946</v>
      </c>
      <c r="ED437" s="62">
        <v>2019</v>
      </c>
      <c r="EE437" s="272"/>
      <c r="EF437" s="680"/>
      <c r="EG437" s="167"/>
      <c r="EH437" s="63">
        <f>EH436+0.6*(EH436-EH435)</f>
        <v>2.593258822525401</v>
      </c>
      <c r="EV437" s="711">
        <f>EH437</f>
        <v>2.593258822525401</v>
      </c>
    </row>
    <row r="438" ht="18" customHeight="1" spans="98:152" x14ac:dyDescent="0.25">
      <c r="CT438" s="62">
        <v>2020</v>
      </c>
      <c r="CU438" s="272"/>
      <c r="CV438" s="683"/>
      <c r="CW438" s="167"/>
      <c r="CX438" s="63">
        <f t="shared" ref="CX438:CX453" si="257">CX437+0.6*(CX437-CX436)</f>
        <v>0.22620220470935304</v>
      </c>
      <c r="DJ438" s="711">
        <f t="shared" ref="DJ438:DJ453" si="258">CX438</f>
        <v>0.22620220470935304</v>
      </c>
      <c r="DL438" s="62">
        <v>2020</v>
      </c>
      <c r="DM438" s="714"/>
      <c r="DN438" s="57">
        <f t="shared" ref="DN438:DN453" si="259">0.025*DO438*DO438+0.639*DO438+0.912</f>
        <v>30.295292486376674</v>
      </c>
      <c r="DO438" s="75">
        <f>НАСТРОЙКА!DR161</f>
        <v>23.807704211320324</v>
      </c>
      <c r="EB438" s="574">
        <f t="shared" ref="EB438:EB453" si="260">DN438</f>
        <v>30.295292486376674</v>
      </c>
      <c r="ED438" s="62">
        <v>2020</v>
      </c>
      <c r="EE438" s="272"/>
      <c r="EF438" s="683"/>
      <c r="EG438" s="167"/>
      <c r="EH438" s="63">
        <f t="shared" ref="EH438:EH453" si="261">EH437+0.6*(EH437-EH436)</f>
        <v>2.6233932969206215</v>
      </c>
      <c r="EV438" s="711">
        <f t="shared" ref="EV438:EV453" si="262">EH438</f>
        <v>2.6233932969206215</v>
      </c>
    </row>
    <row r="439" ht="18" customHeight="1" spans="98:152" x14ac:dyDescent="0.25">
      <c r="CT439" s="62">
        <v>2021</v>
      </c>
      <c r="CU439" s="272"/>
      <c r="CV439" s="683"/>
      <c r="CW439" s="167"/>
      <c r="CX439" s="63">
        <f t="shared" si="257"/>
        <v>0.22611748087785266</v>
      </c>
      <c r="DJ439" s="711">
        <f t="shared" si="258"/>
        <v>0.22611748087785266</v>
      </c>
      <c r="DL439" s="62">
        <v>2021</v>
      </c>
      <c r="DM439" s="714"/>
      <c r="DN439" s="57">
        <f t="shared" si="259"/>
        <v>32.50839100920102</v>
      </c>
      <c r="DO439" s="75">
        <f>НАСТРОЙКА!DR162</f>
        <v>24.99808942188634</v>
      </c>
      <c r="EB439" s="574">
        <f t="shared" si="260"/>
        <v>32.50839100920102</v>
      </c>
      <c r="ED439" s="62">
        <v>2021</v>
      </c>
      <c r="EE439" s="272"/>
      <c r="EF439" s="683"/>
      <c r="EG439" s="167"/>
      <c r="EH439" s="63">
        <f t="shared" si="261"/>
        <v>2.6414739815577537</v>
      </c>
      <c r="EV439" s="711">
        <f t="shared" si="262"/>
        <v>2.6414739815577537</v>
      </c>
    </row>
    <row r="440" ht="18" customHeight="1" spans="98:152" x14ac:dyDescent="0.25">
      <c r="CT440" s="62">
        <v>2022</v>
      </c>
      <c r="CU440" s="272"/>
      <c r="CV440" s="683"/>
      <c r="CW440" s="167"/>
      <c r="CX440" s="63">
        <f t="shared" si="257"/>
        <v>0.22606664657895242</v>
      </c>
      <c r="DJ440" s="711">
        <f t="shared" si="258"/>
        <v>0.22606664657895242</v>
      </c>
      <c r="DL440" s="62">
        <v>2022</v>
      </c>
      <c r="DM440" s="714"/>
      <c r="DN440" s="57">
        <f t="shared" si="259"/>
        <v>34.90839768276339</v>
      </c>
      <c r="DO440" s="75">
        <f>НАСТРОЙКА!DR163</f>
        <v>26.24799389298066</v>
      </c>
      <c r="EB440" s="574">
        <f t="shared" si="260"/>
        <v>34.90839768276339</v>
      </c>
      <c r="ED440" s="62">
        <v>2022</v>
      </c>
      <c r="EE440" s="272"/>
      <c r="EF440" s="683"/>
      <c r="EG440" s="167"/>
      <c r="EH440" s="63">
        <f t="shared" si="261"/>
        <v>2.652322392340033</v>
      </c>
      <c r="EV440" s="711">
        <f t="shared" si="262"/>
        <v>2.652322392340033</v>
      </c>
    </row>
    <row r="441" ht="18" customHeight="1" spans="98:152" x14ac:dyDescent="0.25">
      <c r="CT441" s="62">
        <v>2023</v>
      </c>
      <c r="CU441" s="272"/>
      <c r="CV441" s="683"/>
      <c r="CW441" s="167"/>
      <c r="CX441" s="63">
        <f t="shared" si="257"/>
        <v>0.22603614599961228</v>
      </c>
      <c r="DJ441" s="711">
        <f t="shared" si="258"/>
        <v>0.22603614599961228</v>
      </c>
      <c r="DL441" s="62">
        <v>2023</v>
      </c>
      <c r="DM441" s="714"/>
      <c r="DN441" s="57">
        <f t="shared" si="259"/>
        <v>37.51247387012187</v>
      </c>
      <c r="DO441" s="75">
        <f>НАСТРОЙКА!DR164</f>
        <v>27.560393587629694</v>
      </c>
      <c r="EB441" s="574">
        <f t="shared" si="260"/>
        <v>37.51247387012187</v>
      </c>
      <c r="ED441" s="62">
        <v>2023</v>
      </c>
      <c r="EE441" s="272"/>
      <c r="EF441" s="683"/>
      <c r="EG441" s="167"/>
      <c r="EH441" s="63">
        <f t="shared" si="261"/>
        <v>2.658831438809401</v>
      </c>
      <c r="EV441" s="711">
        <f t="shared" si="262"/>
        <v>2.658831438809401</v>
      </c>
    </row>
    <row r="442" ht="18" customHeight="1" spans="98:152" x14ac:dyDescent="0.25">
      <c r="CT442" s="62">
        <v>2024</v>
      </c>
      <c r="CU442" s="272"/>
      <c r="CV442" s="683"/>
      <c r="CW442" s="167"/>
      <c r="CX442" s="63">
        <f t="shared" si="257"/>
        <v>0.2260178456520082</v>
      </c>
      <c r="DJ442" s="711">
        <f t="shared" si="258"/>
        <v>0.2260178456520082</v>
      </c>
      <c r="DL442" s="62">
        <v>2024</v>
      </c>
      <c r="DM442" s="714"/>
      <c r="DN442" s="57">
        <f t="shared" si="259"/>
        <v>40.33944013792836</v>
      </c>
      <c r="DO442" s="75">
        <f>НАСТРОЙКА!DR165</f>
        <v>28.938413267011178</v>
      </c>
      <c r="EB442" s="574">
        <f t="shared" si="260"/>
        <v>40.33944013792836</v>
      </c>
      <c r="ED442" s="62">
        <v>2024</v>
      </c>
      <c r="EE442" s="272"/>
      <c r="EF442" s="683"/>
      <c r="EG442" s="167"/>
      <c r="EH442" s="63">
        <f t="shared" si="261"/>
        <v>2.662736866691022</v>
      </c>
      <c r="EV442" s="711">
        <f t="shared" si="262"/>
        <v>2.662736866691022</v>
      </c>
    </row>
    <row r="443" ht="18" customHeight="1" spans="98:152" x14ac:dyDescent="0.25">
      <c r="CT443" s="62">
        <v>2025</v>
      </c>
      <c r="CU443" s="272"/>
      <c r="CV443" s="683"/>
      <c r="CW443" s="167"/>
      <c r="CX443" s="63">
        <f t="shared" si="257"/>
        <v>0.22600686544344575</v>
      </c>
      <c r="DJ443" s="711">
        <f t="shared" si="258"/>
        <v>0.22600686544344575</v>
      </c>
      <c r="DL443" s="62">
        <v>2025</v>
      </c>
      <c r="DM443" s="714"/>
      <c r="DN443" s="57">
        <f t="shared" si="259"/>
        <v>43.40994133299096</v>
      </c>
      <c r="DO443" s="75">
        <f>НАСТРОЙКА!DR166</f>
        <v>30.38533393036174</v>
      </c>
      <c r="EB443" s="574">
        <f t="shared" si="260"/>
        <v>43.40994133299096</v>
      </c>
      <c r="ED443" s="62">
        <v>2025</v>
      </c>
      <c r="EE443" s="272"/>
      <c r="EF443" s="683"/>
      <c r="EG443" s="167"/>
      <c r="EH443" s="63">
        <f t="shared" si="261"/>
        <v>2.6650801234199943</v>
      </c>
      <c r="EV443" s="711">
        <f t="shared" si="262"/>
        <v>2.6650801234199943</v>
      </c>
    </row>
    <row r="444" ht="18" customHeight="1" spans="98:152" x14ac:dyDescent="0.25">
      <c r="CT444" s="62">
        <v>2026</v>
      </c>
      <c r="CU444" s="272"/>
      <c r="CV444" s="683"/>
      <c r="CW444" s="167"/>
      <c r="CX444" s="63">
        <f t="shared" si="257"/>
        <v>0.2260002773183083</v>
      </c>
      <c r="DJ444" s="711">
        <f t="shared" si="258"/>
        <v>0.2260002773183083</v>
      </c>
      <c r="DL444" s="62">
        <v>2026</v>
      </c>
      <c r="DM444" s="714"/>
      <c r="DN444" s="57">
        <f t="shared" si="259"/>
        <v>46.746628329593726</v>
      </c>
      <c r="DO444" s="75">
        <f>НАСТРОЙКА!DR167</f>
        <v>31.904600626879827</v>
      </c>
      <c r="EB444" s="574">
        <f t="shared" si="260"/>
        <v>46.746628329593726</v>
      </c>
      <c r="ED444" s="62">
        <v>2026</v>
      </c>
      <c r="EE444" s="272"/>
      <c r="EF444" s="683"/>
      <c r="EG444" s="167"/>
      <c r="EH444" s="63">
        <f t="shared" si="261"/>
        <v>2.6664860774573778</v>
      </c>
      <c r="EV444" s="711">
        <f t="shared" si="262"/>
        <v>2.6664860774573778</v>
      </c>
    </row>
    <row r="445" ht="18" customHeight="1" spans="98:152" x14ac:dyDescent="0.25">
      <c r="CT445" s="62">
        <v>2027</v>
      </c>
      <c r="CU445" s="272"/>
      <c r="CV445" s="683"/>
      <c r="CW445" s="167"/>
      <c r="CX445" s="63">
        <f t="shared" si="257"/>
        <v>0.22599632444322582</v>
      </c>
      <c r="DJ445" s="711">
        <f t="shared" si="258"/>
        <v>0.22599632444322582</v>
      </c>
      <c r="DL445" s="62">
        <v>2027</v>
      </c>
      <c r="DM445" s="714"/>
      <c r="DN445" s="57">
        <f t="shared" si="259"/>
        <v>50.37435814384684</v>
      </c>
      <c r="DO445" s="75">
        <f>НАСТРОЙКА!DR168</f>
        <v>33.49983065822382</v>
      </c>
      <c r="EB445" s="574">
        <f t="shared" si="260"/>
        <v>50.37435814384684</v>
      </c>
      <c r="ED445" s="62">
        <v>2027</v>
      </c>
      <c r="EE445" s="272"/>
      <c r="EF445" s="683"/>
      <c r="EG445" s="167"/>
      <c r="EH445" s="63">
        <f t="shared" si="261"/>
        <v>2.667329649879808</v>
      </c>
      <c r="EV445" s="711">
        <f t="shared" si="262"/>
        <v>2.667329649879808</v>
      </c>
    </row>
    <row r="446" ht="18" customHeight="1" spans="98:152" x14ac:dyDescent="0.25">
      <c r="CT446" s="62">
        <v>2028</v>
      </c>
      <c r="CU446" s="272"/>
      <c r="CV446" s="683"/>
      <c r="CW446" s="167"/>
      <c r="CX446" s="63">
        <f t="shared" si="257"/>
        <v>0.22599395271817632</v>
      </c>
      <c r="DJ446" s="711">
        <f t="shared" si="258"/>
        <v>0.22599395271817632</v>
      </c>
      <c r="DL446" s="62">
        <v>2028</v>
      </c>
      <c r="DM446" s="714"/>
      <c r="DN446" s="57">
        <f t="shared" si="259"/>
        <v>54.32041428458438</v>
      </c>
      <c r="DO446" s="75">
        <f>НАСТРОЙКА!DR169</f>
        <v>35.174822191135014</v>
      </c>
      <c r="EB446" s="574">
        <f t="shared" si="260"/>
        <v>54.32041428458438</v>
      </c>
      <c r="ED446" s="62">
        <v>2028</v>
      </c>
      <c r="EE446" s="272"/>
      <c r="EF446" s="683"/>
      <c r="EG446" s="167"/>
      <c r="EH446" s="63">
        <f t="shared" si="261"/>
        <v>2.667835793333266</v>
      </c>
      <c r="EV446" s="711">
        <f t="shared" si="262"/>
        <v>2.667835793333266</v>
      </c>
    </row>
    <row r="447" ht="18" customHeight="1" spans="98:152" x14ac:dyDescent="0.25">
      <c r="CT447" s="62">
        <v>2029</v>
      </c>
      <c r="CU447" s="272"/>
      <c r="CV447" s="683"/>
      <c r="CW447" s="167"/>
      <c r="CX447" s="63">
        <f t="shared" si="257"/>
        <v>0.22599252968314662</v>
      </c>
      <c r="DJ447" s="711">
        <f t="shared" si="258"/>
        <v>0.22599252968314662</v>
      </c>
      <c r="DL447" s="62">
        <v>2029</v>
      </c>
      <c r="DM447" s="714"/>
      <c r="DN447" s="57">
        <f t="shared" si="259"/>
        <v>58.61474940129718</v>
      </c>
      <c r="DO447" s="75">
        <f>НАСТРОЙКА!DR170</f>
        <v>36.933563300691766</v>
      </c>
      <c r="EB447" s="574">
        <f t="shared" si="260"/>
        <v>58.61474940129718</v>
      </c>
      <c r="ED447" s="62">
        <v>2029</v>
      </c>
      <c r="EE447" s="272"/>
      <c r="EF447" s="683"/>
      <c r="EG447" s="167"/>
      <c r="EH447" s="63">
        <f t="shared" si="261"/>
        <v>2.668139479405341</v>
      </c>
      <c r="EV447" s="711">
        <f t="shared" si="262"/>
        <v>2.668139479405341</v>
      </c>
    </row>
    <row r="448" ht="18" customHeight="1" spans="98:152" x14ac:dyDescent="0.25">
      <c r="CT448" s="62">
        <v>2030</v>
      </c>
      <c r="CU448" s="112"/>
      <c r="CV448" s="683"/>
      <c r="CW448" s="167"/>
      <c r="CX448" s="63">
        <f t="shared" si="257"/>
        <v>0.2259916758621288</v>
      </c>
      <c r="DJ448" s="711">
        <f t="shared" si="258"/>
        <v>0.2259916758621288</v>
      </c>
      <c r="DL448" s="62">
        <v>2030</v>
      </c>
      <c r="DM448" s="714"/>
      <c r="DN448" s="57">
        <f t="shared" si="259"/>
        <v>63.29025250010019</v>
      </c>
      <c r="DO448" s="75">
        <f>НАСТРОЙКА!DR171</f>
        <v>38.780241465726355</v>
      </c>
      <c r="EB448" s="574">
        <f t="shared" si="260"/>
        <v>63.29025250010019</v>
      </c>
      <c r="ED448" s="62">
        <v>2030</v>
      </c>
      <c r="EE448" s="112"/>
      <c r="EF448" s="683"/>
      <c r="EG448" s="167"/>
      <c r="EH448" s="63">
        <f t="shared" si="261"/>
        <v>2.6683216910485856</v>
      </c>
      <c r="EV448" s="711">
        <f t="shared" si="262"/>
        <v>2.6683216910485856</v>
      </c>
    </row>
    <row r="449" ht="18" customHeight="1" spans="98:152" x14ac:dyDescent="0.25">
      <c r="CT449" s="62">
        <v>2031</v>
      </c>
      <c r="CU449" s="112"/>
      <c r="CV449" s="683"/>
      <c r="CW449" s="167"/>
      <c r="CX449" s="63">
        <f t="shared" si="257"/>
        <v>0.2259911635695181</v>
      </c>
      <c r="DJ449" s="711">
        <f t="shared" si="258"/>
        <v>0.2259911635695181</v>
      </c>
      <c r="DL449" s="62">
        <v>2031</v>
      </c>
      <c r="DM449" s="714"/>
      <c r="DN449" s="57">
        <f t="shared" si="259"/>
        <v>68.38304323078901</v>
      </c>
      <c r="DO449" s="75">
        <f>НАСТРОЙКА!DR172</f>
        <v>40.719253539012676</v>
      </c>
      <c r="EB449" s="574">
        <f t="shared" si="260"/>
        <v>68.38304323078901</v>
      </c>
      <c r="ED449" s="62">
        <v>2031</v>
      </c>
      <c r="EE449" s="112"/>
      <c r="EF449" s="683"/>
      <c r="EG449" s="167"/>
      <c r="EH449" s="63">
        <f t="shared" si="261"/>
        <v>2.6684310180345325</v>
      </c>
      <c r="EV449" s="711">
        <f t="shared" si="262"/>
        <v>2.6684310180345325</v>
      </c>
    </row>
    <row r="450" ht="18" customHeight="1" spans="98:152" x14ac:dyDescent="0.25">
      <c r="CT450" s="62">
        <v>2032</v>
      </c>
      <c r="CU450" s="112"/>
      <c r="CV450" s="683"/>
      <c r="CW450" s="167"/>
      <c r="CX450" s="63">
        <f t="shared" si="257"/>
        <v>0.22599085619395168</v>
      </c>
      <c r="DJ450" s="711">
        <f t="shared" si="258"/>
        <v>0.22599085619395168</v>
      </c>
      <c r="DL450" s="62">
        <v>2032</v>
      </c>
      <c r="DM450" s="714"/>
      <c r="DN450" s="57">
        <f t="shared" si="259"/>
        <v>73.93279600384489</v>
      </c>
      <c r="DO450" s="75">
        <f>НАСТРОЙКА!DR173</f>
        <v>42.755216215963316</v>
      </c>
      <c r="EB450" s="574">
        <f t="shared" si="260"/>
        <v>73.93279600384489</v>
      </c>
      <c r="ED450" s="62">
        <v>2032</v>
      </c>
      <c r="EE450" s="112"/>
      <c r="EF450" s="683"/>
      <c r="EG450" s="167"/>
      <c r="EH450" s="63">
        <f t="shared" si="261"/>
        <v>2.668496614226101</v>
      </c>
      <c r="EV450" s="711">
        <f t="shared" si="262"/>
        <v>2.668496614226101</v>
      </c>
    </row>
    <row r="451" ht="18" customHeight="1" spans="98:152" x14ac:dyDescent="0.25">
      <c r="CT451" s="62">
        <v>2033</v>
      </c>
      <c r="CU451" s="112"/>
      <c r="CV451" s="683"/>
      <c r="CW451" s="167"/>
      <c r="CX451" s="63">
        <f t="shared" si="257"/>
        <v>0.22599067176861182</v>
      </c>
      <c r="DJ451" s="711">
        <f t="shared" si="258"/>
        <v>0.22599067176861182</v>
      </c>
      <c r="DL451" s="62">
        <v>2033</v>
      </c>
      <c r="DM451" s="714"/>
      <c r="DN451" s="57">
        <f t="shared" si="259"/>
        <v>79.98309697823396</v>
      </c>
      <c r="DO451" s="75">
        <f>НАСТРОЙКА!DR174</f>
        <v>44.892977026761486</v>
      </c>
      <c r="EB451" s="574">
        <f t="shared" si="260"/>
        <v>79.98309697823396</v>
      </c>
      <c r="ED451" s="62">
        <v>2033</v>
      </c>
      <c r="EE451" s="112"/>
      <c r="EF451" s="683"/>
      <c r="EG451" s="167"/>
      <c r="EH451" s="63">
        <f t="shared" si="261"/>
        <v>2.6685359719410418</v>
      </c>
      <c r="EV451" s="711">
        <f t="shared" si="262"/>
        <v>2.6685359719410418</v>
      </c>
    </row>
    <row r="452" ht="18" customHeight="1" spans="98:152" x14ac:dyDescent="0.25">
      <c r="CT452" s="62">
        <v>2034</v>
      </c>
      <c r="CU452" s="112"/>
      <c r="CV452" s="683"/>
      <c r="CW452" s="167"/>
      <c r="CX452" s="63">
        <f t="shared" si="257"/>
        <v>0.2259905611134079</v>
      </c>
      <c r="DJ452" s="711">
        <f t="shared" si="258"/>
        <v>0.2259905611134079</v>
      </c>
      <c r="DL452" s="62">
        <v>2034</v>
      </c>
      <c r="DM452" s="714"/>
      <c r="DN452" s="57">
        <f t="shared" si="259"/>
        <v>86.58183727169767</v>
      </c>
      <c r="DO452" s="75">
        <f>НАСТРОЙКА!DR175</f>
        <v>47.13762587809956</v>
      </c>
      <c r="EB452" s="574">
        <f t="shared" si="260"/>
        <v>86.58183727169767</v>
      </c>
      <c r="ED452" s="62">
        <v>2034</v>
      </c>
      <c r="EE452" s="112"/>
      <c r="EF452" s="683"/>
      <c r="EG452" s="167"/>
      <c r="EH452" s="63">
        <f t="shared" si="261"/>
        <v>2.6685595865700065</v>
      </c>
      <c r="EV452" s="711">
        <f t="shared" si="262"/>
        <v>2.6685595865700065</v>
      </c>
    </row>
    <row r="453" ht="18" customHeight="1" spans="98:152" x14ac:dyDescent="0.25">
      <c r="CT453" s="34">
        <v>2035</v>
      </c>
      <c r="CU453" s="185"/>
      <c r="CV453" s="690"/>
      <c r="CW453" s="179"/>
      <c r="CX453" s="87">
        <f t="shared" si="257"/>
        <v>0.22599049472028554</v>
      </c>
      <c r="DJ453" s="715">
        <f t="shared" si="258"/>
        <v>0.22599049472028554</v>
      </c>
      <c r="DL453" s="34">
        <v>2035</v>
      </c>
      <c r="DM453" s="716"/>
      <c r="DN453" s="94">
        <f t="shared" si="259"/>
        <v>93.78164608790115</v>
      </c>
      <c r="DO453" s="36">
        <f>НАСТРОЙКА!DR176</f>
        <v>49.494507172004546</v>
      </c>
      <c r="EB453" s="386">
        <f t="shared" si="260"/>
        <v>93.78164608790115</v>
      </c>
      <c r="ED453" s="34">
        <v>2035</v>
      </c>
      <c r="EE453" s="185"/>
      <c r="EF453" s="690"/>
      <c r="EG453" s="179"/>
      <c r="EH453" s="87">
        <f t="shared" si="261"/>
        <v>2.6685737553473854</v>
      </c>
      <c r="EV453" s="711">
        <f t="shared" si="262"/>
        <v>2.6685737553473854</v>
      </c>
    </row>
    <row r="551" ht="16" customHeight="1" spans="54:54" x14ac:dyDescent="0.25">
      <c r="BB551" s="145"/>
    </row>
    <row r="604" ht="19.5" customHeight="1" x14ac:dyDescent="0.25"/>
    <row r="605" ht="18" customHeight="1" spans="101:124" x14ac:dyDescent="0.25">
      <c r="CW605" s="682"/>
      <c r="CX605" s="682"/>
      <c r="CY605" s="682"/>
      <c r="CZ605" s="682"/>
      <c r="DA605" s="682"/>
      <c r="DB605" s="682"/>
      <c r="DC605" s="717"/>
      <c r="DD605" s="682"/>
      <c r="DE605" s="682"/>
      <c r="DF605" s="682"/>
      <c r="DG605" s="682"/>
      <c r="DH605" s="682"/>
      <c r="DI605" s="682"/>
      <c r="DJ605" s="682"/>
      <c r="DL605" s="682"/>
      <c r="DM605" s="682"/>
      <c r="DN605" s="682"/>
      <c r="DO605" s="682"/>
      <c r="DP605" s="682"/>
      <c r="DQ605" s="682"/>
      <c r="DR605" s="682"/>
      <c r="DS605" s="682"/>
      <c r="DT605" s="682"/>
    </row>
    <row r="606" ht="21" customHeight="1" spans="101:154" x14ac:dyDescent="0.25">
      <c r="CW606" s="682"/>
      <c r="CX606" s="682"/>
      <c r="CY606" s="718" t="s">
        <v>13</v>
      </c>
      <c r="CZ606" s="719" t="s">
        <v>306</v>
      </c>
      <c r="DA606" s="470" t="s">
        <v>788</v>
      </c>
      <c r="DB606" s="564" t="s">
        <v>631</v>
      </c>
      <c r="DC606" s="720" t="s">
        <v>789</v>
      </c>
      <c r="DD606" s="589" t="s">
        <v>644</v>
      </c>
      <c r="DE606" s="564" t="s">
        <v>631</v>
      </c>
      <c r="DF606" s="564" t="s">
        <v>631</v>
      </c>
      <c r="DG606" s="682"/>
      <c r="DH606" s="682"/>
      <c r="DI606" s="682"/>
      <c r="DJ606" s="682"/>
      <c r="DK606" s="682"/>
      <c r="DL606" s="682"/>
      <c r="DM606" s="682"/>
      <c r="DN606" s="682"/>
      <c r="DO606" s="682"/>
      <c r="DP606" s="682"/>
      <c r="DQ606" s="682"/>
      <c r="DR606" s="682"/>
      <c r="DS606" s="682"/>
      <c r="DT606" s="682"/>
      <c r="DU606" s="564" t="s">
        <v>631</v>
      </c>
      <c r="DZ606" s="718" t="s">
        <v>13</v>
      </c>
      <c r="EA606" s="721" t="s">
        <v>790</v>
      </c>
      <c r="EB606" s="721" t="s">
        <v>652</v>
      </c>
      <c r="EC606" s="722" t="s">
        <v>24</v>
      </c>
      <c r="EF606" s="682"/>
      <c r="EG606" s="682"/>
      <c r="EH606" s="682"/>
      <c r="EI606" s="682"/>
      <c r="EJ606" s="682"/>
      <c r="EK606" s="682"/>
      <c r="EL606" s="682"/>
      <c r="EM606" s="682"/>
      <c r="EN606" s="682"/>
      <c r="EO606" s="682"/>
      <c r="ES606" s="718" t="s">
        <v>13</v>
      </c>
      <c r="ET606" s="719" t="s">
        <v>306</v>
      </c>
      <c r="EU606" s="719" t="s">
        <v>336</v>
      </c>
      <c r="EV606" s="719" t="s">
        <v>116</v>
      </c>
      <c r="EW606" s="719" t="s">
        <v>791</v>
      </c>
      <c r="EX606" s="719" t="s">
        <v>792</v>
      </c>
    </row>
    <row r="607" ht="18" customHeight="1" spans="101:154" x14ac:dyDescent="0.25">
      <c r="CW607" s="682"/>
      <c r="CX607" s="682"/>
      <c r="CY607" s="324">
        <v>43671</v>
      </c>
      <c r="CZ607" s="723" t="s">
        <v>721</v>
      </c>
      <c r="DA607" s="724" t="s">
        <v>55</v>
      </c>
      <c r="DB607" s="570" t="s">
        <v>55</v>
      </c>
      <c r="DC607" s="724" t="s">
        <v>55</v>
      </c>
      <c r="DD607" s="724" t="s">
        <v>55</v>
      </c>
      <c r="DE607" s="130" t="s">
        <v>117</v>
      </c>
      <c r="DF607" s="40" t="s">
        <v>118</v>
      </c>
      <c r="DG607" s="682"/>
      <c r="DH607" s="682"/>
      <c r="DI607" s="682"/>
      <c r="DJ607" s="682"/>
      <c r="DK607" s="682"/>
      <c r="DL607" s="682"/>
      <c r="DM607" s="682"/>
      <c r="DN607" s="682"/>
      <c r="DO607" s="682"/>
      <c r="DP607" s="682"/>
      <c r="DQ607" s="682"/>
      <c r="DR607" s="682"/>
      <c r="DS607" s="682"/>
      <c r="DT607" s="682"/>
      <c r="DU607" s="570" t="s">
        <v>699</v>
      </c>
      <c r="DZ607" s="129">
        <v>43678</v>
      </c>
      <c r="EA607" s="656" t="s">
        <v>56</v>
      </c>
      <c r="EB607" s="656" t="s">
        <v>56</v>
      </c>
      <c r="EC607" s="655" t="s">
        <v>56</v>
      </c>
      <c r="EF607" s="682"/>
      <c r="EG607" s="682"/>
      <c r="EH607" s="682"/>
      <c r="EI607" s="682"/>
      <c r="EJ607" s="682"/>
      <c r="EK607" s="682"/>
      <c r="EL607" s="682"/>
      <c r="EM607" s="682"/>
      <c r="EN607" s="682"/>
      <c r="EO607" s="682"/>
      <c r="ES607" s="725">
        <v>43678</v>
      </c>
      <c r="ET607" s="656" t="s">
        <v>56</v>
      </c>
      <c r="EU607" s="656" t="s">
        <v>56</v>
      </c>
      <c r="EV607" s="656" t="s">
        <v>56</v>
      </c>
      <c r="EW607" s="724" t="s">
        <v>55</v>
      </c>
      <c r="EX607" s="724" t="s">
        <v>55</v>
      </c>
    </row>
    <row r="608" ht="17.5" customHeight="1" spans="101:154" x14ac:dyDescent="0.25">
      <c r="CW608" s="668">
        <v>363.362</v>
      </c>
      <c r="CX608" s="682"/>
      <c r="CY608" s="481">
        <v>1995</v>
      </c>
      <c r="CZ608" s="404">
        <v>0.363362</v>
      </c>
      <c r="DA608" s="321">
        <v>1</v>
      </c>
      <c r="DB608" s="321">
        <v>1</v>
      </c>
      <c r="DC608" s="322">
        <v>1</v>
      </c>
      <c r="DD608" s="322">
        <v>1</v>
      </c>
      <c r="DE608" s="326">
        <v>1</v>
      </c>
      <c r="DF608" s="712"/>
      <c r="DG608" s="682"/>
      <c r="DH608" s="682"/>
      <c r="DI608" s="682"/>
      <c r="DJ608" s="682"/>
      <c r="DK608" s="682"/>
      <c r="DL608" s="682"/>
      <c r="DM608" s="682"/>
      <c r="DN608" s="682"/>
      <c r="DO608" s="682"/>
      <c r="DP608" s="682"/>
      <c r="DQ608" s="682"/>
      <c r="DR608" s="682"/>
      <c r="DS608" s="682"/>
      <c r="DT608" s="682"/>
      <c r="DU608" s="555">
        <f>DB608</f>
        <v>1</v>
      </c>
      <c r="DZ608" s="726">
        <v>1995</v>
      </c>
      <c r="EA608" s="138">
        <f t="array" ref="EA608:EA629">TRANSPOSE(U177:AP177)</f>
        <v>301.117</v>
      </c>
      <c r="EB608" s="140">
        <f>CZ650</f>
        <v>230.407</v>
      </c>
      <c r="EC608" s="727">
        <f t="array" ref="EC608:EC629">TRANSPOSE(U195:AP195)</f>
        <v>266.974</v>
      </c>
      <c r="EF608" s="682"/>
      <c r="EG608" s="682"/>
      <c r="EH608" s="682"/>
      <c r="EI608" s="682"/>
      <c r="EJ608" s="682"/>
      <c r="EK608" s="682"/>
      <c r="EL608" s="682"/>
      <c r="EM608" s="682"/>
      <c r="EN608" s="682"/>
      <c r="EO608" s="682"/>
      <c r="ES608" s="481">
        <v>1995</v>
      </c>
      <c r="ET608" s="138">
        <f t="array" ref="ET608:ET629">TRANSPOSE(U61:AP61)</f>
        <v>363.362</v>
      </c>
      <c r="EU608" s="138">
        <f t="array" ref="EU608:EU629">TRANSPOSE(U79:AP79)</f>
        <v>266.974</v>
      </c>
      <c r="EV608" s="140">
        <f t="array" ref="EV608:EV629">TRANSPOSE(U67:AP67)</f>
        <v>1428.5209</v>
      </c>
      <c r="EW608" s="201">
        <f t="shared" ref="EW608:EW629" si="263">ET608/EV608</f>
        <v>0.2543623967979748</v>
      </c>
      <c r="EX608" s="201">
        <f>EU608/EV608</f>
        <v>0.1868884102430703</v>
      </c>
    </row>
    <row r="609" ht="17.5" customHeight="1" spans="101:154" x14ac:dyDescent="0.25">
      <c r="CW609" s="668">
        <v>475.2564</v>
      </c>
      <c r="CX609" s="682"/>
      <c r="CY609" s="481">
        <v>1996</v>
      </c>
      <c r="CZ609" s="728">
        <v>0.47525639999999997</v>
      </c>
      <c r="DA609" s="57">
        <v>0.86</v>
      </c>
      <c r="DB609" s="57">
        <v>1.5208627234830072</v>
      </c>
      <c r="DC609" s="326">
        <f>DD609</f>
        <v>0</v>
      </c>
      <c r="DD609" s="326">
        <f t="shared" ref="DD609:DD643" si="264">DT185</f>
        <v>0</v>
      </c>
      <c r="DE609" s="326">
        <f>DB609</f>
        <v>1.5208627234830072</v>
      </c>
      <c r="DF609" s="576"/>
      <c r="DG609" s="682"/>
      <c r="DH609" s="682"/>
      <c r="DI609" s="682"/>
      <c r="DJ609" s="682"/>
      <c r="DK609" s="682"/>
      <c r="DL609" s="682"/>
      <c r="DM609" s="682"/>
      <c r="DN609" s="682"/>
      <c r="DO609" s="682"/>
      <c r="DP609" s="682"/>
      <c r="DQ609" s="682"/>
      <c r="DR609" s="682"/>
      <c r="DS609" s="682"/>
      <c r="DT609" s="682"/>
      <c r="DU609" s="574">
        <f>DB609</f>
        <v>1.5208627234830072</v>
      </c>
      <c r="DZ609" s="726">
        <v>1996</v>
      </c>
      <c r="EA609" s="547">
        <v>237.28019600000002</v>
      </c>
      <c r="EB609" s="55">
        <f t="shared" ref="EB609:EB629" si="265">DX651</f>
        <v>197.18216614420064</v>
      </c>
      <c r="EC609" s="333">
        <v>218.651706</v>
      </c>
      <c r="EF609" s="682"/>
      <c r="EG609" s="682"/>
      <c r="EH609" s="682"/>
      <c r="EI609" s="682"/>
      <c r="EJ609" s="682"/>
      <c r="EK609" s="682"/>
      <c r="EL609" s="682"/>
      <c r="EM609" s="682"/>
      <c r="EN609" s="682"/>
      <c r="EO609" s="682"/>
      <c r="ES609" s="481">
        <v>1996</v>
      </c>
      <c r="ET609" s="547">
        <v>475.2564</v>
      </c>
      <c r="EU609" s="547">
        <v>375.958</v>
      </c>
      <c r="EV609" s="55">
        <v>2007.8252000000002</v>
      </c>
      <c r="EW609" s="75">
        <f t="shared" si="263"/>
        <v>0.2367020794439675</v>
      </c>
      <c r="EX609" s="75">
        <f>EU609/EV609</f>
        <v>0.18724637981433842</v>
      </c>
    </row>
    <row r="610" ht="17.5" customHeight="1" spans="101:154" x14ac:dyDescent="0.25">
      <c r="CW610" s="668">
        <v>514.8013</v>
      </c>
      <c r="CX610" s="682"/>
      <c r="CY610" s="481">
        <v>1997</v>
      </c>
      <c r="CZ610" s="728">
        <v>0.5148013</v>
      </c>
      <c r="DA610" s="57">
        <v>0.8247399999999999</v>
      </c>
      <c r="DB610" s="57">
        <v>1.7178414165358658</v>
      </c>
      <c r="DC610" s="326">
        <f t="shared" ref="DC610:DC629" si="266">DD610</f>
        <v>0</v>
      </c>
      <c r="DD610" s="326">
        <f t="shared" si="264"/>
        <v>0</v>
      </c>
      <c r="DE610" s="326">
        <f t="shared" ref="DE610:DE622" si="267">DB610</f>
        <v>1.7178414165358658</v>
      </c>
      <c r="DF610" s="576"/>
      <c r="DG610" s="682"/>
      <c r="DH610" s="682"/>
      <c r="DI610" s="682"/>
      <c r="DJ610" s="682"/>
      <c r="DK610" s="682"/>
      <c r="DL610" s="682"/>
      <c r="DM610" s="682"/>
      <c r="DN610" s="682"/>
      <c r="DO610" s="682"/>
      <c r="DP610" s="682"/>
      <c r="DQ610" s="682"/>
      <c r="DR610" s="682"/>
      <c r="DS610" s="682"/>
      <c r="DT610" s="682"/>
      <c r="DU610" s="574">
        <f t="shared" ref="DU610:DU629" si="268">DB610</f>
        <v>1.7178414165358658</v>
      </c>
      <c r="DZ610" s="726">
        <v>1997</v>
      </c>
      <c r="EA610" s="547">
        <v>218.53506051600002</v>
      </c>
      <c r="EB610" s="55">
        <f t="shared" si="265"/>
        <v>168.2910062695925</v>
      </c>
      <c r="EC610" s="333">
        <v>207.7191207</v>
      </c>
      <c r="EF610" s="682"/>
      <c r="EG610" s="682"/>
      <c r="EH610" s="682"/>
      <c r="EI610" s="682"/>
      <c r="EJ610" s="682"/>
      <c r="EK610" s="682"/>
      <c r="EL610" s="682"/>
      <c r="EM610" s="682"/>
      <c r="EN610" s="682"/>
      <c r="EO610" s="682"/>
      <c r="ES610" s="481">
        <v>1997</v>
      </c>
      <c r="ET610" s="547">
        <v>514.8013</v>
      </c>
      <c r="EU610" s="547">
        <v>408.797</v>
      </c>
      <c r="EV610" s="55">
        <v>2342.5137</v>
      </c>
      <c r="EW610" s="75">
        <f t="shared" si="263"/>
        <v>0.21976447779152794</v>
      </c>
      <c r="EX610" s="75">
        <f t="shared" ref="EX610:EX629" si="269">EU610/EV610</f>
        <v>0.17451210637530104</v>
      </c>
    </row>
    <row r="611" ht="17.5" customHeight="1" spans="101:154" x14ac:dyDescent="0.25">
      <c r="CW611" s="668">
        <v>393.4822</v>
      </c>
      <c r="CX611" s="682"/>
      <c r="CY611" s="481">
        <v>1998</v>
      </c>
      <c r="CZ611" s="728">
        <v>0.3934822</v>
      </c>
      <c r="DA611" s="57">
        <v>0.45195752</v>
      </c>
      <c r="DB611" s="57">
        <v>2.396006361037087</v>
      </c>
      <c r="DC611" s="326">
        <f t="shared" si="266"/>
        <v>0</v>
      </c>
      <c r="DD611" s="326">
        <f t="shared" si="264"/>
        <v>0</v>
      </c>
      <c r="DE611" s="326">
        <f t="shared" si="267"/>
        <v>2.396006361037087</v>
      </c>
      <c r="DF611" s="576"/>
      <c r="DG611" s="682"/>
      <c r="DH611" s="682"/>
      <c r="DI611" s="682"/>
      <c r="DJ611" s="682"/>
      <c r="DK611" s="682"/>
      <c r="DL611" s="682"/>
      <c r="DM611" s="682"/>
      <c r="DN611" s="682"/>
      <c r="DO611" s="682"/>
      <c r="DP611" s="682"/>
      <c r="DQ611" s="682"/>
      <c r="DR611" s="682"/>
      <c r="DS611" s="682"/>
      <c r="DT611" s="682"/>
      <c r="DU611" s="574">
        <f t="shared" si="268"/>
        <v>2.396006361037087</v>
      </c>
      <c r="DZ611" s="726">
        <v>1998</v>
      </c>
      <c r="EA611" s="547">
        <v>191.436713012016</v>
      </c>
      <c r="EB611" s="55">
        <f t="shared" si="265"/>
        <v>160.34593730407522</v>
      </c>
      <c r="EC611" s="333">
        <v>182.79282621599998</v>
      </c>
      <c r="EF611" s="682"/>
      <c r="EG611" s="682"/>
      <c r="EH611" s="682"/>
      <c r="EI611" s="682"/>
      <c r="EJ611" s="682"/>
      <c r="EK611" s="682"/>
      <c r="EL611" s="682"/>
      <c r="EM611" s="682"/>
      <c r="EN611" s="682"/>
      <c r="EO611" s="682"/>
      <c r="ES611" s="481">
        <v>1998</v>
      </c>
      <c r="ET611" s="547">
        <v>393.4822</v>
      </c>
      <c r="EU611" s="547">
        <v>407.086</v>
      </c>
      <c r="EV611" s="55">
        <v>2629.6229</v>
      </c>
      <c r="EW611" s="75">
        <f t="shared" si="263"/>
        <v>0.1496344589941014</v>
      </c>
      <c r="EX611" s="75">
        <f t="shared" si="269"/>
        <v>0.15480774828968824</v>
      </c>
    </row>
    <row r="612" ht="17.5" customHeight="1" spans="101:154" x14ac:dyDescent="0.25">
      <c r="CW612" s="668">
        <v>715.3195</v>
      </c>
      <c r="CX612" s="682"/>
      <c r="CY612" s="481">
        <v>1999</v>
      </c>
      <c r="CZ612" s="728">
        <v>0.7153195</v>
      </c>
      <c r="DA612" s="57">
        <v>0.42212832368000003</v>
      </c>
      <c r="DB612" s="57">
        <v>4.663543841500786</v>
      </c>
      <c r="DC612" s="326">
        <f t="shared" si="266"/>
        <v>0</v>
      </c>
      <c r="DD612" s="326">
        <f t="shared" si="264"/>
        <v>0</v>
      </c>
      <c r="DE612" s="326">
        <f t="shared" si="267"/>
        <v>4.663543841500786</v>
      </c>
      <c r="DF612" s="576"/>
      <c r="DG612" s="682"/>
      <c r="DH612" s="682"/>
      <c r="DI612" s="682"/>
      <c r="DJ612" s="682"/>
      <c r="DK612" s="682"/>
      <c r="DL612" s="682"/>
      <c r="DM612" s="682"/>
      <c r="DN612" s="682"/>
      <c r="DO612" s="682"/>
      <c r="DP612" s="682"/>
      <c r="DQ612" s="682"/>
      <c r="DR612" s="682"/>
      <c r="DS612" s="682"/>
      <c r="DT612" s="682"/>
      <c r="DU612" s="574">
        <f t="shared" si="268"/>
        <v>4.663543841500786</v>
      </c>
      <c r="DZ612" s="726">
        <v>1999</v>
      </c>
      <c r="EA612" s="547">
        <v>203.68866264478504</v>
      </c>
      <c r="EB612" s="55">
        <f t="shared" si="265"/>
        <v>171.18012225705328</v>
      </c>
      <c r="EC612" s="333">
        <v>191.9324675268</v>
      </c>
      <c r="EF612" s="682"/>
      <c r="EG612" s="682"/>
      <c r="EH612" s="682"/>
      <c r="EI612" s="682"/>
      <c r="EJ612" s="682"/>
      <c r="EK612" s="682"/>
      <c r="EL612" s="682"/>
      <c r="EM612" s="682"/>
      <c r="EN612" s="682"/>
      <c r="EO612" s="682"/>
      <c r="ES612" s="481">
        <v>1999</v>
      </c>
      <c r="ET612" s="547">
        <v>715.3195</v>
      </c>
      <c r="EU612" s="547">
        <v>670.439</v>
      </c>
      <c r="EV612" s="55">
        <v>4823.2329</v>
      </c>
      <c r="EW612" s="75">
        <f t="shared" si="263"/>
        <v>0.14830706184642253</v>
      </c>
      <c r="EX612" s="75">
        <f t="shared" si="269"/>
        <v>0.13900199594342624</v>
      </c>
    </row>
    <row r="613" ht="17.5" customHeight="1" spans="101:154" x14ac:dyDescent="0.25">
      <c r="CW613" s="668">
        <v>1365.7338</v>
      </c>
      <c r="CX613" s="682"/>
      <c r="CY613" s="481">
        <v>2000</v>
      </c>
      <c r="CZ613" s="728">
        <v>1.3657337999999999</v>
      </c>
      <c r="DA613" s="57">
        <v>0.73956882308736</v>
      </c>
      <c r="DB613" s="57">
        <v>5.082155573958844</v>
      </c>
      <c r="DC613" s="326">
        <f t="shared" si="266"/>
        <v>0</v>
      </c>
      <c r="DD613" s="326">
        <f t="shared" si="264"/>
        <v>0</v>
      </c>
      <c r="DE613" s="326">
        <f t="shared" si="267"/>
        <v>5.082155573958844</v>
      </c>
      <c r="DF613" s="576"/>
      <c r="DG613" s="682"/>
      <c r="DH613" s="682"/>
      <c r="DI613" s="682"/>
      <c r="DJ613" s="682"/>
      <c r="DK613" s="682"/>
      <c r="DL613" s="682"/>
      <c r="DM613" s="682"/>
      <c r="DN613" s="682"/>
      <c r="DO613" s="682"/>
      <c r="DP613" s="682"/>
      <c r="DQ613" s="682"/>
      <c r="DR613" s="682"/>
      <c r="DS613" s="682"/>
      <c r="DT613" s="682"/>
      <c r="DU613" s="574">
        <f t="shared" si="268"/>
        <v>5.082155573958844</v>
      </c>
      <c r="DZ613" s="726">
        <v>2000</v>
      </c>
      <c r="EA613" s="547">
        <v>240.55631058349115</v>
      </c>
      <c r="EB613" s="55">
        <f t="shared" si="265"/>
        <v>213.79458307210035</v>
      </c>
      <c r="EC613" s="333">
        <v>225.32871687646318</v>
      </c>
      <c r="EF613" s="682"/>
      <c r="EG613" s="682"/>
      <c r="EH613" s="682"/>
      <c r="EI613" s="682"/>
      <c r="EJ613" s="682"/>
      <c r="EK613" s="682"/>
      <c r="EL613" s="682"/>
      <c r="EM613" s="682"/>
      <c r="EN613" s="682"/>
      <c r="EO613" s="682"/>
      <c r="ES613" s="481">
        <v>2000</v>
      </c>
      <c r="ET613" s="547">
        <v>1365.7338</v>
      </c>
      <c r="EU613" s="547">
        <v>1165.234</v>
      </c>
      <c r="EV613" s="55">
        <v>7305.6466</v>
      </c>
      <c r="EW613" s="75">
        <f t="shared" si="263"/>
        <v>0.18694222082957038</v>
      </c>
      <c r="EX613" s="75">
        <f t="shared" si="269"/>
        <v>0.1594977233089813</v>
      </c>
    </row>
    <row r="614" ht="17.5" customHeight="1" spans="101:154" x14ac:dyDescent="0.25">
      <c r="CW614" s="668">
        <v>1963.1104</v>
      </c>
      <c r="CX614" s="682"/>
      <c r="CY614" s="481">
        <v>2001</v>
      </c>
      <c r="CZ614" s="728">
        <v>1.9631104</v>
      </c>
      <c r="DA614" s="57">
        <v>0.8630768165429492</v>
      </c>
      <c r="DB614" s="57">
        <v>6.2597323676099625</v>
      </c>
      <c r="DC614" s="326">
        <f t="shared" si="266"/>
        <v>0</v>
      </c>
      <c r="DD614" s="326">
        <f t="shared" si="264"/>
        <v>0</v>
      </c>
      <c r="DE614" s="326">
        <f t="shared" si="267"/>
        <v>6.2597323676099625</v>
      </c>
      <c r="DF614" s="576"/>
      <c r="DG614" s="682"/>
      <c r="DH614" s="682"/>
      <c r="DI614" s="682"/>
      <c r="DJ614" s="682"/>
      <c r="DK614" s="682"/>
      <c r="DL614" s="682"/>
      <c r="DM614" s="682"/>
      <c r="DN614" s="682"/>
      <c r="DO614" s="682"/>
      <c r="DP614" s="682"/>
      <c r="DQ614" s="682"/>
      <c r="DR614" s="682"/>
      <c r="DS614" s="682"/>
      <c r="DT614" s="682"/>
      <c r="DU614" s="574">
        <f t="shared" si="268"/>
        <v>6.2597323676099625</v>
      </c>
      <c r="DZ614" s="726">
        <v>2001</v>
      </c>
      <c r="EA614" s="547">
        <v>265.0930542630073</v>
      </c>
      <c r="EB614" s="55">
        <f t="shared" si="265"/>
        <v>254.24220689655172</v>
      </c>
      <c r="EC614" s="333">
        <v>247.86158856410952</v>
      </c>
      <c r="EF614" s="682"/>
      <c r="EG614" s="682"/>
      <c r="EH614" s="682"/>
      <c r="EI614" s="682"/>
      <c r="EJ614" s="682"/>
      <c r="EK614" s="682"/>
      <c r="EL614" s="682"/>
      <c r="EM614" s="682"/>
      <c r="EN614" s="682"/>
      <c r="EO614" s="682"/>
      <c r="ES614" s="481">
        <v>2001</v>
      </c>
      <c r="ET614" s="547">
        <v>1963.1104</v>
      </c>
      <c r="EU614" s="547">
        <v>1504.7</v>
      </c>
      <c r="EV614" s="55">
        <v>8943.5826</v>
      </c>
      <c r="EW614" s="75">
        <f t="shared" si="263"/>
        <v>0.21949933128587643</v>
      </c>
      <c r="EX614" s="75">
        <f t="shared" si="269"/>
        <v>0.16824354034590122</v>
      </c>
    </row>
    <row r="615" ht="17.5" customHeight="1" spans="101:154" x14ac:dyDescent="0.25">
      <c r="CW615" s="668">
        <v>2169.3</v>
      </c>
      <c r="CX615" s="682"/>
      <c r="CY615" s="481">
        <v>2002</v>
      </c>
      <c r="CZ615" s="728">
        <v>2.1693000000000002</v>
      </c>
      <c r="DA615" s="57">
        <v>0.8440891265790043</v>
      </c>
      <c r="DB615" s="57">
        <v>7.0728069310905</v>
      </c>
      <c r="DC615" s="326">
        <f t="shared" si="266"/>
        <v>0</v>
      </c>
      <c r="DD615" s="326">
        <f t="shared" si="264"/>
        <v>0</v>
      </c>
      <c r="DE615" s="326">
        <f t="shared" si="267"/>
        <v>7.0728069310905</v>
      </c>
      <c r="DF615" s="576"/>
      <c r="DG615" s="682"/>
      <c r="DH615" s="682"/>
      <c r="DI615" s="682"/>
      <c r="DJ615" s="682"/>
      <c r="DK615" s="682"/>
      <c r="DL615" s="682"/>
      <c r="DM615" s="682"/>
      <c r="DN615" s="682"/>
      <c r="DO615" s="682"/>
      <c r="DP615" s="682"/>
      <c r="DQ615" s="682"/>
      <c r="DR615" s="682"/>
      <c r="DS615" s="682"/>
      <c r="DT615" s="682"/>
      <c r="DU615" s="574">
        <f t="shared" si="268"/>
        <v>7.0728069310905</v>
      </c>
      <c r="DZ615" s="726">
        <v>2002</v>
      </c>
      <c r="EA615" s="547">
        <v>272.5156597823715</v>
      </c>
      <c r="EB615" s="55">
        <f t="shared" si="265"/>
        <v>274.4660188087774</v>
      </c>
      <c r="EC615" s="333">
        <v>254.80171304390458</v>
      </c>
      <c r="EF615" s="682"/>
      <c r="EG615" s="682"/>
      <c r="EH615" s="682"/>
      <c r="EI615" s="682"/>
      <c r="EJ615" s="682"/>
      <c r="EK615" s="682"/>
      <c r="EL615" s="682"/>
      <c r="EM615" s="682"/>
      <c r="EN615" s="682"/>
      <c r="EO615" s="682"/>
      <c r="ES615" s="481">
        <v>2002</v>
      </c>
      <c r="ET615" s="547">
        <v>2169.3</v>
      </c>
      <c r="EU615" s="547">
        <v>1762.4</v>
      </c>
      <c r="EV615" s="55">
        <v>10819.270899999998</v>
      </c>
      <c r="EW615" s="75">
        <f t="shared" si="263"/>
        <v>0.20050334445364526</v>
      </c>
      <c r="EX615" s="75">
        <f t="shared" si="269"/>
        <v>0.16289452554515485</v>
      </c>
    </row>
    <row r="616" ht="17.5" customHeight="1" spans="101:154" x14ac:dyDescent="0.25">
      <c r="CW616" s="668">
        <v>2755</v>
      </c>
      <c r="CX616" s="682"/>
      <c r="CY616" s="481">
        <v>2003</v>
      </c>
      <c r="CZ616" s="728">
        <v>2.755</v>
      </c>
      <c r="DA616" s="57">
        <v>0.9647938716798019</v>
      </c>
      <c r="DB616" s="57">
        <v>7.85864299035641</v>
      </c>
      <c r="DC616" s="326">
        <f t="shared" si="266"/>
        <v>0</v>
      </c>
      <c r="DD616" s="326">
        <f t="shared" si="264"/>
        <v>0</v>
      </c>
      <c r="DE616" s="326">
        <f t="shared" si="267"/>
        <v>7.85864299035641</v>
      </c>
      <c r="DF616" s="576"/>
      <c r="DG616" s="682"/>
      <c r="DH616" s="682"/>
      <c r="DI616" s="682"/>
      <c r="DJ616" s="682"/>
      <c r="DK616" s="682"/>
      <c r="DL616" s="682"/>
      <c r="DM616" s="682"/>
      <c r="DN616" s="682"/>
      <c r="DO616" s="682"/>
      <c r="DP616" s="682"/>
      <c r="DQ616" s="682"/>
      <c r="DR616" s="682"/>
      <c r="DS616" s="682"/>
      <c r="DT616" s="682"/>
      <c r="DU616" s="574">
        <f t="shared" si="268"/>
        <v>7.85864299035641</v>
      </c>
      <c r="DZ616" s="726">
        <v>2003</v>
      </c>
      <c r="EA616" s="547">
        <v>310.3953364921211</v>
      </c>
      <c r="EB616" s="55">
        <f t="shared" si="265"/>
        <v>307.6908526645767</v>
      </c>
      <c r="EC616" s="333">
        <v>286.65192717439265</v>
      </c>
      <c r="EF616" s="682"/>
      <c r="EG616" s="682"/>
      <c r="EH616" s="682"/>
      <c r="EI616" s="682"/>
      <c r="EJ616" s="682"/>
      <c r="EK616" s="682"/>
      <c r="EL616" s="682"/>
      <c r="EM616" s="682"/>
      <c r="EN616" s="682"/>
      <c r="EO616" s="682"/>
      <c r="ES616" s="481">
        <v>2003</v>
      </c>
      <c r="ET616" s="547">
        <v>2755</v>
      </c>
      <c r="EU616" s="547">
        <v>2186.4</v>
      </c>
      <c r="EV616" s="55">
        <v>13208.250299999998</v>
      </c>
      <c r="EW616" s="75">
        <f t="shared" si="263"/>
        <v>0.2085817528760793</v>
      </c>
      <c r="EX616" s="75">
        <f t="shared" si="269"/>
        <v>0.16553290181062064</v>
      </c>
    </row>
    <row r="617" ht="17.5" customHeight="1" spans="101:154" x14ac:dyDescent="0.25">
      <c r="CW617" s="668">
        <v>3558.9514</v>
      </c>
      <c r="CX617" s="682"/>
      <c r="CY617" s="481">
        <v>2004</v>
      </c>
      <c r="CZ617" s="728">
        <v>3.5589513999999998</v>
      </c>
      <c r="DA617" s="57">
        <v>1.082498724024738</v>
      </c>
      <c r="DB617" s="57">
        <v>9.04805344120045</v>
      </c>
      <c r="DC617" s="326">
        <f t="shared" si="266"/>
        <v>0</v>
      </c>
      <c r="DD617" s="326">
        <f t="shared" si="264"/>
        <v>0</v>
      </c>
      <c r="DE617" s="326">
        <f t="shared" si="267"/>
        <v>9.04805344120045</v>
      </c>
      <c r="DF617" s="576"/>
      <c r="DG617" s="682"/>
      <c r="DH617" s="682"/>
      <c r="DI617" s="682"/>
      <c r="DJ617" s="682"/>
      <c r="DK617" s="682"/>
      <c r="DL617" s="682"/>
      <c r="DM617" s="682"/>
      <c r="DN617" s="682"/>
      <c r="DO617" s="682"/>
      <c r="DP617" s="682"/>
      <c r="DQ617" s="682"/>
      <c r="DR617" s="682"/>
      <c r="DS617" s="682"/>
      <c r="DT617" s="682"/>
      <c r="DU617" s="574">
        <f t="shared" si="268"/>
        <v>9.04805344120045</v>
      </c>
      <c r="DZ617" s="726">
        <v>2004</v>
      </c>
      <c r="EA617" s="547">
        <v>349.50514889012834</v>
      </c>
      <c r="EB617" s="55">
        <f t="shared" si="265"/>
        <v>343.80480250783694</v>
      </c>
      <c r="EC617" s="333">
        <v>325.9232411972844</v>
      </c>
      <c r="EF617" s="682"/>
      <c r="EG617" s="682"/>
      <c r="EH617" s="682"/>
      <c r="EI617" s="682"/>
      <c r="EJ617" s="682"/>
      <c r="EK617" s="682"/>
      <c r="EL617" s="682"/>
      <c r="EM617" s="682"/>
      <c r="EN617" s="682"/>
      <c r="EO617" s="682"/>
      <c r="ES617" s="481">
        <v>2004</v>
      </c>
      <c r="ET617" s="547">
        <v>3558.9514</v>
      </c>
      <c r="EU617" s="547">
        <v>2865</v>
      </c>
      <c r="EV617" s="55">
        <v>17027.166999999998</v>
      </c>
      <c r="EW617" s="75">
        <f t="shared" si="263"/>
        <v>0.2090160623901792</v>
      </c>
      <c r="EX617" s="75">
        <f t="shared" si="269"/>
        <v>0.16826052155358553</v>
      </c>
    </row>
    <row r="618" ht="17.5" customHeight="1" spans="101:154" x14ac:dyDescent="0.25">
      <c r="CW618" s="668">
        <v>4338.7305</v>
      </c>
      <c r="CX618" s="682"/>
      <c r="CY618" s="481">
        <v>2005</v>
      </c>
      <c r="CZ618" s="728">
        <v>4.3387305</v>
      </c>
      <c r="DA618" s="57">
        <v>1.1857316682944767</v>
      </c>
      <c r="DB618" s="57">
        <v>10.070168753275146</v>
      </c>
      <c r="DC618" s="326">
        <f t="shared" si="266"/>
        <v>0</v>
      </c>
      <c r="DD618" s="326">
        <f t="shared" si="264"/>
        <v>0</v>
      </c>
      <c r="DE618" s="326">
        <f t="shared" si="267"/>
        <v>10.070168753275146</v>
      </c>
      <c r="DF618" s="576"/>
      <c r="DG618" s="682"/>
      <c r="DH618" s="682"/>
      <c r="DI618" s="682"/>
      <c r="DJ618" s="682"/>
      <c r="DK618" s="682"/>
      <c r="DL618" s="682"/>
      <c r="DM618" s="682"/>
      <c r="DN618" s="682"/>
      <c r="DO618" s="682"/>
      <c r="DP618" s="682"/>
      <c r="DQ618" s="682"/>
      <c r="DR618" s="682"/>
      <c r="DS618" s="682"/>
      <c r="DT618" s="682"/>
      <c r="DU618" s="574">
        <f t="shared" si="268"/>
        <v>10.070168753275146</v>
      </c>
      <c r="DZ618" s="726">
        <v>2005</v>
      </c>
      <c r="EA618" s="547">
        <v>386.44219393269077</v>
      </c>
      <c r="EB618" s="55">
        <f t="shared" si="265"/>
        <v>381.36331034482754</v>
      </c>
      <c r="EC618" s="333">
        <v>359.1674117994075</v>
      </c>
      <c r="EF618" s="682"/>
      <c r="EG618" s="682"/>
      <c r="EH618" s="682"/>
      <c r="EI618" s="682"/>
      <c r="EJ618" s="682"/>
      <c r="EK618" s="682"/>
      <c r="EL618" s="682"/>
      <c r="EM618" s="682"/>
      <c r="EN618" s="682"/>
      <c r="EO618" s="682"/>
      <c r="ES618" s="481">
        <v>2005</v>
      </c>
      <c r="ET618" s="547">
        <v>4338.7305</v>
      </c>
      <c r="EU618" s="547">
        <v>3611.1</v>
      </c>
      <c r="EV618" s="55">
        <v>21609.765799999997</v>
      </c>
      <c r="EW618" s="75">
        <f t="shared" si="263"/>
        <v>0.2007763776875361</v>
      </c>
      <c r="EX618" s="75">
        <f t="shared" si="269"/>
        <v>0.16710500397926573</v>
      </c>
    </row>
    <row r="619" ht="17.5" customHeight="1" spans="101:154" x14ac:dyDescent="0.25">
      <c r="CW619" s="668">
        <v>5698.7273</v>
      </c>
      <c r="CX619" s="682"/>
      <c r="CY619" s="481">
        <v>2006</v>
      </c>
      <c r="CZ619" s="728">
        <v>5.6987273</v>
      </c>
      <c r="DA619" s="57">
        <v>1.395606173582599</v>
      </c>
      <c r="DB619" s="57">
        <v>11.237649593940656</v>
      </c>
      <c r="DC619" s="326">
        <f t="shared" si="266"/>
        <v>0</v>
      </c>
      <c r="DD619" s="326">
        <f t="shared" si="264"/>
        <v>0</v>
      </c>
      <c r="DE619" s="326">
        <f t="shared" si="267"/>
        <v>11.237649593940656</v>
      </c>
      <c r="DF619" s="576"/>
      <c r="DG619" s="682"/>
      <c r="DH619" s="682"/>
      <c r="DI619" s="682"/>
      <c r="DJ619" s="682"/>
      <c r="DK619" s="682"/>
      <c r="DL619" s="682"/>
      <c r="DM619" s="682"/>
      <c r="DN619" s="682"/>
      <c r="DO619" s="682"/>
      <c r="DP619" s="682"/>
      <c r="DQ619" s="682"/>
      <c r="DR619" s="682"/>
      <c r="DS619" s="682"/>
      <c r="DT619" s="682"/>
      <c r="DU619" s="574">
        <f t="shared" si="268"/>
        <v>11.237649593940656</v>
      </c>
      <c r="DZ619" s="726">
        <v>2006</v>
      </c>
      <c r="EA619" s="547">
        <v>456.0017888405751</v>
      </c>
      <c r="EB619" s="55">
        <f t="shared" si="265"/>
        <v>443.47930407523506</v>
      </c>
      <c r="EC619" s="333">
        <v>419.14836956990854</v>
      </c>
      <c r="EF619" s="682"/>
      <c r="EG619" s="682"/>
      <c r="EH619" s="682"/>
      <c r="EI619" s="682"/>
      <c r="EJ619" s="682"/>
      <c r="EK619" s="682"/>
      <c r="EL619" s="682"/>
      <c r="EM619" s="682"/>
      <c r="EN619" s="682"/>
      <c r="EO619" s="682"/>
      <c r="ES619" s="481">
        <v>2006</v>
      </c>
      <c r="ET619" s="547">
        <v>5698.7273</v>
      </c>
      <c r="EU619" s="547">
        <v>4730</v>
      </c>
      <c r="EV619" s="55">
        <v>26917.2037</v>
      </c>
      <c r="EW619" s="75">
        <f t="shared" si="263"/>
        <v>0.2117131988713969</v>
      </c>
      <c r="EX619" s="75">
        <f t="shared" si="269"/>
        <v>0.17572404818558476</v>
      </c>
    </row>
    <row r="620" ht="17.5" customHeight="1" spans="101:154" x14ac:dyDescent="0.25">
      <c r="CW620" s="668">
        <v>8034.0982</v>
      </c>
      <c r="CX620" s="682"/>
      <c r="CY620" s="481">
        <v>2007</v>
      </c>
      <c r="CZ620" s="728">
        <v>8.0340982</v>
      </c>
      <c r="DA620" s="57">
        <v>1.7026395317707708</v>
      </c>
      <c r="DB620" s="57">
        <v>12.98598556755597</v>
      </c>
      <c r="DC620" s="326">
        <f t="shared" si="266"/>
        <v>0</v>
      </c>
      <c r="DD620" s="326">
        <f t="shared" si="264"/>
        <v>0</v>
      </c>
      <c r="DE620" s="326">
        <f t="shared" si="267"/>
        <v>12.98598556755597</v>
      </c>
      <c r="DF620" s="576"/>
      <c r="DG620" s="682"/>
      <c r="DH620" s="682"/>
      <c r="DI620" s="682"/>
      <c r="DJ620" s="682"/>
      <c r="DK620" s="682"/>
      <c r="DL620" s="682"/>
      <c r="DM620" s="682"/>
      <c r="DN620" s="682"/>
      <c r="DO620" s="682"/>
      <c r="DP620" s="682"/>
      <c r="DQ620" s="682"/>
      <c r="DR620" s="682"/>
      <c r="DS620" s="682"/>
      <c r="DT620" s="682"/>
      <c r="DU620" s="574">
        <f t="shared" si="268"/>
        <v>12.98598556755597</v>
      </c>
      <c r="DZ620" s="726">
        <v>2007</v>
      </c>
      <c r="EA620" s="547">
        <v>551.7621644970959</v>
      </c>
      <c r="EB620" s="55">
        <f t="shared" si="265"/>
        <v>540.9869686520376</v>
      </c>
      <c r="EC620" s="333">
        <v>514.2950494622778</v>
      </c>
      <c r="EF620" s="682"/>
      <c r="EG620" s="682"/>
      <c r="EH620" s="682"/>
      <c r="EI620" s="682"/>
      <c r="EJ620" s="682"/>
      <c r="EK620" s="682"/>
      <c r="EL620" s="682"/>
      <c r="EM620" s="682"/>
      <c r="EN620" s="682"/>
      <c r="EO620" s="682"/>
      <c r="ES620" s="481">
        <v>2007</v>
      </c>
      <c r="ET620" s="547">
        <v>8034.0982</v>
      </c>
      <c r="EU620" s="547">
        <v>6716.222</v>
      </c>
      <c r="EV620" s="55">
        <v>33247.5132</v>
      </c>
      <c r="EW620" s="75">
        <f t="shared" si="263"/>
        <v>0.24164508640604135</v>
      </c>
      <c r="EX620" s="75">
        <f t="shared" si="269"/>
        <v>0.2020067473798311</v>
      </c>
    </row>
    <row r="621" ht="17.5" customHeight="1" spans="101:154" x14ac:dyDescent="0.25">
      <c r="CW621" s="668">
        <v>10526.1161</v>
      </c>
      <c r="CX621" s="682"/>
      <c r="CY621" s="481">
        <v>2008</v>
      </c>
      <c r="CZ621" s="728">
        <v>10.5261161</v>
      </c>
      <c r="DA621" s="57">
        <v>1.8814166826067016</v>
      </c>
      <c r="DB621" s="57">
        <v>15.397267606350981</v>
      </c>
      <c r="DC621" s="326">
        <f t="shared" si="266"/>
        <v>0</v>
      </c>
      <c r="DD621" s="326">
        <f t="shared" si="264"/>
        <v>0</v>
      </c>
      <c r="DE621" s="326">
        <f t="shared" si="267"/>
        <v>15.397267606350981</v>
      </c>
      <c r="DF621" s="576"/>
      <c r="DG621" s="682"/>
      <c r="DH621" s="682"/>
      <c r="DI621" s="682"/>
      <c r="DJ621" s="682"/>
      <c r="DK621" s="682"/>
      <c r="DL621" s="682"/>
      <c r="DM621" s="682"/>
      <c r="DN621" s="682"/>
      <c r="DO621" s="682"/>
      <c r="DP621" s="682"/>
      <c r="DQ621" s="682"/>
      <c r="DR621" s="682"/>
      <c r="DS621" s="682"/>
      <c r="DT621" s="682"/>
      <c r="DU621" s="574">
        <f t="shared" si="268"/>
        <v>15.397267606350981</v>
      </c>
      <c r="DZ621" s="726">
        <v>2008</v>
      </c>
      <c r="EA621" s="547">
        <v>610.2489539337881</v>
      </c>
      <c r="EB621" s="55">
        <f t="shared" si="265"/>
        <v>616.826263322884</v>
      </c>
      <c r="EC621" s="333">
        <v>563.1530791611942</v>
      </c>
      <c r="EF621" s="682"/>
      <c r="EG621" s="682"/>
      <c r="EH621" s="682"/>
      <c r="EI621" s="682"/>
      <c r="EJ621" s="682"/>
      <c r="EK621" s="682"/>
      <c r="EL621" s="682"/>
      <c r="EM621" s="682"/>
      <c r="EN621" s="682"/>
      <c r="EO621" s="682"/>
      <c r="ES621" s="481">
        <v>2008</v>
      </c>
      <c r="ET621" s="547">
        <v>10526.1161</v>
      </c>
      <c r="EU621" s="547">
        <v>8781.616</v>
      </c>
      <c r="EV621" s="55">
        <v>41276.8492</v>
      </c>
      <c r="EW621" s="75">
        <f t="shared" si="263"/>
        <v>0.25501258705569996</v>
      </c>
      <c r="EX621" s="75">
        <f t="shared" si="269"/>
        <v>0.21274918435392595</v>
      </c>
    </row>
    <row r="622" ht="17.5" customHeight="1" spans="101:154" x14ac:dyDescent="0.25">
      <c r="CW622" s="668">
        <v>7344.756</v>
      </c>
      <c r="CX622" s="682"/>
      <c r="CY622" s="481">
        <v>2009</v>
      </c>
      <c r="CZ622" s="728">
        <v>7.344756</v>
      </c>
      <c r="DA622" s="57">
        <v>1.110035842737954</v>
      </c>
      <c r="DB622" s="57">
        <v>18.209619166526913</v>
      </c>
      <c r="DC622" s="326">
        <f t="shared" si="266"/>
        <v>0</v>
      </c>
      <c r="DD622" s="326">
        <f t="shared" si="264"/>
        <v>0</v>
      </c>
      <c r="DE622" s="326">
        <f t="shared" si="267"/>
        <v>18.209619166526913</v>
      </c>
      <c r="DF622" s="576"/>
      <c r="DG622" s="682"/>
      <c r="DH622" s="682"/>
      <c r="DI622" s="682"/>
      <c r="DJ622" s="682"/>
      <c r="DK622" s="682"/>
      <c r="DL622" s="682"/>
      <c r="DM622" s="682"/>
      <c r="DN622" s="682"/>
      <c r="DO622" s="682"/>
      <c r="DP622" s="682"/>
      <c r="DQ622" s="682"/>
      <c r="DR622" s="682"/>
      <c r="DS622" s="682"/>
      <c r="DT622" s="682"/>
      <c r="DU622" s="574">
        <f t="shared" si="268"/>
        <v>18.209619166526913</v>
      </c>
      <c r="DZ622" s="726">
        <v>2009</v>
      </c>
      <c r="EA622" s="547">
        <v>522.3731045673227</v>
      </c>
      <c r="EB622" s="55">
        <f t="shared" si="265"/>
        <v>595.8801724137929</v>
      </c>
      <c r="EC622" s="333">
        <v>487.127413474433</v>
      </c>
      <c r="EF622" s="682"/>
      <c r="EG622" s="682"/>
      <c r="EH622" s="682"/>
      <c r="EI622" s="682"/>
      <c r="EJ622" s="682"/>
      <c r="EK622" s="682"/>
      <c r="EL622" s="682"/>
      <c r="EM622" s="682"/>
      <c r="EN622" s="682"/>
      <c r="EO622" s="682"/>
      <c r="ES622" s="481">
        <v>2009</v>
      </c>
      <c r="ET622" s="547">
        <v>7344.756</v>
      </c>
      <c r="EU622" s="547">
        <v>7976.013</v>
      </c>
      <c r="EV622" s="55">
        <v>38807.270899999996</v>
      </c>
      <c r="EW622" s="75">
        <f t="shared" si="263"/>
        <v>0.18926236835685348</v>
      </c>
      <c r="EX622" s="75">
        <f t="shared" si="269"/>
        <v>0.20552883042337308</v>
      </c>
    </row>
    <row r="623" ht="17.5" customHeight="1" spans="101:154" x14ac:dyDescent="0.25">
      <c r="CW623" s="668">
        <v>10472.63</v>
      </c>
      <c r="CX623" s="682"/>
      <c r="CY623" s="481">
        <v>2010</v>
      </c>
      <c r="CZ623" s="728">
        <v>10.472629999999999</v>
      </c>
      <c r="DA623" s="57">
        <v>1.4263960579182708</v>
      </c>
      <c r="DB623" s="57">
        <v>20.205803391972644</v>
      </c>
      <c r="DC623" s="326">
        <f t="shared" si="266"/>
        <v>0</v>
      </c>
      <c r="DD623" s="326">
        <f t="shared" si="264"/>
        <v>0</v>
      </c>
      <c r="DE623" s="114"/>
      <c r="DF623" s="575">
        <f>DB623</f>
        <v>20.205803391972644</v>
      </c>
      <c r="DG623" s="682"/>
      <c r="DH623" s="682"/>
      <c r="DI623" s="682"/>
      <c r="DJ623" s="682"/>
      <c r="DK623" s="682"/>
      <c r="DL623" s="682"/>
      <c r="DM623" s="682"/>
      <c r="DN623" s="682"/>
      <c r="DO623" s="682"/>
      <c r="DP623" s="682"/>
      <c r="DQ623" s="682"/>
      <c r="DR623" s="682"/>
      <c r="DS623" s="682"/>
      <c r="DT623" s="682"/>
      <c r="DU623" s="574">
        <f t="shared" si="268"/>
        <v>20.205803391972644</v>
      </c>
      <c r="DZ623" s="726">
        <v>2010</v>
      </c>
      <c r="EA623" s="547">
        <v>553.1931177367948</v>
      </c>
      <c r="EB623" s="55">
        <f t="shared" si="265"/>
        <v>556.5520810344826</v>
      </c>
      <c r="EC623" s="333">
        <v>517.8164405233223</v>
      </c>
      <c r="EF623" s="682"/>
      <c r="EG623" s="682"/>
      <c r="EH623" s="682"/>
      <c r="EI623" s="682"/>
      <c r="EJ623" s="682"/>
      <c r="EK623" s="682"/>
      <c r="EL623" s="682"/>
      <c r="EM623" s="682"/>
      <c r="EN623" s="682"/>
      <c r="EO623" s="682"/>
      <c r="ES623" s="481">
        <v>2010</v>
      </c>
      <c r="ET623" s="547">
        <v>10472.63</v>
      </c>
      <c r="EU623" s="547">
        <v>9152.1</v>
      </c>
      <c r="EV623" s="55">
        <v>46308.53100000001</v>
      </c>
      <c r="EW623" s="75">
        <f t="shared" si="263"/>
        <v>0.22614904368268554</v>
      </c>
      <c r="EX623" s="75">
        <f t="shared" si="269"/>
        <v>0.19763313157137286</v>
      </c>
    </row>
    <row r="624" ht="17.5" customHeight="1" spans="101:154" x14ac:dyDescent="0.25">
      <c r="CW624" s="668">
        <v>14735.8874</v>
      </c>
      <c r="CX624" s="682"/>
      <c r="CY624" s="481">
        <v>2011</v>
      </c>
      <c r="CZ624" s="728">
        <v>14.7358874</v>
      </c>
      <c r="DA624" s="57">
        <v>1.7259392300811076</v>
      </c>
      <c r="DB624" s="57">
        <v>23.49693885735089</v>
      </c>
      <c r="DC624" s="326">
        <f t="shared" si="266"/>
        <v>0</v>
      </c>
      <c r="DD624" s="326">
        <f t="shared" si="264"/>
        <v>0</v>
      </c>
      <c r="DE624" s="114"/>
      <c r="DF624" s="575">
        <f t="shared" ref="DF624:DF629" si="270">DB624</f>
        <v>23.49693885735089</v>
      </c>
      <c r="DG624" s="682"/>
      <c r="DH624" s="682"/>
      <c r="DI624" s="682"/>
      <c r="DJ624" s="682"/>
      <c r="DK624" s="682"/>
      <c r="DL624" s="682"/>
      <c r="DM624" s="682"/>
      <c r="DN624" s="682"/>
      <c r="DO624" s="682"/>
      <c r="DP624" s="682"/>
      <c r="DQ624" s="682"/>
      <c r="DR624" s="682"/>
      <c r="DS624" s="682"/>
      <c r="DT624" s="682"/>
      <c r="DU624" s="574">
        <f t="shared" si="268"/>
        <v>23.49693885735089</v>
      </c>
      <c r="DZ624" s="726">
        <v>2011</v>
      </c>
      <c r="EA624" s="547">
        <v>603.5336914508431</v>
      </c>
      <c r="EB624" s="55">
        <f t="shared" si="265"/>
        <v>717.5262886488663</v>
      </c>
      <c r="EC624" s="333">
        <v>573.7406160998412</v>
      </c>
      <c r="EF624" s="682"/>
      <c r="EG624" s="682"/>
      <c r="EH624" s="682"/>
      <c r="EI624" s="682"/>
      <c r="EJ624" s="682"/>
      <c r="EK624" s="682"/>
      <c r="EL624" s="682"/>
      <c r="EM624" s="682"/>
      <c r="EN624" s="682"/>
      <c r="EO624" s="682"/>
      <c r="ES624" s="481">
        <v>2011</v>
      </c>
      <c r="ET624" s="547">
        <v>14735.8874</v>
      </c>
      <c r="EU624" s="547">
        <v>11035.652</v>
      </c>
      <c r="EV624" s="55">
        <v>60282.540400000005</v>
      </c>
      <c r="EW624" s="75">
        <f t="shared" si="263"/>
        <v>0.24444702068328888</v>
      </c>
      <c r="EX624" s="75">
        <f t="shared" si="269"/>
        <v>0.18306547678272694</v>
      </c>
    </row>
    <row r="625" ht="17.5" customHeight="1" spans="101:154" x14ac:dyDescent="0.25">
      <c r="CW625" s="668">
        <v>16730.202400000002</v>
      </c>
      <c r="CX625" s="682"/>
      <c r="CY625" s="481">
        <v>2012</v>
      </c>
      <c r="CZ625" s="728">
        <v>16.730202400000003</v>
      </c>
      <c r="DA625" s="57">
        <v>1.8018805562046765</v>
      </c>
      <c r="DB625" s="57">
        <v>25.552634846384688</v>
      </c>
      <c r="DC625" s="326">
        <f t="shared" si="266"/>
        <v>0</v>
      </c>
      <c r="DD625" s="326">
        <f t="shared" si="264"/>
        <v>0</v>
      </c>
      <c r="DE625" s="114"/>
      <c r="DF625" s="575">
        <f t="shared" si="270"/>
        <v>25.552634846384688</v>
      </c>
      <c r="DG625" s="682"/>
      <c r="DH625" s="682"/>
      <c r="DI625" s="682"/>
      <c r="DJ625" s="682"/>
      <c r="DK625" s="682"/>
      <c r="DL625" s="682"/>
      <c r="DM625" s="682"/>
      <c r="DN625" s="682"/>
      <c r="DO625" s="682"/>
      <c r="DP625" s="682"/>
      <c r="DQ625" s="682"/>
      <c r="DR625" s="682"/>
      <c r="DS625" s="682"/>
      <c r="DT625" s="682"/>
      <c r="DU625" s="574">
        <f t="shared" si="268"/>
        <v>25.552634846384688</v>
      </c>
      <c r="DZ625" s="726">
        <v>2012</v>
      </c>
      <c r="EA625" s="547">
        <v>633.7103760233853</v>
      </c>
      <c r="EB625" s="55">
        <f t="shared" si="265"/>
        <v>780.309838905642</v>
      </c>
      <c r="EC625" s="333">
        <v>612.7549779946304</v>
      </c>
      <c r="EF625" s="682"/>
      <c r="EG625" s="682"/>
      <c r="EH625" s="682"/>
      <c r="EI625" s="682"/>
      <c r="EJ625" s="682"/>
      <c r="EK625" s="682"/>
      <c r="EL625" s="682"/>
      <c r="EM625" s="682"/>
      <c r="EN625" s="682"/>
      <c r="EO625" s="682"/>
      <c r="ES625" s="481">
        <v>2012</v>
      </c>
      <c r="ET625" s="547">
        <v>16730.202400000002</v>
      </c>
      <c r="EU625" s="547">
        <v>12586.090400000001</v>
      </c>
      <c r="EV625" s="55">
        <v>68163.8831</v>
      </c>
      <c r="EW625" s="75">
        <f t="shared" si="263"/>
        <v>0.24544086456248265</v>
      </c>
      <c r="EX625" s="75">
        <f t="shared" si="269"/>
        <v>0.1846445628916936</v>
      </c>
    </row>
    <row r="626" ht="17.5" customHeight="1" spans="101:154" x14ac:dyDescent="0.25">
      <c r="CW626" s="668">
        <v>16915.862100000002</v>
      </c>
      <c r="CX626" s="682"/>
      <c r="CY626" s="481">
        <v>2013</v>
      </c>
      <c r="CZ626" s="728">
        <v>16.915862100000002</v>
      </c>
      <c r="DA626" s="57">
        <v>1.7009752450572146</v>
      </c>
      <c r="DB626" s="57">
        <v>27.36885543238533</v>
      </c>
      <c r="DC626" s="326">
        <f t="shared" si="266"/>
        <v>0</v>
      </c>
      <c r="DD626" s="326">
        <f t="shared" si="264"/>
        <v>0</v>
      </c>
      <c r="DE626" s="114"/>
      <c r="DF626" s="575">
        <f t="shared" si="270"/>
        <v>27.36885543238533</v>
      </c>
      <c r="DG626" s="682"/>
      <c r="DH626" s="682"/>
      <c r="DI626" s="682"/>
      <c r="DJ626" s="682"/>
      <c r="DK626" s="682"/>
      <c r="DL626" s="682"/>
      <c r="DM626" s="682"/>
      <c r="DN626" s="682"/>
      <c r="DO626" s="682"/>
      <c r="DP626" s="682"/>
      <c r="DQ626" s="682"/>
      <c r="DR626" s="682"/>
      <c r="DS626" s="682"/>
      <c r="DT626" s="682"/>
      <c r="DU626" s="574">
        <f t="shared" si="268"/>
        <v>27.36885543238533</v>
      </c>
      <c r="DZ626" s="726">
        <v>2013</v>
      </c>
      <c r="EA626" s="547">
        <v>641.9486109116892</v>
      </c>
      <c r="EB626" s="55">
        <f t="shared" si="265"/>
        <v>788.2455899673124</v>
      </c>
      <c r="EC626" s="333">
        <v>617.6570178185874</v>
      </c>
      <c r="EF626" s="682"/>
      <c r="EG626" s="682"/>
      <c r="EH626" s="682"/>
      <c r="EI626" s="682"/>
      <c r="EJ626" s="682"/>
      <c r="EK626" s="682"/>
      <c r="EL626" s="682"/>
      <c r="EM626" s="682"/>
      <c r="EN626" s="682"/>
      <c r="EO626" s="682"/>
      <c r="ES626" s="481">
        <v>2013</v>
      </c>
      <c r="ET626" s="547">
        <v>16915.862100000002</v>
      </c>
      <c r="EU626" s="547">
        <v>13450.2382</v>
      </c>
      <c r="EV626" s="55">
        <v>73133.89509999998</v>
      </c>
      <c r="EW626" s="75">
        <f t="shared" si="263"/>
        <v>0.2312998928454449</v>
      </c>
      <c r="EX626" s="75">
        <f t="shared" si="269"/>
        <v>0.18391250980969567</v>
      </c>
    </row>
    <row r="627" ht="17.5" customHeight="1" spans="101:154" x14ac:dyDescent="0.25">
      <c r="CW627" s="668">
        <v>17614.564300000002</v>
      </c>
      <c r="CX627" s="682"/>
      <c r="CY627" s="481">
        <v>2014</v>
      </c>
      <c r="CZ627" s="728">
        <v>17.6145643</v>
      </c>
      <c r="DA627" s="57">
        <v>1.5972157551087247</v>
      </c>
      <c r="DB627" s="57">
        <v>30.350707025866967</v>
      </c>
      <c r="DC627" s="326">
        <f t="shared" si="266"/>
        <v>0</v>
      </c>
      <c r="DD627" s="326">
        <f t="shared" si="264"/>
        <v>0</v>
      </c>
      <c r="DE627" s="114"/>
      <c r="DF627" s="575">
        <f t="shared" si="270"/>
        <v>30.350707025866967</v>
      </c>
      <c r="DG627" s="682"/>
      <c r="DH627" s="682"/>
      <c r="DI627" s="682"/>
      <c r="DJ627" s="682"/>
      <c r="DK627" s="682"/>
      <c r="DL627" s="682"/>
      <c r="DM627" s="682"/>
      <c r="DN627" s="682"/>
      <c r="DO627" s="682"/>
      <c r="DP627" s="682"/>
      <c r="DQ627" s="682"/>
      <c r="DR627" s="682"/>
      <c r="DS627" s="682"/>
      <c r="DT627" s="682"/>
      <c r="DU627" s="574">
        <f t="shared" si="268"/>
        <v>30.350707025866967</v>
      </c>
      <c r="DZ627" s="726">
        <v>2014</v>
      </c>
      <c r="EA627" s="547">
        <v>630.3935359152788</v>
      </c>
      <c r="EB627" s="55">
        <f t="shared" si="265"/>
        <v>764.598222268293</v>
      </c>
      <c r="EC627" s="333">
        <v>608.3921625513086</v>
      </c>
      <c r="EF627" s="682"/>
      <c r="EG627" s="682"/>
      <c r="EH627" s="682"/>
      <c r="EI627" s="682"/>
      <c r="EJ627" s="682"/>
      <c r="EK627" s="682"/>
      <c r="EL627" s="682"/>
      <c r="EM627" s="682"/>
      <c r="EN627" s="682"/>
      <c r="EO627" s="682"/>
      <c r="ES627" s="481">
        <v>2014</v>
      </c>
      <c r="ET627" s="547">
        <v>17883.66</v>
      </c>
      <c r="EU627" s="547">
        <v>13902.6453</v>
      </c>
      <c r="EV627" s="55">
        <v>79058</v>
      </c>
      <c r="EW627" s="75">
        <f t="shared" si="263"/>
        <v>0.2262093652761264</v>
      </c>
      <c r="EX627" s="75">
        <f t="shared" si="269"/>
        <v>0.17585374408661994</v>
      </c>
    </row>
    <row r="628" ht="17.5" customHeight="1" spans="101:154" x14ac:dyDescent="0.25">
      <c r="CW628" s="668">
        <v>18622.098899999997</v>
      </c>
      <c r="CX628" s="682"/>
      <c r="CY628" s="481">
        <v>2015</v>
      </c>
      <c r="CZ628" s="728">
        <v>18.622098899999997</v>
      </c>
      <c r="DA628" s="57">
        <v>1.3831888439241555</v>
      </c>
      <c r="DB628" s="57">
        <v>37.05165777063383</v>
      </c>
      <c r="DC628" s="326">
        <f t="shared" si="266"/>
        <v>25.408791247612854</v>
      </c>
      <c r="DD628" s="326">
        <f t="shared" si="264"/>
        <v>25.408791247612854</v>
      </c>
      <c r="DE628" s="114"/>
      <c r="DF628" s="575">
        <f t="shared" si="270"/>
        <v>37.05165777063383</v>
      </c>
      <c r="DG628" s="682"/>
      <c r="DH628" s="682"/>
      <c r="DI628" s="682"/>
      <c r="DJ628" s="682"/>
      <c r="DK628" s="682"/>
      <c r="DL628" s="682"/>
      <c r="DM628" s="682"/>
      <c r="DN628" s="682"/>
      <c r="DO628" s="682"/>
      <c r="DP628" s="682"/>
      <c r="DQ628" s="682"/>
      <c r="DR628" s="682"/>
      <c r="DS628" s="682"/>
      <c r="DT628" s="682"/>
      <c r="DU628" s="574">
        <f t="shared" si="268"/>
        <v>37.05165777063383</v>
      </c>
      <c r="DZ628" s="726">
        <v>2015</v>
      </c>
      <c r="EA628" s="547">
        <v>562.941427572344</v>
      </c>
      <c r="EB628" s="55">
        <f t="shared" si="265"/>
        <v>722.5453200435368</v>
      </c>
      <c r="EC628" s="333">
        <v>546.9445541336264</v>
      </c>
      <c r="EF628" s="682"/>
      <c r="EG628" s="682"/>
      <c r="EH628" s="682"/>
      <c r="EI628" s="682"/>
      <c r="EJ628" s="682"/>
      <c r="EK628" s="682"/>
      <c r="EL628" s="682"/>
      <c r="EM628" s="682"/>
      <c r="EN628" s="682"/>
      <c r="EO628" s="682"/>
      <c r="ES628" s="481">
        <v>2015</v>
      </c>
      <c r="ET628" s="547">
        <v>18603.39</v>
      </c>
      <c r="EU628" s="547">
        <v>13897.2</v>
      </c>
      <c r="EV628" s="55">
        <v>83094</v>
      </c>
      <c r="EW628" s="75">
        <f t="shared" si="263"/>
        <v>0.22388367391147374</v>
      </c>
      <c r="EX628" s="75">
        <f t="shared" si="269"/>
        <v>0.16724673261607337</v>
      </c>
    </row>
    <row r="629" ht="17.5" customHeight="1" spans="101:154" x14ac:dyDescent="0.25">
      <c r="CW629" s="668">
        <v>20132.0831</v>
      </c>
      <c r="CX629" s="682"/>
      <c r="CY629" s="481">
        <v>2016</v>
      </c>
      <c r="CZ629" s="728">
        <v>20.1320831</v>
      </c>
      <c r="DA629" s="57">
        <v>1.4039366765830177</v>
      </c>
      <c r="DB629" s="57">
        <v>39.46405314818492</v>
      </c>
      <c r="DC629" s="326">
        <f t="shared" si="266"/>
        <v>27.019844336572895</v>
      </c>
      <c r="DD629" s="326">
        <f t="shared" si="264"/>
        <v>27.019844336572895</v>
      </c>
      <c r="DE629" s="114"/>
      <c r="DF629" s="575">
        <f t="shared" si="270"/>
        <v>39.46405314818492</v>
      </c>
      <c r="DG629" s="682"/>
      <c r="DH629" s="682"/>
      <c r="DI629" s="682"/>
      <c r="DJ629" s="682"/>
      <c r="DK629" s="682"/>
      <c r="DL629" s="682"/>
      <c r="DM629" s="682"/>
      <c r="DN629" s="682"/>
      <c r="DO629" s="682"/>
      <c r="DP629" s="682"/>
      <c r="DQ629" s="682"/>
      <c r="DR629" s="682"/>
      <c r="DS629" s="682"/>
      <c r="DT629" s="682"/>
      <c r="DU629" s="574">
        <f t="shared" si="268"/>
        <v>39.46405314818492</v>
      </c>
      <c r="DZ629" s="726">
        <v>2016</v>
      </c>
      <c r="EA629" s="547">
        <v>568.5708418480674</v>
      </c>
      <c r="EB629" s="55">
        <f t="shared" si="265"/>
        <v>850.4358416912428</v>
      </c>
      <c r="EC629" s="333">
        <v>545.8506650253591</v>
      </c>
      <c r="EF629" s="682"/>
      <c r="EG629" s="682"/>
      <c r="EH629" s="682"/>
      <c r="EI629" s="682"/>
      <c r="EJ629" s="682"/>
      <c r="EK629" s="682"/>
      <c r="EL629" s="682"/>
      <c r="EM629" s="682"/>
      <c r="EN629" s="682"/>
      <c r="EO629" s="682"/>
      <c r="ES629" s="481">
        <v>2016</v>
      </c>
      <c r="ET629" s="547">
        <v>20242.85</v>
      </c>
      <c r="EU629" s="547">
        <v>14748.8</v>
      </c>
      <c r="EV629" s="55">
        <v>86014</v>
      </c>
      <c r="EW629" s="75">
        <f t="shared" si="263"/>
        <v>0.2353436649847699</v>
      </c>
      <c r="EX629" s="75">
        <f t="shared" si="269"/>
        <v>0.17146976073662426</v>
      </c>
    </row>
    <row r="630" ht="17.5" customHeight="1" spans="101:154" x14ac:dyDescent="0.25">
      <c r="CW630" s="682"/>
      <c r="CX630" s="682"/>
      <c r="CY630" s="481">
        <v>2017</v>
      </c>
      <c r="CZ630" s="487"/>
      <c r="DA630" s="46"/>
      <c r="DB630" s="326"/>
      <c r="DC630" s="326"/>
      <c r="DD630" s="326">
        <f t="shared" si="264"/>
        <v>28.017232863734257</v>
      </c>
      <c r="DE630" s="114"/>
      <c r="DF630" s="576"/>
      <c r="DG630" s="682"/>
      <c r="DH630" s="682"/>
      <c r="DI630" s="682"/>
      <c r="DJ630" s="682"/>
      <c r="DK630" s="682"/>
      <c r="DL630" s="682"/>
      <c r="DM630" s="682"/>
      <c r="DN630" s="682"/>
      <c r="DO630" s="682"/>
      <c r="DP630" s="682"/>
      <c r="DQ630" s="682"/>
      <c r="DR630" s="682"/>
      <c r="DS630" s="682"/>
      <c r="DT630" s="682"/>
      <c r="DU630" s="574">
        <f>2.1159*DD630-17.631</f>
        <v>41.65066301637531</v>
      </c>
      <c r="DZ630" s="726">
        <v>2017</v>
      </c>
      <c r="EA630" s="487"/>
      <c r="EB630" s="326"/>
      <c r="EC630" s="687"/>
      <c r="EF630" s="682"/>
      <c r="EG630" s="682"/>
      <c r="EH630" s="682"/>
      <c r="EI630" s="682"/>
      <c r="EJ630" s="682"/>
      <c r="EK630" s="682"/>
      <c r="EL630" s="682"/>
      <c r="EM630" s="682"/>
      <c r="EN630" s="682"/>
      <c r="EO630" s="682"/>
      <c r="ES630" s="481">
        <v>2017</v>
      </c>
      <c r="ET630" s="487"/>
      <c r="EU630" s="487"/>
      <c r="EV630" s="46"/>
      <c r="EW630" s="575"/>
      <c r="EX630" s="575"/>
    </row>
    <row r="631" ht="17.5" customHeight="1" spans="101:154" x14ac:dyDescent="0.25">
      <c r="CW631" s="682"/>
      <c r="CX631" s="682"/>
      <c r="CY631" s="481">
        <v>2018</v>
      </c>
      <c r="CZ631" s="487"/>
      <c r="DA631" s="46"/>
      <c r="DB631" s="326"/>
      <c r="DC631" s="326"/>
      <c r="DD631" s="326">
        <f t="shared" si="264"/>
        <v>29.48966481725577</v>
      </c>
      <c r="DE631" s="114"/>
      <c r="DF631" s="576"/>
      <c r="DG631" s="682"/>
      <c r="DH631" s="682"/>
      <c r="DI631" s="682"/>
      <c r="DJ631" s="682"/>
      <c r="DK631" s="682"/>
      <c r="DL631" s="682"/>
      <c r="DM631" s="682"/>
      <c r="DN631" s="682"/>
      <c r="DO631" s="682"/>
      <c r="DP631" s="682"/>
      <c r="DQ631" s="682"/>
      <c r="DR631" s="682"/>
      <c r="DS631" s="682"/>
      <c r="DT631" s="682"/>
      <c r="DU631" s="574">
        <f t="shared" ref="DU631:DU643" si="271">2.1159*DD631-17.631</f>
        <v>44.766181786831474</v>
      </c>
      <c r="DZ631" s="726">
        <v>2018</v>
      </c>
      <c r="EA631" s="487"/>
      <c r="EB631" s="326"/>
      <c r="EC631" s="687"/>
      <c r="EF631" s="682"/>
      <c r="EG631" s="682"/>
      <c r="EH631" s="682"/>
      <c r="EI631" s="682"/>
      <c r="EJ631" s="682"/>
      <c r="EK631" s="682"/>
      <c r="EL631" s="682"/>
      <c r="EM631" s="682"/>
      <c r="EN631" s="682"/>
      <c r="EO631" s="682"/>
      <c r="ES631" s="481">
        <v>2018</v>
      </c>
      <c r="ET631" s="487"/>
      <c r="EU631" s="487"/>
      <c r="EV631" s="46"/>
      <c r="EW631" s="575"/>
      <c r="EX631" s="575"/>
    </row>
    <row r="632" ht="17.5" customHeight="1" spans="101:154" x14ac:dyDescent="0.25">
      <c r="CW632" s="682"/>
      <c r="CX632" s="682"/>
      <c r="CY632" s="481">
        <v>2019</v>
      </c>
      <c r="CZ632" s="714"/>
      <c r="DA632" s="272"/>
      <c r="DB632" s="272"/>
      <c r="DC632" s="272"/>
      <c r="DD632" s="326">
        <f t="shared" si="264"/>
        <v>0</v>
      </c>
      <c r="DE632" s="114"/>
      <c r="DF632" s="576"/>
      <c r="DG632" s="682"/>
      <c r="DH632" s="682"/>
      <c r="DI632" s="682"/>
      <c r="DJ632" s="682"/>
      <c r="DK632" s="682"/>
      <c r="DL632" s="682"/>
      <c r="DM632" s="682"/>
      <c r="DN632" s="682"/>
      <c r="DO632" s="682"/>
      <c r="DP632" s="682"/>
      <c r="DQ632" s="682"/>
      <c r="DR632" s="682"/>
      <c r="DS632" s="682"/>
      <c r="DT632" s="682"/>
      <c r="DU632" s="574">
        <f t="shared" si="271"/>
        <v>-17.631</v>
      </c>
      <c r="DZ632" s="726">
        <v>2019</v>
      </c>
      <c r="EA632" s="714"/>
      <c r="EB632" s="272"/>
      <c r="EC632" s="687"/>
      <c r="EF632" s="682"/>
      <c r="EG632" s="682"/>
      <c r="EH632" s="682"/>
      <c r="EI632" s="682"/>
      <c r="EJ632" s="682"/>
      <c r="EK632" s="682"/>
      <c r="EL632" s="682"/>
      <c r="EM632" s="682"/>
      <c r="EN632" s="682"/>
      <c r="EO632" s="682"/>
      <c r="ES632" s="481">
        <v>2019</v>
      </c>
      <c r="ET632" s="714"/>
      <c r="EU632" s="714"/>
      <c r="EV632" s="272"/>
      <c r="EW632" s="576"/>
      <c r="EX632" s="576"/>
    </row>
    <row r="633" ht="17.5" customHeight="1" spans="73:154" x14ac:dyDescent="0.25">
      <c r="BU633" s="682"/>
      <c r="CW633" s="682"/>
      <c r="CX633" s="682"/>
      <c r="CY633" s="481">
        <v>2020</v>
      </c>
      <c r="CZ633" s="714"/>
      <c r="DA633" s="272"/>
      <c r="DB633" s="272"/>
      <c r="DC633" s="272"/>
      <c r="DD633" s="326">
        <f t="shared" si="264"/>
        <v>0</v>
      </c>
      <c r="DE633" s="114"/>
      <c r="DF633" s="576"/>
      <c r="DG633" s="682"/>
      <c r="DH633" s="682"/>
      <c r="DI633" s="682"/>
      <c r="DJ633" s="682"/>
      <c r="DK633" s="682"/>
      <c r="DL633" s="682"/>
      <c r="DM633" s="682"/>
      <c r="DN633" s="682"/>
      <c r="DO633" s="682"/>
      <c r="DP633" s="682"/>
      <c r="DQ633" s="682"/>
      <c r="DR633" s="682"/>
      <c r="DS633" s="682"/>
      <c r="DT633" s="682"/>
      <c r="DU633" s="574">
        <f t="shared" si="271"/>
        <v>-17.631</v>
      </c>
      <c r="DZ633" s="726">
        <v>2020</v>
      </c>
      <c r="EA633" s="714"/>
      <c r="EB633" s="272"/>
      <c r="EC633" s="687"/>
      <c r="EF633" s="682"/>
      <c r="EG633" s="682"/>
      <c r="EH633" s="682"/>
      <c r="EI633" s="682"/>
      <c r="EJ633" s="682"/>
      <c r="EK633" s="682"/>
      <c r="EL633" s="682"/>
      <c r="EM633" s="682"/>
      <c r="EN633" s="682"/>
      <c r="EO633" s="682"/>
      <c r="ES633" s="481">
        <v>2020</v>
      </c>
      <c r="ET633" s="714"/>
      <c r="EU633" s="714"/>
      <c r="EV633" s="272"/>
      <c r="EW633" s="576"/>
      <c r="EX633" s="576"/>
    </row>
    <row r="634" ht="17.5" customHeight="1" spans="101:154" x14ac:dyDescent="0.25">
      <c r="CW634" s="682"/>
      <c r="CX634" s="682"/>
      <c r="CY634" s="481">
        <v>2021</v>
      </c>
      <c r="CZ634" s="714"/>
      <c r="DA634" s="272"/>
      <c r="DB634" s="272"/>
      <c r="DC634" s="272"/>
      <c r="DD634" s="326">
        <f t="shared" si="264"/>
        <v>0</v>
      </c>
      <c r="DE634" s="114"/>
      <c r="DF634" s="576"/>
      <c r="DG634" s="682"/>
      <c r="DH634" s="682"/>
      <c r="DI634" s="682"/>
      <c r="DJ634" s="682"/>
      <c r="DK634" s="682"/>
      <c r="DL634" s="682"/>
      <c r="DM634" s="682"/>
      <c r="DN634" s="682"/>
      <c r="DO634" s="682"/>
      <c r="DP634" s="682"/>
      <c r="DQ634" s="682"/>
      <c r="DR634" s="682"/>
      <c r="DS634" s="682"/>
      <c r="DT634" s="682"/>
      <c r="DU634" s="574">
        <f t="shared" si="271"/>
        <v>-17.631</v>
      </c>
      <c r="DZ634" s="726">
        <v>2021</v>
      </c>
      <c r="EA634" s="714"/>
      <c r="EB634" s="272"/>
      <c r="EC634" s="687"/>
      <c r="EF634" s="682"/>
      <c r="EG634" s="682"/>
      <c r="EH634" s="682"/>
      <c r="EI634" s="682"/>
      <c r="EJ634" s="682"/>
      <c r="EK634" s="682"/>
      <c r="EL634" s="682"/>
      <c r="EM634" s="682"/>
      <c r="EN634" s="682"/>
      <c r="EO634" s="682"/>
      <c r="ES634" s="481">
        <v>2021</v>
      </c>
      <c r="ET634" s="714"/>
      <c r="EU634" s="714"/>
      <c r="EV634" s="272"/>
      <c r="EW634" s="576"/>
      <c r="EX634" s="576"/>
    </row>
    <row r="635" ht="17.5" customHeight="1" spans="101:154" x14ac:dyDescent="0.25">
      <c r="CW635" s="682"/>
      <c r="CX635" s="682"/>
      <c r="CY635" s="481">
        <v>2022</v>
      </c>
      <c r="CZ635" s="714"/>
      <c r="DA635" s="272"/>
      <c r="DB635" s="272"/>
      <c r="DC635" s="272"/>
      <c r="DD635" s="326">
        <f t="shared" si="264"/>
        <v>0</v>
      </c>
      <c r="DE635" s="114"/>
      <c r="DF635" s="576"/>
      <c r="DG635" s="682"/>
      <c r="DH635" s="682"/>
      <c r="DI635" s="682"/>
      <c r="DJ635" s="682"/>
      <c r="DK635" s="682"/>
      <c r="DL635" s="682"/>
      <c r="DM635" s="682"/>
      <c r="DN635" s="682"/>
      <c r="DO635" s="682"/>
      <c r="DP635" s="682"/>
      <c r="DQ635" s="682"/>
      <c r="DR635" s="682"/>
      <c r="DS635" s="682"/>
      <c r="DT635" s="682"/>
      <c r="DU635" s="574">
        <f t="shared" si="271"/>
        <v>-17.631</v>
      </c>
      <c r="DZ635" s="726">
        <v>2022</v>
      </c>
      <c r="EA635" s="714"/>
      <c r="EB635" s="272"/>
      <c r="EC635" s="687"/>
      <c r="EF635" s="682"/>
      <c r="EG635" s="682"/>
      <c r="EH635" s="682"/>
      <c r="EI635" s="682"/>
      <c r="EJ635" s="682"/>
      <c r="EK635" s="682"/>
      <c r="EL635" s="682"/>
      <c r="EM635" s="682"/>
      <c r="EN635" s="682"/>
      <c r="EO635" s="682"/>
      <c r="ES635" s="481">
        <v>2022</v>
      </c>
      <c r="ET635" s="714"/>
      <c r="EU635" s="714"/>
      <c r="EV635" s="272"/>
      <c r="EW635" s="576"/>
      <c r="EX635" s="576"/>
    </row>
    <row r="636" ht="17.5" customHeight="1" spans="101:154" x14ac:dyDescent="0.25">
      <c r="CW636" s="682"/>
      <c r="CX636" s="682"/>
      <c r="CY636" s="481">
        <v>2023</v>
      </c>
      <c r="CZ636" s="714"/>
      <c r="DA636" s="272"/>
      <c r="DB636" s="272"/>
      <c r="DC636" s="272"/>
      <c r="DD636" s="326">
        <f t="shared" si="264"/>
        <v>0</v>
      </c>
      <c r="DE636" s="114"/>
      <c r="DF636" s="576"/>
      <c r="DG636" s="682"/>
      <c r="DH636" s="682"/>
      <c r="DI636" s="682"/>
      <c r="DJ636" s="682"/>
      <c r="DK636" s="682"/>
      <c r="DL636" s="682"/>
      <c r="DM636" s="682"/>
      <c r="DN636" s="682"/>
      <c r="DO636" s="682"/>
      <c r="DP636" s="682"/>
      <c r="DQ636" s="682"/>
      <c r="DR636" s="682"/>
      <c r="DS636" s="682"/>
      <c r="DT636" s="682"/>
      <c r="DU636" s="574">
        <f t="shared" si="271"/>
        <v>-17.631</v>
      </c>
      <c r="DZ636" s="726">
        <v>2023</v>
      </c>
      <c r="EA636" s="714"/>
      <c r="EB636" s="272"/>
      <c r="EC636" s="687"/>
      <c r="EF636" s="682"/>
      <c r="EG636" s="682"/>
      <c r="EH636" s="682"/>
      <c r="EI636" s="682"/>
      <c r="EJ636" s="682"/>
      <c r="EK636" s="682"/>
      <c r="EL636" s="682"/>
      <c r="EM636" s="682"/>
      <c r="EN636" s="682"/>
      <c r="EO636" s="682"/>
      <c r="ES636" s="481">
        <v>2023</v>
      </c>
      <c r="ET636" s="714"/>
      <c r="EU636" s="714"/>
      <c r="EV636" s="272"/>
      <c r="EW636" s="576"/>
      <c r="EX636" s="576"/>
    </row>
    <row r="637" ht="17.5" customHeight="1" spans="101:154" x14ac:dyDescent="0.25">
      <c r="CW637" s="682"/>
      <c r="CX637" s="682"/>
      <c r="CY637" s="481">
        <v>2024</v>
      </c>
      <c r="CZ637" s="714"/>
      <c r="DA637" s="272"/>
      <c r="DB637" s="272"/>
      <c r="DC637" s="272"/>
      <c r="DD637" s="326">
        <f t="shared" si="264"/>
        <v>0</v>
      </c>
      <c r="DE637" s="114"/>
      <c r="DF637" s="576"/>
      <c r="DG637" s="682"/>
      <c r="DH637" s="682"/>
      <c r="DI637" s="682"/>
      <c r="DJ637" s="682"/>
      <c r="DK637" s="682"/>
      <c r="DL637" s="682"/>
      <c r="DM637" s="682"/>
      <c r="DN637" s="682"/>
      <c r="DO637" s="682"/>
      <c r="DP637" s="682"/>
      <c r="DQ637" s="682"/>
      <c r="DR637" s="682"/>
      <c r="DS637" s="682"/>
      <c r="DT637" s="682"/>
      <c r="DU637" s="574">
        <f t="shared" si="271"/>
        <v>-17.631</v>
      </c>
      <c r="DZ637" s="726">
        <v>2024</v>
      </c>
      <c r="EA637" s="714"/>
      <c r="EB637" s="272"/>
      <c r="EC637" s="687"/>
      <c r="EF637" s="682"/>
      <c r="EG637" s="682"/>
      <c r="EH637" s="682"/>
      <c r="EI637" s="682"/>
      <c r="EJ637" s="682"/>
      <c r="EK637" s="682"/>
      <c r="EL637" s="682"/>
      <c r="EM637" s="682"/>
      <c r="EN637" s="682"/>
      <c r="EO637" s="682"/>
      <c r="ES637" s="481">
        <v>2024</v>
      </c>
      <c r="ET637" s="714"/>
      <c r="EU637" s="714"/>
      <c r="EV637" s="272"/>
      <c r="EW637" s="576"/>
      <c r="EX637" s="576"/>
    </row>
    <row r="638" ht="17.5" customHeight="1" spans="101:154" x14ac:dyDescent="0.25">
      <c r="CW638" s="682"/>
      <c r="CX638" s="682"/>
      <c r="CY638" s="481">
        <v>2025</v>
      </c>
      <c r="CZ638" s="714"/>
      <c r="DA638" s="272"/>
      <c r="DB638" s="272"/>
      <c r="DC638" s="272"/>
      <c r="DD638" s="326">
        <f t="shared" si="264"/>
        <v>0</v>
      </c>
      <c r="DE638" s="114"/>
      <c r="DF638" s="576"/>
      <c r="DG638" s="682"/>
      <c r="DH638" s="682"/>
      <c r="DI638" s="682"/>
      <c r="DJ638" s="682"/>
      <c r="DK638" s="682"/>
      <c r="DL638" s="682"/>
      <c r="DM638" s="682"/>
      <c r="DN638" s="682"/>
      <c r="DO638" s="682"/>
      <c r="DP638" s="682"/>
      <c r="DQ638" s="682"/>
      <c r="DR638" s="682"/>
      <c r="DS638" s="682"/>
      <c r="DT638" s="682"/>
      <c r="DU638" s="574">
        <f t="shared" si="271"/>
        <v>-17.631</v>
      </c>
      <c r="DZ638" s="726">
        <v>2025</v>
      </c>
      <c r="EA638" s="714"/>
      <c r="EB638" s="272"/>
      <c r="EC638" s="687"/>
      <c r="EF638" s="682"/>
      <c r="EG638" s="682"/>
      <c r="EH638" s="682"/>
      <c r="EI638" s="682"/>
      <c r="EJ638" s="682"/>
      <c r="EK638" s="682"/>
      <c r="EL638" s="682"/>
      <c r="EM638" s="682"/>
      <c r="EN638" s="682"/>
      <c r="EO638" s="682"/>
      <c r="ES638" s="481">
        <v>2025</v>
      </c>
      <c r="ET638" s="714"/>
      <c r="EU638" s="714"/>
      <c r="EV638" s="272"/>
      <c r="EW638" s="576"/>
      <c r="EX638" s="576"/>
    </row>
    <row r="639" ht="17.5" customHeight="1" spans="101:154" x14ac:dyDescent="0.25">
      <c r="CW639" s="682"/>
      <c r="CX639" s="682"/>
      <c r="CY639" s="481">
        <v>2026</v>
      </c>
      <c r="CZ639" s="714"/>
      <c r="DA639" s="272"/>
      <c r="DB639" s="272"/>
      <c r="DC639" s="272"/>
      <c r="DD639" s="326">
        <f t="shared" si="264"/>
        <v>0</v>
      </c>
      <c r="DE639" s="114"/>
      <c r="DF639" s="576"/>
      <c r="DG639" s="682"/>
      <c r="DH639" s="682"/>
      <c r="DI639" s="682"/>
      <c r="DJ639" s="682"/>
      <c r="DK639" s="682"/>
      <c r="DL639" s="682"/>
      <c r="DM639" s="682"/>
      <c r="DN639" s="682"/>
      <c r="DO639" s="682"/>
      <c r="DP639" s="682"/>
      <c r="DQ639" s="682"/>
      <c r="DR639" s="682"/>
      <c r="DS639" s="682"/>
      <c r="DT639" s="682"/>
      <c r="DU639" s="574">
        <f t="shared" si="271"/>
        <v>-17.631</v>
      </c>
      <c r="DZ639" s="726">
        <v>2026</v>
      </c>
      <c r="EA639" s="714"/>
      <c r="EB639" s="272"/>
      <c r="EC639" s="687"/>
      <c r="EF639" s="682"/>
      <c r="EG639" s="682"/>
      <c r="EH639" s="682"/>
      <c r="EI639" s="682"/>
      <c r="EJ639" s="682"/>
      <c r="EK639" s="682"/>
      <c r="EL639" s="682"/>
      <c r="EM639" s="682"/>
      <c r="EN639" s="682"/>
      <c r="EO639" s="682"/>
      <c r="ES639" s="481">
        <v>2026</v>
      </c>
      <c r="ET639" s="714"/>
      <c r="EU639" s="714"/>
      <c r="EV639" s="272"/>
      <c r="EW639" s="576"/>
      <c r="EX639" s="576"/>
    </row>
    <row r="640" ht="17.5" customHeight="1" spans="101:154" x14ac:dyDescent="0.25">
      <c r="CW640" s="682"/>
      <c r="CX640" s="682"/>
      <c r="CY640" s="481">
        <v>2027</v>
      </c>
      <c r="CZ640" s="714"/>
      <c r="DA640" s="272"/>
      <c r="DB640" s="272"/>
      <c r="DC640" s="272"/>
      <c r="DD640" s="326">
        <f t="shared" si="264"/>
        <v>0</v>
      </c>
      <c r="DE640" s="114"/>
      <c r="DF640" s="576"/>
      <c r="DG640" s="682"/>
      <c r="DH640" s="682"/>
      <c r="DI640" s="682"/>
      <c r="DJ640" s="682"/>
      <c r="DK640" s="682"/>
      <c r="DL640" s="682"/>
      <c r="DM640" s="682"/>
      <c r="DN640" s="682"/>
      <c r="DO640" s="682"/>
      <c r="DP640" s="682"/>
      <c r="DQ640" s="682"/>
      <c r="DR640" s="682"/>
      <c r="DS640" s="682"/>
      <c r="DT640" s="682"/>
      <c r="DU640" s="574">
        <f t="shared" si="271"/>
        <v>-17.631</v>
      </c>
      <c r="DZ640" s="726">
        <v>2027</v>
      </c>
      <c r="EA640" s="714"/>
      <c r="EB640" s="272"/>
      <c r="EC640" s="687"/>
      <c r="EF640" s="682"/>
      <c r="EG640" s="682"/>
      <c r="EH640" s="682"/>
      <c r="EI640" s="682"/>
      <c r="EJ640" s="682"/>
      <c r="EK640" s="682"/>
      <c r="EL640" s="682"/>
      <c r="EM640" s="682"/>
      <c r="EN640" s="682"/>
      <c r="EO640" s="682"/>
      <c r="ES640" s="481">
        <v>2027</v>
      </c>
      <c r="ET640" s="714"/>
      <c r="EU640" s="714"/>
      <c r="EV640" s="272"/>
      <c r="EW640" s="576"/>
      <c r="EX640" s="576"/>
    </row>
    <row r="641" ht="17.5" customHeight="1" spans="101:154" x14ac:dyDescent="0.25">
      <c r="CW641" s="682"/>
      <c r="CX641" s="682"/>
      <c r="CY641" s="481">
        <v>2028</v>
      </c>
      <c r="CZ641" s="714"/>
      <c r="DA641" s="272"/>
      <c r="DB641" s="272"/>
      <c r="DC641" s="272"/>
      <c r="DD641" s="326">
        <f t="shared" si="264"/>
        <v>0</v>
      </c>
      <c r="DE641" s="114"/>
      <c r="DF641" s="576"/>
      <c r="DG641" s="682"/>
      <c r="DH641" s="682"/>
      <c r="DI641" s="682"/>
      <c r="DJ641" s="682"/>
      <c r="DK641" s="682"/>
      <c r="DL641" s="682"/>
      <c r="DM641" s="682"/>
      <c r="DN641" s="682"/>
      <c r="DO641" s="682"/>
      <c r="DP641" s="682"/>
      <c r="DQ641" s="682"/>
      <c r="DR641" s="682"/>
      <c r="DS641" s="682"/>
      <c r="DT641" s="682"/>
      <c r="DU641" s="574">
        <f t="shared" si="271"/>
        <v>-17.631</v>
      </c>
      <c r="DZ641" s="726">
        <v>2028</v>
      </c>
      <c r="EA641" s="714"/>
      <c r="EB641" s="272"/>
      <c r="EC641" s="687"/>
      <c r="EF641" s="682"/>
      <c r="EG641" s="682"/>
      <c r="EH641" s="682"/>
      <c r="EI641" s="682"/>
      <c r="EJ641" s="682"/>
      <c r="EK641" s="682"/>
      <c r="EL641" s="682"/>
      <c r="EM641" s="682"/>
      <c r="EN641" s="682"/>
      <c r="EO641" s="682"/>
      <c r="ES641" s="481">
        <v>2028</v>
      </c>
      <c r="ET641" s="714"/>
      <c r="EU641" s="714"/>
      <c r="EV641" s="272"/>
      <c r="EW641" s="576"/>
      <c r="EX641" s="576"/>
    </row>
    <row r="642" ht="17.5" customHeight="1" spans="101:154" x14ac:dyDescent="0.25">
      <c r="CW642" s="682"/>
      <c r="CX642" s="682"/>
      <c r="CY642" s="481">
        <v>2029</v>
      </c>
      <c r="CZ642" s="714"/>
      <c r="DA642" s="272"/>
      <c r="DB642" s="272"/>
      <c r="DC642" s="272"/>
      <c r="DD642" s="326">
        <f t="shared" si="264"/>
        <v>0</v>
      </c>
      <c r="DE642" s="114"/>
      <c r="DF642" s="576"/>
      <c r="DG642" s="682"/>
      <c r="DH642" s="682"/>
      <c r="DI642" s="682"/>
      <c r="DJ642" s="682"/>
      <c r="DK642" s="682"/>
      <c r="DL642" s="682"/>
      <c r="DM642" s="682"/>
      <c r="DN642" s="682"/>
      <c r="DO642" s="682"/>
      <c r="DP642" s="682"/>
      <c r="DQ642" s="682"/>
      <c r="DR642" s="682"/>
      <c r="DS642" s="682"/>
      <c r="DT642" s="682"/>
      <c r="DU642" s="574">
        <f t="shared" si="271"/>
        <v>-17.631</v>
      </c>
      <c r="DZ642" s="726">
        <v>2029</v>
      </c>
      <c r="EA642" s="714"/>
      <c r="EB642" s="272"/>
      <c r="EC642" s="687"/>
      <c r="EF642" s="682"/>
      <c r="EG642" s="682"/>
      <c r="EH642" s="682"/>
      <c r="EI642" s="682"/>
      <c r="EJ642" s="682"/>
      <c r="EK642" s="682"/>
      <c r="EL642" s="682"/>
      <c r="EM642" s="682"/>
      <c r="EN642" s="682"/>
      <c r="EO642" s="682"/>
      <c r="ES642" s="481">
        <v>2029</v>
      </c>
      <c r="ET642" s="714"/>
      <c r="EU642" s="714"/>
      <c r="EV642" s="272"/>
      <c r="EW642" s="576"/>
      <c r="EX642" s="576"/>
    </row>
    <row r="643" ht="15.75" customHeight="1" spans="101:154" x14ac:dyDescent="0.25">
      <c r="CW643" s="682"/>
      <c r="CX643" s="682"/>
      <c r="CY643" s="512">
        <v>2030</v>
      </c>
      <c r="CZ643" s="716"/>
      <c r="DA643" s="297"/>
      <c r="DB643" s="297"/>
      <c r="DC643" s="297"/>
      <c r="DD643" s="326">
        <f t="shared" si="264"/>
        <v>0</v>
      </c>
      <c r="DE643" s="173"/>
      <c r="DF643" s="581"/>
      <c r="DG643" s="682"/>
      <c r="DH643" s="682"/>
      <c r="DI643" s="682"/>
      <c r="DJ643" s="682"/>
      <c r="DK643" s="682"/>
      <c r="DL643" s="682"/>
      <c r="DM643" s="682"/>
      <c r="DN643" s="682"/>
      <c r="DO643" s="682"/>
      <c r="DP643" s="682"/>
      <c r="DQ643" s="682"/>
      <c r="DR643" s="682"/>
      <c r="DS643" s="682"/>
      <c r="DT643" s="682"/>
      <c r="DU643" s="386">
        <f t="shared" si="271"/>
        <v>-17.631</v>
      </c>
      <c r="DZ643" s="729">
        <v>2030</v>
      </c>
      <c r="EA643" s="730"/>
      <c r="EB643" s="577"/>
      <c r="EC643" s="697"/>
      <c r="EF643" s="682"/>
      <c r="EG643" s="682"/>
      <c r="EH643" s="682"/>
      <c r="EI643" s="682"/>
      <c r="EJ643" s="682"/>
      <c r="EK643" s="682"/>
      <c r="EL643" s="682"/>
      <c r="EM643" s="682"/>
      <c r="EN643" s="682"/>
      <c r="EO643" s="682"/>
      <c r="ES643" s="512">
        <v>2030</v>
      </c>
      <c r="ET643" s="716"/>
      <c r="EU643" s="716"/>
      <c r="EV643" s="297"/>
      <c r="EW643" s="581"/>
      <c r="EX643" s="581"/>
    </row>
    <row r="644" ht="18" customHeight="1" spans="101:124" x14ac:dyDescent="0.25">
      <c r="CW644" s="682"/>
      <c r="CX644" s="682"/>
      <c r="CY644" s="682"/>
      <c r="CZ644" s="682"/>
      <c r="DA644" s="682"/>
      <c r="DB644" s="682"/>
      <c r="DC644" s="682"/>
      <c r="DD644" s="682"/>
      <c r="DE644" s="682"/>
      <c r="DF644" s="682"/>
      <c r="DG644" s="682"/>
      <c r="DH644" s="682"/>
      <c r="DI644" s="682"/>
      <c r="DJ644" s="682"/>
      <c r="DK644" s="682"/>
      <c r="DL644" s="682"/>
      <c r="DM644" s="682"/>
      <c r="DN644" s="682"/>
      <c r="DO644" s="682"/>
      <c r="DP644" s="682"/>
      <c r="DQ644" s="682"/>
      <c r="DR644" s="682"/>
      <c r="DS644" s="682"/>
      <c r="DT644" s="682"/>
    </row>
    <row r="645" ht="17.5" customHeight="1" spans="115:115" x14ac:dyDescent="0.25">
      <c r="DK645" s="682"/>
    </row>
    <row r="647" ht="18" customHeight="1" spans="101:144" x14ac:dyDescent="0.25">
      <c r="CW647" s="682"/>
      <c r="CX647" s="682"/>
      <c r="CY647" s="682"/>
      <c r="CZ647" s="682"/>
      <c r="DA647" s="682"/>
      <c r="DB647" s="682"/>
      <c r="DC647" s="682"/>
      <c r="DD647" s="682"/>
      <c r="DE647" s="682"/>
      <c r="DF647" s="682"/>
      <c r="DG647" s="682"/>
      <c r="DH647" s="682"/>
      <c r="DI647" s="682"/>
      <c r="DJ647" s="682"/>
      <c r="DL647" s="682"/>
      <c r="DM647" s="682"/>
      <c r="DN647" s="682"/>
      <c r="DO647" s="682"/>
      <c r="DP647" s="682"/>
      <c r="DQ647" s="682"/>
      <c r="DR647" s="682"/>
      <c r="DU647" s="682"/>
      <c r="DV647" s="682"/>
      <c r="DW647" s="682"/>
      <c r="DX647" s="682"/>
      <c r="DY647" s="682"/>
      <c r="DZ647" s="682"/>
      <c r="EA647" s="682"/>
      <c r="EB647" s="682"/>
      <c r="EC647" s="682"/>
      <c r="ED647" s="682"/>
      <c r="EE647" s="682"/>
      <c r="EF647" s="682"/>
      <c r="EG647" s="682"/>
      <c r="EH647" s="682"/>
      <c r="EI647" s="682"/>
      <c r="EJ647" s="682"/>
      <c r="EK647" s="682"/>
      <c r="EL647" s="682"/>
      <c r="EM647" s="682"/>
      <c r="EN647" s="682"/>
    </row>
    <row r="648" ht="21" customHeight="1" spans="101:152" x14ac:dyDescent="0.25">
      <c r="CW648" s="682"/>
      <c r="CX648" s="682"/>
      <c r="CY648" s="718" t="s">
        <v>13</v>
      </c>
      <c r="CZ648" s="719" t="s">
        <v>351</v>
      </c>
      <c r="DA648" s="470" t="s">
        <v>793</v>
      </c>
      <c r="DB648" s="564" t="s">
        <v>648</v>
      </c>
      <c r="DC648" s="37" t="s">
        <v>789</v>
      </c>
      <c r="DD648" s="589" t="s">
        <v>644</v>
      </c>
      <c r="DE648" s="682"/>
      <c r="DF648" s="682"/>
      <c r="DG648" s="682"/>
      <c r="DH648" s="682"/>
      <c r="DI648" s="682"/>
      <c r="DJ648" s="682"/>
      <c r="DK648" s="682"/>
      <c r="DL648" s="682"/>
      <c r="DM648" s="682"/>
      <c r="DN648" s="682"/>
      <c r="DO648" s="682"/>
      <c r="DP648" s="682"/>
      <c r="DQ648" s="682"/>
      <c r="DR648" s="682"/>
      <c r="DS648" s="564" t="s">
        <v>648</v>
      </c>
      <c r="DU648" s="718" t="s">
        <v>13</v>
      </c>
      <c r="DV648" s="721" t="s">
        <v>351</v>
      </c>
      <c r="DW648" s="470" t="s">
        <v>793</v>
      </c>
      <c r="DX648" s="721" t="s">
        <v>652</v>
      </c>
      <c r="DY648" s="37" t="s">
        <v>789</v>
      </c>
      <c r="DZ648" s="589" t="s">
        <v>644</v>
      </c>
      <c r="EA648" s="589" t="s">
        <v>625</v>
      </c>
      <c r="EB648" s="589" t="s">
        <v>794</v>
      </c>
      <c r="EC648" s="589" t="s">
        <v>24</v>
      </c>
      <c r="ED648" s="682"/>
      <c r="EE648" s="682"/>
      <c r="EF648" s="682"/>
      <c r="EG648" s="682"/>
      <c r="EH648" s="682"/>
      <c r="EI648" s="682"/>
      <c r="EJ648" s="682"/>
      <c r="EK648" s="682"/>
      <c r="EL648" s="682"/>
      <c r="EM648" s="682"/>
      <c r="EN648" s="682"/>
      <c r="ES648" s="718" t="s">
        <v>13</v>
      </c>
      <c r="ET648" s="721" t="s">
        <v>351</v>
      </c>
      <c r="EU648" s="470" t="s">
        <v>793</v>
      </c>
      <c r="EV648" s="721" t="s">
        <v>652</v>
      </c>
    </row>
    <row r="649" ht="18" customHeight="1" spans="101:152" x14ac:dyDescent="0.25">
      <c r="CW649" s="682"/>
      <c r="CX649" s="682"/>
      <c r="CY649" s="324">
        <v>43673</v>
      </c>
      <c r="CZ649" s="723" t="s">
        <v>721</v>
      </c>
      <c r="DA649" s="724" t="s">
        <v>55</v>
      </c>
      <c r="DB649" s="570" t="s">
        <v>55</v>
      </c>
      <c r="DC649" s="724" t="s">
        <v>55</v>
      </c>
      <c r="DD649" s="724" t="s">
        <v>55</v>
      </c>
      <c r="DE649" s="682"/>
      <c r="DF649" s="682"/>
      <c r="DG649" s="682"/>
      <c r="DH649" s="682"/>
      <c r="DI649" s="682"/>
      <c r="DJ649" s="682"/>
      <c r="DK649" s="682"/>
      <c r="DL649" s="682"/>
      <c r="DM649" s="682"/>
      <c r="DN649" s="682"/>
      <c r="DO649" s="682"/>
      <c r="DP649" s="682"/>
      <c r="DQ649" s="682"/>
      <c r="DR649" s="682"/>
      <c r="DS649" s="570" t="s">
        <v>699</v>
      </c>
      <c r="DU649" s="129">
        <v>43666</v>
      </c>
      <c r="DV649" s="723" t="s">
        <v>721</v>
      </c>
      <c r="DW649" s="724" t="s">
        <v>55</v>
      </c>
      <c r="DX649" s="724" t="s">
        <v>56</v>
      </c>
      <c r="DY649" s="724" t="s">
        <v>56</v>
      </c>
      <c r="DZ649" s="724" t="s">
        <v>55</v>
      </c>
      <c r="EA649" s="724" t="s">
        <v>55</v>
      </c>
      <c r="EB649" s="724" t="s">
        <v>56</v>
      </c>
      <c r="EC649" s="724" t="s">
        <v>56</v>
      </c>
      <c r="ED649" s="682"/>
      <c r="EE649" s="682"/>
      <c r="EF649" s="682"/>
      <c r="EG649" s="682"/>
      <c r="EH649" s="682"/>
      <c r="EI649" s="682"/>
      <c r="EJ649" s="682"/>
      <c r="EK649" s="682"/>
      <c r="EL649" s="682"/>
      <c r="EM649" s="682"/>
      <c r="EN649" s="682"/>
      <c r="ES649" s="725">
        <v>43666</v>
      </c>
      <c r="ET649" s="731" t="s">
        <v>721</v>
      </c>
      <c r="EU649" s="724" t="s">
        <v>55</v>
      </c>
      <c r="EV649" s="724" t="s">
        <v>56</v>
      </c>
    </row>
    <row r="650" ht="18" customHeight="1" spans="101:152" x14ac:dyDescent="0.25">
      <c r="CW650" s="682"/>
      <c r="CX650" s="682"/>
      <c r="CY650" s="481">
        <v>1995</v>
      </c>
      <c r="CZ650" s="138">
        <f t="array" ref="CZ650:CZ671">TRANSPOSE(U83:AP83)</f>
        <v>230.407</v>
      </c>
      <c r="DA650" s="321">
        <f t="array" ref="DA650:DA671">TRANSPOSE(U166:AP166)</f>
        <v>1</v>
      </c>
      <c r="DB650" s="321">
        <v>1</v>
      </c>
      <c r="DC650" s="322">
        <v>1</v>
      </c>
      <c r="DD650" s="201">
        <v>1</v>
      </c>
      <c r="DE650" s="682"/>
      <c r="DF650" s="682"/>
      <c r="DG650" s="682"/>
      <c r="DH650" s="682"/>
      <c r="DI650" s="682"/>
      <c r="DJ650" s="682"/>
      <c r="DK650" s="682"/>
      <c r="DL650" s="682"/>
      <c r="DM650" s="682"/>
      <c r="DN650" s="682"/>
      <c r="DO650" s="682"/>
      <c r="DP650" s="682"/>
      <c r="DQ650" s="682"/>
      <c r="DR650" s="682"/>
      <c r="DS650" s="555">
        <v>1</v>
      </c>
      <c r="DU650" s="481">
        <v>1995</v>
      </c>
      <c r="DV650" s="404">
        <v>0.230407</v>
      </c>
      <c r="DW650" s="321">
        <v>1</v>
      </c>
      <c r="DX650" s="140">
        <f>DV650*1000</f>
        <v>230.407</v>
      </c>
      <c r="DY650" s="322"/>
      <c r="DZ650" s="201">
        <v>1</v>
      </c>
      <c r="EA650" s="482">
        <v>1</v>
      </c>
      <c r="EB650" s="140">
        <v>266.974</v>
      </c>
      <c r="EC650" s="56">
        <f>EB650</f>
        <v>266.974</v>
      </c>
      <c r="ED650" s="682"/>
      <c r="EE650" s="682"/>
      <c r="EF650" s="682"/>
      <c r="EG650" s="682"/>
      <c r="EH650" s="682"/>
      <c r="EI650" s="682"/>
      <c r="EJ650" s="682"/>
      <c r="EK650" s="682"/>
      <c r="EL650" s="682"/>
      <c r="EM650" s="682"/>
      <c r="EN650" s="682"/>
      <c r="ES650" s="481">
        <v>1995</v>
      </c>
      <c r="ET650" s="404">
        <v>0.230407</v>
      </c>
      <c r="EU650" s="321">
        <v>1</v>
      </c>
      <c r="EV650" s="56">
        <v>230.407</v>
      </c>
    </row>
    <row r="651" ht="17.5" customHeight="1" spans="101:152" x14ac:dyDescent="0.25">
      <c r="CW651" s="682"/>
      <c r="CX651" s="682"/>
      <c r="CY651" s="481">
        <v>1996</v>
      </c>
      <c r="CZ651" s="547">
        <v>334.302</v>
      </c>
      <c r="DA651" s="57">
        <v>0.8557993730407524</v>
      </c>
      <c r="DB651" s="57">
        <f t="shared" ref="DB651:DB671" si="272">CZ651/(CZ$650*DA651)</f>
        <v>1.695396731545807</v>
      </c>
      <c r="DC651" s="326">
        <f>DD651</f>
        <v>0</v>
      </c>
      <c r="DD651" s="75">
        <f t="shared" ref="DD651:DD685" si="273">DT185</f>
        <v>0</v>
      </c>
      <c r="DE651" s="682"/>
      <c r="DF651" s="682"/>
      <c r="DG651" s="682"/>
      <c r="DH651" s="682"/>
      <c r="DI651" s="682"/>
      <c r="DJ651" s="682"/>
      <c r="DK651" s="682"/>
      <c r="DL651" s="682"/>
      <c r="DM651" s="682"/>
      <c r="DN651" s="682"/>
      <c r="DO651" s="682"/>
      <c r="DP651" s="682"/>
      <c r="DQ651" s="682"/>
      <c r="DR651" s="682"/>
      <c r="DS651" s="574">
        <f>DB651</f>
        <v>1.695396731545807</v>
      </c>
      <c r="DU651" s="481">
        <v>1996</v>
      </c>
      <c r="DV651" s="728">
        <v>0.33430200000000004</v>
      </c>
      <c r="DW651" s="57">
        <v>0.8557993730407524</v>
      </c>
      <c r="DX651" s="55">
        <f t="shared" ref="DX651:DX671" si="274">DX$650*DW651</f>
        <v>197.18216614420064</v>
      </c>
      <c r="DY651" s="326"/>
      <c r="DZ651" s="75">
        <v>1.7194377618988257</v>
      </c>
      <c r="EA651" s="714">
        <v>0.819</v>
      </c>
      <c r="EB651" s="55">
        <v>375.958</v>
      </c>
      <c r="EC651" s="66">
        <f t="shared" ref="EC651:EC671" si="275">EC$650*EA651</f>
        <v>218.651706</v>
      </c>
      <c r="ED651" s="682"/>
      <c r="EE651" s="682"/>
      <c r="EF651" s="682"/>
      <c r="EG651" s="682"/>
      <c r="EH651" s="682"/>
      <c r="EI651" s="682"/>
      <c r="EJ651" s="682"/>
      <c r="EK651" s="682"/>
      <c r="EL651" s="682"/>
      <c r="EM651" s="682"/>
      <c r="EN651" s="682"/>
      <c r="ES651" s="481">
        <v>1996</v>
      </c>
      <c r="ET651" s="728">
        <v>0.33430200000000004</v>
      </c>
      <c r="EU651" s="57">
        <v>0.8557993730407524</v>
      </c>
      <c r="EV651" s="66">
        <v>197.18216614420064</v>
      </c>
    </row>
    <row r="652" ht="17.5" customHeight="1" spans="101:152" x14ac:dyDescent="0.25">
      <c r="CW652" s="682"/>
      <c r="CX652" s="682"/>
      <c r="CY652" s="481">
        <v>1997</v>
      </c>
      <c r="CZ652" s="547">
        <v>406.472</v>
      </c>
      <c r="DA652" s="57">
        <v>0.7304075235109718</v>
      </c>
      <c r="DB652" s="57">
        <f t="shared" si="272"/>
        <v>2.415292468742241</v>
      </c>
      <c r="DC652" s="326">
        <f t="shared" ref="DC652:DC671" si="276">DD652</f>
        <v>0</v>
      </c>
      <c r="DD652" s="75">
        <f t="shared" si="273"/>
        <v>0</v>
      </c>
      <c r="DE652" s="682"/>
      <c r="DF652" s="682"/>
      <c r="DG652" s="682"/>
      <c r="DH652" s="682"/>
      <c r="DI652" s="682"/>
      <c r="DJ652" s="682"/>
      <c r="DK652" s="682"/>
      <c r="DL652" s="682"/>
      <c r="DM652" s="682"/>
      <c r="DN652" s="682"/>
      <c r="DO652" s="682"/>
      <c r="DP652" s="682"/>
      <c r="DQ652" s="682"/>
      <c r="DR652" s="682"/>
      <c r="DS652" s="574">
        <f t="shared" ref="DS652:DS685" si="277">DB652</f>
        <v>2.415292468742241</v>
      </c>
      <c r="DU652" s="481">
        <v>1997</v>
      </c>
      <c r="DV652" s="728">
        <v>0.406472</v>
      </c>
      <c r="DW652" s="57">
        <v>0.7304075235109718</v>
      </c>
      <c r="DX652" s="55">
        <f t="shared" si="274"/>
        <v>168.2910062695925</v>
      </c>
      <c r="DY652" s="326">
        <f>0.7*DX652+0.2*DX651+0.1*DX650</f>
        <v>180.28083761755488</v>
      </c>
      <c r="DZ652" s="75">
        <v>1.9680277801214479</v>
      </c>
      <c r="EA652" s="487">
        <v>0.7780499999999999</v>
      </c>
      <c r="EB652" s="55">
        <v>408.797</v>
      </c>
      <c r="EC652" s="66">
        <f t="shared" si="275"/>
        <v>207.71912069999996</v>
      </c>
      <c r="ED652" s="682"/>
      <c r="EE652" s="682"/>
      <c r="EF652" s="682"/>
      <c r="EG652" s="682"/>
      <c r="EH652" s="682"/>
      <c r="EI652" s="682"/>
      <c r="EJ652" s="682"/>
      <c r="EK652" s="682"/>
      <c r="EL652" s="682"/>
      <c r="EM652" s="682"/>
      <c r="EN652" s="682"/>
      <c r="ES652" s="481">
        <v>1997</v>
      </c>
      <c r="ET652" s="728">
        <v>0.406472</v>
      </c>
      <c r="EU652" s="57">
        <v>0.7304075235109718</v>
      </c>
      <c r="EV652" s="66">
        <v>168.2910062695925</v>
      </c>
    </row>
    <row r="653" ht="17.5" customHeight="1" spans="101:152" x14ac:dyDescent="0.25">
      <c r="CW653" s="682"/>
      <c r="CX653" s="682"/>
      <c r="CY653" s="481">
        <v>1998</v>
      </c>
      <c r="CZ653" s="547">
        <v>428.564</v>
      </c>
      <c r="DA653" s="57">
        <v>0.6959247648902821</v>
      </c>
      <c r="DB653" s="57">
        <f t="shared" si="272"/>
        <v>2.6727462335842294</v>
      </c>
      <c r="DC653" s="326">
        <f t="shared" si="276"/>
        <v>0</v>
      </c>
      <c r="DD653" s="75">
        <f t="shared" si="273"/>
        <v>0</v>
      </c>
      <c r="DE653" s="682"/>
      <c r="DF653" s="682"/>
      <c r="DG653" s="682"/>
      <c r="DH653" s="682"/>
      <c r="DI653" s="682"/>
      <c r="DJ653" s="682"/>
      <c r="DK653" s="682"/>
      <c r="DL653" s="682"/>
      <c r="DM653" s="682"/>
      <c r="DN653" s="682"/>
      <c r="DO653" s="682"/>
      <c r="DP653" s="682"/>
      <c r="DQ653" s="682"/>
      <c r="DR653" s="682"/>
      <c r="DS653" s="574">
        <f t="shared" si="277"/>
        <v>2.6727462335842294</v>
      </c>
      <c r="DU653" s="481">
        <v>1998</v>
      </c>
      <c r="DV653" s="728">
        <v>0.428564</v>
      </c>
      <c r="DW653" s="57">
        <v>0.6959247648902821</v>
      </c>
      <c r="DX653" s="55">
        <f t="shared" si="274"/>
        <v>160.34593730407522</v>
      </c>
      <c r="DY653" s="326">
        <f t="shared" ref="DY653:DY671" si="278">0.7*DX653+0.2*DX652+0.1*DX651</f>
        <v>165.61857398119122</v>
      </c>
      <c r="DZ653" s="75">
        <v>2.2270348811115843</v>
      </c>
      <c r="EA653" s="487">
        <v>0.684684</v>
      </c>
      <c r="EB653" s="55">
        <v>407.086</v>
      </c>
      <c r="EC653" s="66">
        <f t="shared" si="275"/>
        <v>182.79282621599998</v>
      </c>
      <c r="ED653" s="682"/>
      <c r="EE653" s="682"/>
      <c r="EF653" s="682"/>
      <c r="EG653" s="682"/>
      <c r="EH653" s="682"/>
      <c r="EI653" s="682"/>
      <c r="EJ653" s="682"/>
      <c r="EK653" s="682"/>
      <c r="EL653" s="682"/>
      <c r="EM653" s="682"/>
      <c r="EN653" s="682"/>
      <c r="ES653" s="481">
        <v>1998</v>
      </c>
      <c r="ET653" s="728">
        <v>0.428564</v>
      </c>
      <c r="EU653" s="57">
        <v>0.6959247648902821</v>
      </c>
      <c r="EV653" s="66">
        <v>160.34593730407522</v>
      </c>
    </row>
    <row r="654" ht="17.5" customHeight="1" spans="101:152" x14ac:dyDescent="0.25">
      <c r="CW654" s="682"/>
      <c r="CX654" s="682"/>
      <c r="CY654" s="481">
        <v>1999</v>
      </c>
      <c r="CZ654" s="547">
        <v>597.306</v>
      </c>
      <c r="DA654" s="57">
        <v>0.7429467084639498</v>
      </c>
      <c r="DB654" s="57">
        <f t="shared" si="272"/>
        <v>3.4893420575027583</v>
      </c>
      <c r="DC654" s="326">
        <f t="shared" si="276"/>
        <v>0</v>
      </c>
      <c r="DD654" s="75">
        <f t="shared" si="273"/>
        <v>0</v>
      </c>
      <c r="DE654" s="682"/>
      <c r="DF654" s="682"/>
      <c r="DG654" s="682"/>
      <c r="DH654" s="682"/>
      <c r="DI654" s="682"/>
      <c r="DJ654" s="682"/>
      <c r="DK654" s="682"/>
      <c r="DL654" s="682"/>
      <c r="DM654" s="682"/>
      <c r="DN654" s="682"/>
      <c r="DO654" s="682"/>
      <c r="DP654" s="682"/>
      <c r="DQ654" s="682"/>
      <c r="DR654" s="682"/>
      <c r="DS654" s="574">
        <f t="shared" si="277"/>
        <v>3.4893420575027583</v>
      </c>
      <c r="DU654" s="481">
        <v>1999</v>
      </c>
      <c r="DV654" s="728">
        <v>0.597306</v>
      </c>
      <c r="DW654" s="57">
        <v>0.7429467084639498</v>
      </c>
      <c r="DX654" s="55">
        <f t="shared" si="274"/>
        <v>171.18012225705328</v>
      </c>
      <c r="DY654" s="326">
        <f t="shared" si="278"/>
        <v>168.72437366771157</v>
      </c>
      <c r="DZ654" s="75">
        <v>3.493098424873765</v>
      </c>
      <c r="EA654" s="487">
        <v>0.7189182</v>
      </c>
      <c r="EB654" s="55">
        <v>670.439</v>
      </c>
      <c r="EC654" s="66">
        <f t="shared" si="275"/>
        <v>191.93246752679997</v>
      </c>
      <c r="ED654" s="682"/>
      <c r="EE654" s="682"/>
      <c r="EF654" s="682"/>
      <c r="EG654" s="682"/>
      <c r="EH654" s="682"/>
      <c r="EI654" s="682"/>
      <c r="EJ654" s="682"/>
      <c r="EK654" s="682"/>
      <c r="EL654" s="682"/>
      <c r="EM654" s="682"/>
      <c r="EN654" s="682"/>
      <c r="ES654" s="481">
        <v>1999</v>
      </c>
      <c r="ET654" s="728">
        <v>0.597306</v>
      </c>
      <c r="EU654" s="57">
        <v>0.7429467084639498</v>
      </c>
      <c r="EV654" s="66">
        <v>171.18012225705328</v>
      </c>
    </row>
    <row r="655" ht="17.5" customHeight="1" spans="101:152" x14ac:dyDescent="0.25">
      <c r="CW655" s="682"/>
      <c r="CX655" s="682"/>
      <c r="CY655" s="481">
        <v>2000</v>
      </c>
      <c r="CZ655" s="547">
        <v>843.378</v>
      </c>
      <c r="DA655" s="57">
        <v>0.9278996865203764</v>
      </c>
      <c r="DB655" s="57">
        <f t="shared" si="272"/>
        <v>3.9448052793534916</v>
      </c>
      <c r="DC655" s="326">
        <f t="shared" si="276"/>
        <v>0</v>
      </c>
      <c r="DD655" s="75">
        <f t="shared" si="273"/>
        <v>0</v>
      </c>
      <c r="DE655" s="682"/>
      <c r="DF655" s="682"/>
      <c r="DG655" s="682"/>
      <c r="DH655" s="682"/>
      <c r="DI655" s="682"/>
      <c r="DJ655" s="682"/>
      <c r="DK655" s="682"/>
      <c r="DL655" s="682"/>
      <c r="DM655" s="682"/>
      <c r="DN655" s="682"/>
      <c r="DO655" s="682"/>
      <c r="DP655" s="682"/>
      <c r="DQ655" s="682"/>
      <c r="DR655" s="682"/>
      <c r="DS655" s="574">
        <f t="shared" si="277"/>
        <v>3.9448052793534916</v>
      </c>
      <c r="DU655" s="481">
        <v>2000</v>
      </c>
      <c r="DV655" s="728">
        <v>0.8433780000000001</v>
      </c>
      <c r="DW655" s="57">
        <v>0.9278996865203764</v>
      </c>
      <c r="DX655" s="55">
        <f t="shared" si="274"/>
        <v>213.79458307210035</v>
      </c>
      <c r="DY655" s="326">
        <f t="shared" si="278"/>
        <v>199.9268263322884</v>
      </c>
      <c r="DZ655" s="75">
        <v>5.171262749607017</v>
      </c>
      <c r="EA655" s="487">
        <v>0.8440099667999998</v>
      </c>
      <c r="EB655" s="55">
        <v>1165.234</v>
      </c>
      <c r="EC655" s="66">
        <f t="shared" si="275"/>
        <v>225.32871687646315</v>
      </c>
      <c r="ED655" s="682"/>
      <c r="EE655" s="682"/>
      <c r="EF655" s="682"/>
      <c r="EG655" s="682"/>
      <c r="EH655" s="682"/>
      <c r="EI655" s="682"/>
      <c r="EJ655" s="682"/>
      <c r="EK655" s="682"/>
      <c r="EL655" s="682"/>
      <c r="EM655" s="682"/>
      <c r="EN655" s="682"/>
      <c r="ES655" s="481">
        <v>2000</v>
      </c>
      <c r="ET655" s="728">
        <v>0.8433780000000001</v>
      </c>
      <c r="EU655" s="57">
        <v>0.9278996865203764</v>
      </c>
      <c r="EV655" s="66">
        <v>213.79458307210035</v>
      </c>
    </row>
    <row r="656" ht="17.5" customHeight="1" spans="101:152" x14ac:dyDescent="0.25">
      <c r="CW656" s="682"/>
      <c r="CX656" s="682"/>
      <c r="CY656" s="481">
        <v>2001</v>
      </c>
      <c r="CZ656" s="547">
        <v>1117.655</v>
      </c>
      <c r="DA656" s="57">
        <v>1.103448275862069</v>
      </c>
      <c r="DB656" s="57">
        <f t="shared" si="272"/>
        <v>4.396024616222597</v>
      </c>
      <c r="DC656" s="326">
        <f t="shared" si="276"/>
        <v>0</v>
      </c>
      <c r="DD656" s="75">
        <f t="shared" si="273"/>
        <v>0</v>
      </c>
      <c r="DE656" s="682"/>
      <c r="DF656" s="682"/>
      <c r="DG656" s="682"/>
      <c r="DH656" s="682"/>
      <c r="DI656" s="682"/>
      <c r="DJ656" s="682"/>
      <c r="DK656" s="682"/>
      <c r="DL656" s="682"/>
      <c r="DM656" s="682"/>
      <c r="DN656" s="682"/>
      <c r="DO656" s="682"/>
      <c r="DP656" s="682"/>
      <c r="DQ656" s="682"/>
      <c r="DR656" s="682"/>
      <c r="DS656" s="574">
        <f t="shared" si="277"/>
        <v>4.396024616222597</v>
      </c>
      <c r="DU656" s="481">
        <v>2001</v>
      </c>
      <c r="DV656" s="728">
        <v>1.117655</v>
      </c>
      <c r="DW656" s="57">
        <v>1.103448275862069</v>
      </c>
      <c r="DX656" s="55">
        <f t="shared" si="274"/>
        <v>254.24220689655172</v>
      </c>
      <c r="DY656" s="326">
        <f t="shared" si="278"/>
        <v>237.84647366771162</v>
      </c>
      <c r="DZ656" s="75">
        <v>6.070726846853921</v>
      </c>
      <c r="EA656" s="487">
        <v>0.9284109634799999</v>
      </c>
      <c r="EB656" s="55">
        <v>1504.7</v>
      </c>
      <c r="EC656" s="66">
        <f t="shared" si="275"/>
        <v>247.86158856410947</v>
      </c>
      <c r="ED656" s="682"/>
      <c r="EE656" s="682"/>
      <c r="EF656" s="682"/>
      <c r="EG656" s="682"/>
      <c r="EH656" s="682"/>
      <c r="EI656" s="682"/>
      <c r="EJ656" s="682"/>
      <c r="EK656" s="682"/>
      <c r="EL656" s="682"/>
      <c r="EM656" s="682"/>
      <c r="EN656" s="682"/>
      <c r="ES656" s="481">
        <v>2001</v>
      </c>
      <c r="ET656" s="728">
        <v>1.117655</v>
      </c>
      <c r="EU656" s="57">
        <v>1.103448275862069</v>
      </c>
      <c r="EV656" s="66">
        <v>254.24220689655172</v>
      </c>
    </row>
    <row r="657" ht="17.5" customHeight="1" spans="101:152" x14ac:dyDescent="0.25">
      <c r="CW657" s="682"/>
      <c r="CX657" s="682"/>
      <c r="CY657" s="481">
        <v>2002</v>
      </c>
      <c r="CZ657" s="547">
        <v>1615.063</v>
      </c>
      <c r="DA657" s="57">
        <v>1.1912225705329151</v>
      </c>
      <c r="DB657" s="57">
        <f t="shared" si="272"/>
        <v>5.884382361829743</v>
      </c>
      <c r="DC657" s="326">
        <f t="shared" si="276"/>
        <v>0</v>
      </c>
      <c r="DD657" s="75">
        <f t="shared" si="273"/>
        <v>0</v>
      </c>
      <c r="DE657" s="682"/>
      <c r="DF657" s="682"/>
      <c r="DG657" s="682"/>
      <c r="DH657" s="682"/>
      <c r="DI657" s="682"/>
      <c r="DJ657" s="682"/>
      <c r="DK657" s="682"/>
      <c r="DL657" s="682"/>
      <c r="DM657" s="682"/>
      <c r="DN657" s="682"/>
      <c r="DO657" s="682"/>
      <c r="DP657" s="682"/>
      <c r="DQ657" s="682"/>
      <c r="DR657" s="682"/>
      <c r="DS657" s="574">
        <f t="shared" si="277"/>
        <v>5.884382361829743</v>
      </c>
      <c r="DU657" s="481">
        <v>2002</v>
      </c>
      <c r="DV657" s="728">
        <v>1.6150630000000001</v>
      </c>
      <c r="DW657" s="57">
        <v>1.1912225705329151</v>
      </c>
      <c r="DX657" s="55">
        <f t="shared" si="274"/>
        <v>274.4660188087774</v>
      </c>
      <c r="DY657" s="326">
        <f t="shared" si="278"/>
        <v>264.35411285266457</v>
      </c>
      <c r="DZ657" s="75">
        <v>6.916750986271129</v>
      </c>
      <c r="EA657" s="487">
        <v>0.9544064704574399</v>
      </c>
      <c r="EB657" s="55">
        <v>1762.4</v>
      </c>
      <c r="EC657" s="66">
        <f t="shared" si="275"/>
        <v>254.80171304390456</v>
      </c>
      <c r="ED657" s="682"/>
      <c r="EE657" s="682"/>
      <c r="EF657" s="682"/>
      <c r="EG657" s="682"/>
      <c r="EH657" s="682"/>
      <c r="EI657" s="682"/>
      <c r="EJ657" s="682"/>
      <c r="EK657" s="682"/>
      <c r="EL657" s="682"/>
      <c r="EM657" s="682"/>
      <c r="EN657" s="682"/>
      <c r="ES657" s="481">
        <v>2002</v>
      </c>
      <c r="ET657" s="728">
        <v>1.6150630000000001</v>
      </c>
      <c r="EU657" s="57">
        <v>1.1912225705329151</v>
      </c>
      <c r="EV657" s="66">
        <v>274.4660188087774</v>
      </c>
    </row>
    <row r="658" ht="17.5" customHeight="1" spans="101:152" x14ac:dyDescent="0.25">
      <c r="CW658" s="682"/>
      <c r="CX658" s="682"/>
      <c r="CY658" s="481">
        <v>2003</v>
      </c>
      <c r="CZ658" s="547">
        <v>1815.658</v>
      </c>
      <c r="DA658" s="57">
        <v>1.3354231974921627</v>
      </c>
      <c r="DB658" s="57">
        <f t="shared" si="272"/>
        <v>5.900916404490272</v>
      </c>
      <c r="DC658" s="326">
        <f t="shared" si="276"/>
        <v>0</v>
      </c>
      <c r="DD658" s="75">
        <f t="shared" si="273"/>
        <v>0</v>
      </c>
      <c r="DE658" s="682"/>
      <c r="DF658" s="682"/>
      <c r="DG658" s="682"/>
      <c r="DH658" s="682"/>
      <c r="DI658" s="682"/>
      <c r="DJ658" s="682"/>
      <c r="DK658" s="682"/>
      <c r="DL658" s="682"/>
      <c r="DM658" s="682"/>
      <c r="DN658" s="682"/>
      <c r="DO658" s="682"/>
      <c r="DP658" s="682"/>
      <c r="DQ658" s="682"/>
      <c r="DR658" s="682"/>
      <c r="DS658" s="574">
        <f t="shared" si="277"/>
        <v>5.900916404490272</v>
      </c>
      <c r="DU658" s="481">
        <v>2003</v>
      </c>
      <c r="DV658" s="728">
        <v>1.815658</v>
      </c>
      <c r="DW658" s="57">
        <v>1.3354231974921627</v>
      </c>
      <c r="DX658" s="55">
        <f t="shared" si="274"/>
        <v>307.6908526645767</v>
      </c>
      <c r="DY658" s="326">
        <f t="shared" si="278"/>
        <v>295.70102131661434</v>
      </c>
      <c r="DZ658" s="75">
        <v>7.627368919343924</v>
      </c>
      <c r="EA658" s="487">
        <v>1.0737072792646198</v>
      </c>
      <c r="EB658" s="55">
        <v>2186.4</v>
      </c>
      <c r="EC658" s="66">
        <f t="shared" si="275"/>
        <v>286.6519271743926</v>
      </c>
      <c r="ED658" s="682"/>
      <c r="EE658" s="682"/>
      <c r="EF658" s="682"/>
      <c r="EG658" s="682"/>
      <c r="EH658" s="682"/>
      <c r="EI658" s="682"/>
      <c r="EJ658" s="682"/>
      <c r="EK658" s="682"/>
      <c r="EL658" s="682"/>
      <c r="EM658" s="682"/>
      <c r="EN658" s="682"/>
      <c r="ES658" s="481">
        <v>2003</v>
      </c>
      <c r="ET658" s="728">
        <v>1.815658</v>
      </c>
      <c r="EU658" s="57">
        <v>1.3354231974921627</v>
      </c>
      <c r="EV658" s="66">
        <v>307.6908526645767</v>
      </c>
    </row>
    <row r="659" ht="17.5" customHeight="1" spans="101:152" x14ac:dyDescent="0.25">
      <c r="CW659" s="682"/>
      <c r="CX659" s="682"/>
      <c r="CY659" s="481">
        <v>2004</v>
      </c>
      <c r="CZ659" s="547">
        <v>1972.112</v>
      </c>
      <c r="DA659" s="57">
        <v>1.4921630094043885</v>
      </c>
      <c r="DB659" s="57">
        <f t="shared" si="272"/>
        <v>5.736138604273995</v>
      </c>
      <c r="DC659" s="326">
        <f t="shared" si="276"/>
        <v>0</v>
      </c>
      <c r="DD659" s="75">
        <f t="shared" si="273"/>
        <v>0</v>
      </c>
      <c r="DE659" s="682"/>
      <c r="DF659" s="682"/>
      <c r="DG659" s="682"/>
      <c r="DH659" s="682"/>
      <c r="DI659" s="682"/>
      <c r="DJ659" s="682"/>
      <c r="DK659" s="682"/>
      <c r="DL659" s="682"/>
      <c r="DM659" s="682"/>
      <c r="DN659" s="682"/>
      <c r="DO659" s="682"/>
      <c r="DP659" s="682"/>
      <c r="DQ659" s="682"/>
      <c r="DR659" s="682"/>
      <c r="DS659" s="574">
        <f t="shared" si="277"/>
        <v>5.736138604273995</v>
      </c>
      <c r="DU659" s="481">
        <v>2004</v>
      </c>
      <c r="DV659" s="728">
        <v>1.972112</v>
      </c>
      <c r="DW659" s="57">
        <v>1.4921630094043885</v>
      </c>
      <c r="DX659" s="55">
        <f t="shared" si="274"/>
        <v>343.80480250783694</v>
      </c>
      <c r="DY659" s="326">
        <f t="shared" si="278"/>
        <v>329.64813416927893</v>
      </c>
      <c r="DZ659" s="75">
        <v>8.790413317796471</v>
      </c>
      <c r="EA659" s="487">
        <v>1.2208051765238728</v>
      </c>
      <c r="EB659" s="55">
        <v>2865</v>
      </c>
      <c r="EC659" s="66">
        <f t="shared" si="275"/>
        <v>325.92324119728437</v>
      </c>
      <c r="ED659" s="682"/>
      <c r="EE659" s="682"/>
      <c r="EF659" s="682"/>
      <c r="EG659" s="682"/>
      <c r="EH659" s="682"/>
      <c r="EI659" s="682"/>
      <c r="EJ659" s="682"/>
      <c r="EK659" s="682"/>
      <c r="EL659" s="682"/>
      <c r="EM659" s="682"/>
      <c r="EN659" s="682"/>
      <c r="ES659" s="481">
        <v>2004</v>
      </c>
      <c r="ET659" s="728">
        <v>1.972112</v>
      </c>
      <c r="EU659" s="57">
        <v>1.4921630094043885</v>
      </c>
      <c r="EV659" s="66">
        <v>343.80480250783694</v>
      </c>
    </row>
    <row r="660" ht="17.5" customHeight="1" spans="101:152" x14ac:dyDescent="0.25">
      <c r="CW660" s="682"/>
      <c r="CX660" s="682"/>
      <c r="CY660" s="481">
        <v>2005</v>
      </c>
      <c r="CZ660" s="547">
        <v>2943.686</v>
      </c>
      <c r="DA660" s="57">
        <v>1.6551724137931032</v>
      </c>
      <c r="DB660" s="57">
        <f t="shared" si="272"/>
        <v>7.718849506887089</v>
      </c>
      <c r="DC660" s="326">
        <f t="shared" si="276"/>
        <v>0</v>
      </c>
      <c r="DD660" s="75">
        <f t="shared" si="273"/>
        <v>0</v>
      </c>
      <c r="DE660" s="682"/>
      <c r="DF660" s="682"/>
      <c r="DG660" s="682"/>
      <c r="DH660" s="682"/>
      <c r="DI660" s="682"/>
      <c r="DJ660" s="682"/>
      <c r="DK660" s="682"/>
      <c r="DL660" s="682"/>
      <c r="DM660" s="682"/>
      <c r="DN660" s="682"/>
      <c r="DO660" s="682"/>
      <c r="DP660" s="682"/>
      <c r="DQ660" s="682"/>
      <c r="DR660" s="682"/>
      <c r="DS660" s="574">
        <f t="shared" si="277"/>
        <v>7.718849506887089</v>
      </c>
      <c r="DU660" s="481">
        <v>2005</v>
      </c>
      <c r="DV660" s="728">
        <v>2.943686</v>
      </c>
      <c r="DW660" s="57">
        <v>1.6551724137931032</v>
      </c>
      <c r="DX660" s="55">
        <f t="shared" si="274"/>
        <v>381.36331034482754</v>
      </c>
      <c r="DY660" s="326">
        <f t="shared" si="278"/>
        <v>366.4843630094044</v>
      </c>
      <c r="DZ660" s="75">
        <v>10.054085870175701</v>
      </c>
      <c r="EA660" s="487">
        <v>1.345327304529308</v>
      </c>
      <c r="EB660" s="55">
        <v>3611.1</v>
      </c>
      <c r="EC660" s="66">
        <f t="shared" si="275"/>
        <v>359.16741179940743</v>
      </c>
      <c r="ED660" s="682"/>
      <c r="EE660" s="682"/>
      <c r="EF660" s="682"/>
      <c r="EG660" s="682"/>
      <c r="EH660" s="682"/>
      <c r="EI660" s="682"/>
      <c r="EJ660" s="682"/>
      <c r="EK660" s="682"/>
      <c r="EL660" s="682"/>
      <c r="EM660" s="682"/>
      <c r="EN660" s="682"/>
      <c r="ES660" s="481">
        <v>2005</v>
      </c>
      <c r="ET660" s="728">
        <v>2.943686</v>
      </c>
      <c r="EU660" s="57">
        <v>1.6551724137931032</v>
      </c>
      <c r="EV660" s="66">
        <v>381.36331034482754</v>
      </c>
    </row>
    <row r="661" ht="17.5" customHeight="1" spans="101:152" x14ac:dyDescent="0.25">
      <c r="CW661" s="682"/>
      <c r="CX661" s="682"/>
      <c r="CY661" s="481">
        <v>2006</v>
      </c>
      <c r="CZ661" s="547">
        <v>3252.436</v>
      </c>
      <c r="DA661" s="57">
        <v>1.9247648902821313</v>
      </c>
      <c r="DB661" s="57">
        <f t="shared" si="272"/>
        <v>7.333907061981484</v>
      </c>
      <c r="DC661" s="326">
        <f t="shared" si="276"/>
        <v>0</v>
      </c>
      <c r="DD661" s="75">
        <f t="shared" si="273"/>
        <v>0</v>
      </c>
      <c r="DE661" s="682"/>
      <c r="DF661" s="682"/>
      <c r="DG661" s="682"/>
      <c r="DH661" s="682"/>
      <c r="DI661" s="682"/>
      <c r="DJ661" s="682"/>
      <c r="DK661" s="682"/>
      <c r="DL661" s="682"/>
      <c r="DM661" s="682"/>
      <c r="DN661" s="682"/>
      <c r="DO661" s="682"/>
      <c r="DP661" s="682"/>
      <c r="DQ661" s="682"/>
      <c r="DR661" s="682"/>
      <c r="DS661" s="574">
        <f t="shared" si="277"/>
        <v>7.333907061981484</v>
      </c>
      <c r="DU661" s="481">
        <v>2006</v>
      </c>
      <c r="DV661" s="728">
        <v>3.2524360000000003</v>
      </c>
      <c r="DW661" s="57">
        <v>1.9247648902821313</v>
      </c>
      <c r="DX661" s="55">
        <f t="shared" si="274"/>
        <v>443.47930407523506</v>
      </c>
      <c r="DY661" s="326">
        <f t="shared" si="278"/>
        <v>421.0886551724138</v>
      </c>
      <c r="DZ661" s="75">
        <v>11.28478682823815</v>
      </c>
      <c r="EA661" s="487">
        <v>1.5699969643857024</v>
      </c>
      <c r="EB661" s="55">
        <v>4730</v>
      </c>
      <c r="EC661" s="66">
        <f t="shared" si="275"/>
        <v>419.1483695699085</v>
      </c>
      <c r="ED661" s="682"/>
      <c r="EE661" s="682"/>
      <c r="EF661" s="682"/>
      <c r="EG661" s="682"/>
      <c r="EH661" s="682"/>
      <c r="EI661" s="682"/>
      <c r="EJ661" s="682"/>
      <c r="EK661" s="682"/>
      <c r="EL661" s="682"/>
      <c r="EM661" s="682"/>
      <c r="EN661" s="682"/>
      <c r="ES661" s="481">
        <v>2006</v>
      </c>
      <c r="ET661" s="728">
        <v>3.2524360000000003</v>
      </c>
      <c r="EU661" s="57">
        <v>1.9247648902821313</v>
      </c>
      <c r="EV661" s="66">
        <v>443.47930407523506</v>
      </c>
    </row>
    <row r="662" ht="17.5" customHeight="1" spans="101:152" x14ac:dyDescent="0.25">
      <c r="CW662" s="682"/>
      <c r="CX662" s="682"/>
      <c r="CY662" s="481">
        <v>2007</v>
      </c>
      <c r="CZ662" s="547">
        <v>4296.411</v>
      </c>
      <c r="DA662" s="57">
        <v>2.3479623824451408</v>
      </c>
      <c r="DB662" s="57">
        <f t="shared" si="272"/>
        <v>7.941801279807626</v>
      </c>
      <c r="DC662" s="326">
        <f t="shared" si="276"/>
        <v>0</v>
      </c>
      <c r="DD662" s="75">
        <f t="shared" si="273"/>
        <v>0</v>
      </c>
      <c r="DE662" s="682"/>
      <c r="DF662" s="682"/>
      <c r="DG662" s="682"/>
      <c r="DH662" s="682"/>
      <c r="DI662" s="682"/>
      <c r="DJ662" s="682"/>
      <c r="DK662" s="682"/>
      <c r="DL662" s="682"/>
      <c r="DM662" s="682"/>
      <c r="DN662" s="682"/>
      <c r="DO662" s="682"/>
      <c r="DP662" s="682"/>
      <c r="DQ662" s="682"/>
      <c r="DR662" s="682"/>
      <c r="DS662" s="574">
        <f t="shared" si="277"/>
        <v>7.941801279807626</v>
      </c>
      <c r="DU662" s="481">
        <v>2007</v>
      </c>
      <c r="DV662" s="728">
        <v>4.296411</v>
      </c>
      <c r="DW662" s="57">
        <v>2.3479623824451408</v>
      </c>
      <c r="DX662" s="55">
        <f t="shared" si="274"/>
        <v>540.9869686520376</v>
      </c>
      <c r="DY662" s="326">
        <f t="shared" si="278"/>
        <v>505.52306990595605</v>
      </c>
      <c r="DZ662" s="75">
        <v>13.059083510568808</v>
      </c>
      <c r="EA662" s="487">
        <v>1.9263862753012568</v>
      </c>
      <c r="EB662" s="55">
        <v>6716.222</v>
      </c>
      <c r="EC662" s="66">
        <f t="shared" si="275"/>
        <v>514.2950494622777</v>
      </c>
      <c r="ED662" s="682"/>
      <c r="EE662" s="682"/>
      <c r="EF662" s="682"/>
      <c r="EG662" s="682"/>
      <c r="EH662" s="682"/>
      <c r="EI662" s="682"/>
      <c r="EJ662" s="682"/>
      <c r="EK662" s="682"/>
      <c r="EL662" s="682"/>
      <c r="EM662" s="682"/>
      <c r="EN662" s="682"/>
      <c r="ES662" s="481">
        <v>2007</v>
      </c>
      <c r="ET662" s="728">
        <v>4.296411</v>
      </c>
      <c r="EU662" s="57">
        <v>2.3479623824451408</v>
      </c>
      <c r="EV662" s="66">
        <v>540.9869686520376</v>
      </c>
    </row>
    <row r="663" ht="17.5" customHeight="1" spans="101:152" x14ac:dyDescent="0.25">
      <c r="CW663" s="682"/>
      <c r="CX663" s="682"/>
      <c r="CY663" s="481">
        <v>2008</v>
      </c>
      <c r="CZ663" s="547">
        <v>5744.847</v>
      </c>
      <c r="DA663" s="57">
        <v>2.6771159874608146</v>
      </c>
      <c r="DB663" s="57">
        <f t="shared" si="272"/>
        <v>9.313557709187233</v>
      </c>
      <c r="DC663" s="326">
        <f t="shared" si="276"/>
        <v>0</v>
      </c>
      <c r="DD663" s="75">
        <f t="shared" si="273"/>
        <v>0</v>
      </c>
      <c r="DE663" s="682"/>
      <c r="DF663" s="682"/>
      <c r="DG663" s="682"/>
      <c r="DH663" s="682"/>
      <c r="DI663" s="682"/>
      <c r="DJ663" s="682"/>
      <c r="DK663" s="682"/>
      <c r="DL663" s="682"/>
      <c r="DM663" s="682"/>
      <c r="DN663" s="682"/>
      <c r="DO663" s="682"/>
      <c r="DP663" s="682"/>
      <c r="DQ663" s="682"/>
      <c r="DR663" s="682"/>
      <c r="DS663" s="574">
        <f t="shared" si="277"/>
        <v>9.313557709187233</v>
      </c>
      <c r="DU663" s="481">
        <v>2008</v>
      </c>
      <c r="DV663" s="728">
        <v>5.744847</v>
      </c>
      <c r="DW663" s="57">
        <v>2.6771159874608146</v>
      </c>
      <c r="DX663" s="55">
        <f t="shared" si="274"/>
        <v>616.826263322884</v>
      </c>
      <c r="DY663" s="326">
        <f t="shared" si="278"/>
        <v>584.3237084639497</v>
      </c>
      <c r="DZ663" s="75">
        <v>15.593657080025295</v>
      </c>
      <c r="EA663" s="487">
        <v>2.1093929714548763</v>
      </c>
      <c r="EB663" s="55">
        <v>8781.616</v>
      </c>
      <c r="EC663" s="66">
        <f t="shared" si="275"/>
        <v>563.1530791611941</v>
      </c>
      <c r="ED663" s="682"/>
      <c r="EE663" s="682"/>
      <c r="EF663" s="682"/>
      <c r="EG663" s="682"/>
      <c r="EH663" s="682"/>
      <c r="EI663" s="682"/>
      <c r="EJ663" s="682"/>
      <c r="EK663" s="682"/>
      <c r="EL663" s="682"/>
      <c r="EM663" s="682"/>
      <c r="EN663" s="682"/>
      <c r="ES663" s="481">
        <v>2008</v>
      </c>
      <c r="ET663" s="728">
        <v>5.744847</v>
      </c>
      <c r="EU663" s="57">
        <v>2.6771159874608146</v>
      </c>
      <c r="EV663" s="66">
        <v>616.826263322884</v>
      </c>
    </row>
    <row r="664" ht="17.5" customHeight="1" spans="101:152" x14ac:dyDescent="0.25">
      <c r="CW664" s="682"/>
      <c r="CX664" s="682"/>
      <c r="CY664" s="481">
        <v>2009</v>
      </c>
      <c r="CZ664" s="547">
        <v>6356.223</v>
      </c>
      <c r="DA664" s="57">
        <v>2.5862068965517233</v>
      </c>
      <c r="DB664" s="57">
        <f t="shared" si="272"/>
        <v>10.666948313202292</v>
      </c>
      <c r="DC664" s="326">
        <f t="shared" si="276"/>
        <v>0</v>
      </c>
      <c r="DD664" s="75">
        <f t="shared" si="273"/>
        <v>0</v>
      </c>
      <c r="DE664" s="682"/>
      <c r="DF664" s="682"/>
      <c r="DG664" s="682"/>
      <c r="DH664" s="682"/>
      <c r="DI664" s="682"/>
      <c r="DJ664" s="682"/>
      <c r="DK664" s="682"/>
      <c r="DL664" s="682"/>
      <c r="DM664" s="682"/>
      <c r="DN664" s="682"/>
      <c r="DO664" s="682"/>
      <c r="DP664" s="682"/>
      <c r="DQ664" s="682"/>
      <c r="DR664" s="682"/>
      <c r="DS664" s="574">
        <f t="shared" si="277"/>
        <v>10.666948313202292</v>
      </c>
      <c r="DU664" s="481">
        <v>2009</v>
      </c>
      <c r="DV664" s="728">
        <v>6.356223</v>
      </c>
      <c r="DW664" s="57">
        <v>2.5862068965517233</v>
      </c>
      <c r="DX664" s="55">
        <f t="shared" si="274"/>
        <v>595.8801724137929</v>
      </c>
      <c r="DY664" s="326">
        <f t="shared" si="278"/>
        <v>594.5800702194356</v>
      </c>
      <c r="DZ664" s="75">
        <v>16.37356629780111</v>
      </c>
      <c r="EA664" s="487">
        <v>1.824624920308468</v>
      </c>
      <c r="EB664" s="55">
        <v>7976.013</v>
      </c>
      <c r="EC664" s="66">
        <f t="shared" si="275"/>
        <v>487.1274134744329</v>
      </c>
      <c r="ED664" s="682"/>
      <c r="EE664" s="682"/>
      <c r="EF664" s="682"/>
      <c r="EG664" s="682"/>
      <c r="EH664" s="682"/>
      <c r="EI664" s="682"/>
      <c r="EJ664" s="682"/>
      <c r="EK664" s="682"/>
      <c r="EL664" s="682"/>
      <c r="EM664" s="682"/>
      <c r="EN664" s="682"/>
      <c r="ES664" s="481">
        <v>2009</v>
      </c>
      <c r="ET664" s="728">
        <v>6.356223</v>
      </c>
      <c r="EU664" s="57">
        <v>2.5862068965517233</v>
      </c>
      <c r="EV664" s="66">
        <v>595.8801724137929</v>
      </c>
    </row>
    <row r="665" ht="17.5" customHeight="1" spans="101:152" x14ac:dyDescent="0.25">
      <c r="CW665" s="682"/>
      <c r="CX665" s="682"/>
      <c r="CY665" s="481">
        <v>2010</v>
      </c>
      <c r="CZ665" s="547">
        <v>6275.931</v>
      </c>
      <c r="DA665" s="57">
        <v>2.41551724137931</v>
      </c>
      <c r="DB665" s="57">
        <f t="shared" si="272"/>
        <v>11.276448716775453</v>
      </c>
      <c r="DC665" s="326">
        <f t="shared" si="276"/>
        <v>0</v>
      </c>
      <c r="DD665" s="75">
        <f t="shared" si="273"/>
        <v>0</v>
      </c>
      <c r="DE665" s="682"/>
      <c r="DF665" s="682"/>
      <c r="DG665" s="682"/>
      <c r="DH665" s="682"/>
      <c r="DI665" s="682"/>
      <c r="DJ665" s="682"/>
      <c r="DK665" s="682"/>
      <c r="DL665" s="682"/>
      <c r="DM665" s="682"/>
      <c r="DN665" s="682"/>
      <c r="DO665" s="682"/>
      <c r="DP665" s="682"/>
      <c r="DQ665" s="682"/>
      <c r="DR665" s="682"/>
      <c r="DS665" s="574">
        <f t="shared" si="277"/>
        <v>11.276448716775453</v>
      </c>
      <c r="DU665" s="481">
        <v>2010</v>
      </c>
      <c r="DV665" s="728">
        <v>6.275931</v>
      </c>
      <c r="DW665" s="57">
        <v>2.41551724137931</v>
      </c>
      <c r="DX665" s="55">
        <f t="shared" si="274"/>
        <v>556.5520810344826</v>
      </c>
      <c r="DY665" s="326">
        <f t="shared" si="278"/>
        <v>570.4451175391848</v>
      </c>
      <c r="DZ665" s="75">
        <v>17.67440985603043</v>
      </c>
      <c r="EA665" s="487">
        <v>1.9395762902879012</v>
      </c>
      <c r="EB665" s="55">
        <v>9152.1</v>
      </c>
      <c r="EC665" s="66">
        <f t="shared" si="275"/>
        <v>517.8164405233222</v>
      </c>
      <c r="ED665" s="682"/>
      <c r="EE665" s="682"/>
      <c r="EF665" s="682"/>
      <c r="EG665" s="682"/>
      <c r="EH665" s="682"/>
      <c r="EI665" s="682"/>
      <c r="EJ665" s="682"/>
      <c r="EK665" s="682"/>
      <c r="EL665" s="682"/>
      <c r="EM665" s="682"/>
      <c r="EN665" s="682"/>
      <c r="ES665" s="481">
        <v>2010</v>
      </c>
      <c r="ET665" s="728">
        <v>6.275931</v>
      </c>
      <c r="EU665" s="57">
        <v>2.41551724137931</v>
      </c>
      <c r="EV665" s="66">
        <v>556.5520810344826</v>
      </c>
    </row>
    <row r="666" ht="17.5" customHeight="1" spans="101:152" x14ac:dyDescent="0.25">
      <c r="CW666" s="682"/>
      <c r="CX666" s="682"/>
      <c r="CY666" s="481">
        <v>2011</v>
      </c>
      <c r="CZ666" s="547">
        <v>8813.314</v>
      </c>
      <c r="DA666" s="57">
        <v>3.1141687910908358</v>
      </c>
      <c r="DB666" s="57">
        <f t="shared" si="272"/>
        <v>12.282914423380724</v>
      </c>
      <c r="DC666" s="326">
        <f t="shared" si="276"/>
        <v>0</v>
      </c>
      <c r="DD666" s="75">
        <f t="shared" si="273"/>
        <v>0</v>
      </c>
      <c r="DE666" s="682"/>
      <c r="DF666" s="682"/>
      <c r="DG666" s="682"/>
      <c r="DH666" s="682"/>
      <c r="DI666" s="682"/>
      <c r="DJ666" s="682"/>
      <c r="DK666" s="682"/>
      <c r="DL666" s="682"/>
      <c r="DM666" s="682"/>
      <c r="DN666" s="682"/>
      <c r="DO666" s="682"/>
      <c r="DP666" s="682"/>
      <c r="DQ666" s="682"/>
      <c r="DR666" s="682"/>
      <c r="DS666" s="574">
        <f t="shared" si="277"/>
        <v>12.282914423380724</v>
      </c>
      <c r="DU666" s="481">
        <v>2011</v>
      </c>
      <c r="DV666" s="728">
        <v>8.813314</v>
      </c>
      <c r="DW666" s="57">
        <v>3.1141687910908358</v>
      </c>
      <c r="DX666" s="55">
        <f t="shared" si="274"/>
        <v>717.5262886488663</v>
      </c>
      <c r="DY666" s="326">
        <f t="shared" si="278"/>
        <v>673.1668355024822</v>
      </c>
      <c r="DZ666" s="75">
        <v>19.23456644052476</v>
      </c>
      <c r="EA666" s="487">
        <v>2.149050529638995</v>
      </c>
      <c r="EB666" s="55">
        <v>11035.652</v>
      </c>
      <c r="EC666" s="66">
        <f t="shared" si="275"/>
        <v>573.740616099841</v>
      </c>
      <c r="ED666" s="682"/>
      <c r="EE666" s="682"/>
      <c r="EF666" s="682"/>
      <c r="EG666" s="682"/>
      <c r="EH666" s="682"/>
      <c r="EI666" s="682"/>
      <c r="EJ666" s="682"/>
      <c r="EK666" s="682"/>
      <c r="EL666" s="682"/>
      <c r="EM666" s="682"/>
      <c r="EN666" s="682"/>
      <c r="ES666" s="481">
        <v>2011</v>
      </c>
      <c r="ET666" s="728">
        <v>8.813314</v>
      </c>
      <c r="EU666" s="57">
        <v>3.1141687910908358</v>
      </c>
      <c r="EV666" s="66">
        <v>717.5262886488663</v>
      </c>
    </row>
    <row r="667" ht="17.5" customHeight="1" spans="101:152" x14ac:dyDescent="0.25">
      <c r="CW667" s="682"/>
      <c r="CX667" s="682"/>
      <c r="CY667" s="481">
        <v>2012</v>
      </c>
      <c r="CZ667" s="547">
        <v>10338.4</v>
      </c>
      <c r="DA667" s="57">
        <v>3.3866585603112838</v>
      </c>
      <c r="DB667" s="57">
        <f t="shared" si="272"/>
        <v>13.249096044334458</v>
      </c>
      <c r="DC667" s="326">
        <f t="shared" si="276"/>
        <v>0</v>
      </c>
      <c r="DD667" s="75">
        <f t="shared" si="273"/>
        <v>0</v>
      </c>
      <c r="DE667" s="682"/>
      <c r="DF667" s="682"/>
      <c r="DG667" s="682"/>
      <c r="DH667" s="682"/>
      <c r="DI667" s="682"/>
      <c r="DJ667" s="682"/>
      <c r="DK667" s="682"/>
      <c r="DL667" s="682"/>
      <c r="DM667" s="682"/>
      <c r="DN667" s="682"/>
      <c r="DO667" s="682"/>
      <c r="DP667" s="682"/>
      <c r="DQ667" s="682"/>
      <c r="DR667" s="682"/>
      <c r="DS667" s="574">
        <f t="shared" si="277"/>
        <v>13.249096044334458</v>
      </c>
      <c r="DU667" s="481">
        <v>2012</v>
      </c>
      <c r="DV667" s="728">
        <v>10.3384</v>
      </c>
      <c r="DW667" s="57">
        <v>3.3866585603112838</v>
      </c>
      <c r="DX667" s="55">
        <f t="shared" si="274"/>
        <v>780.309838905642</v>
      </c>
      <c r="DY667" s="326">
        <f t="shared" si="278"/>
        <v>745.3773530671708</v>
      </c>
      <c r="DZ667" s="75">
        <v>20.540168341333814</v>
      </c>
      <c r="EA667" s="487">
        <v>2.2951859656544467</v>
      </c>
      <c r="EB667" s="55">
        <v>12586.090400000001</v>
      </c>
      <c r="EC667" s="66">
        <f t="shared" si="275"/>
        <v>612.7549779946302</v>
      </c>
      <c r="ED667" s="682"/>
      <c r="EE667" s="682"/>
      <c r="EF667" s="682"/>
      <c r="EG667" s="682"/>
      <c r="EH667" s="682"/>
      <c r="EI667" s="682"/>
      <c r="EJ667" s="682"/>
      <c r="EK667" s="682"/>
      <c r="EL667" s="682"/>
      <c r="EM667" s="682"/>
      <c r="EN667" s="682"/>
      <c r="ES667" s="481">
        <v>2012</v>
      </c>
      <c r="ET667" s="728">
        <v>10.3384</v>
      </c>
      <c r="EU667" s="57">
        <v>3.3866585603112838</v>
      </c>
      <c r="EV667" s="66">
        <v>780.309838905642</v>
      </c>
    </row>
    <row r="668" ht="17.5" customHeight="1" spans="101:152" x14ac:dyDescent="0.25">
      <c r="CW668" s="682"/>
      <c r="CX668" s="682"/>
      <c r="CY668" s="481">
        <v>2013</v>
      </c>
      <c r="CZ668" s="547">
        <v>11160.485</v>
      </c>
      <c r="DA668" s="57">
        <v>3.4211008778696494</v>
      </c>
      <c r="DB668" s="57">
        <f t="shared" si="272"/>
        <v>14.158639315017053</v>
      </c>
      <c r="DC668" s="326">
        <f t="shared" si="276"/>
        <v>0</v>
      </c>
      <c r="DD668" s="75">
        <f t="shared" si="273"/>
        <v>0</v>
      </c>
      <c r="DE668" s="682"/>
      <c r="DF668" s="682"/>
      <c r="DG668" s="682"/>
      <c r="DH668" s="682"/>
      <c r="DI668" s="682"/>
      <c r="DJ668" s="682"/>
      <c r="DK668" s="682"/>
      <c r="DL668" s="682"/>
      <c r="DM668" s="682"/>
      <c r="DN668" s="682"/>
      <c r="DO668" s="682"/>
      <c r="DP668" s="682"/>
      <c r="DQ668" s="682"/>
      <c r="DR668" s="682"/>
      <c r="DS668" s="574">
        <f t="shared" si="277"/>
        <v>14.158639315017053</v>
      </c>
      <c r="DU668" s="481">
        <v>2013</v>
      </c>
      <c r="DV668" s="728">
        <v>11.160485000000001</v>
      </c>
      <c r="DW668" s="57">
        <v>3.4211008778696494</v>
      </c>
      <c r="DX668" s="55">
        <f t="shared" si="274"/>
        <v>788.2455899673124</v>
      </c>
      <c r="DY668" s="326">
        <f t="shared" si="278"/>
        <v>779.5865096231337</v>
      </c>
      <c r="DZ668" s="75">
        <v>21.776225011581566</v>
      </c>
      <c r="EA668" s="487">
        <v>2.313547453379682</v>
      </c>
      <c r="EB668" s="55">
        <v>13450.2382</v>
      </c>
      <c r="EC668" s="66">
        <f t="shared" si="275"/>
        <v>617.6570178185872</v>
      </c>
      <c r="ED668" s="682"/>
      <c r="EE668" s="682"/>
      <c r="EF668" s="682"/>
      <c r="EG668" s="682"/>
      <c r="EH668" s="682"/>
      <c r="EI668" s="682"/>
      <c r="EJ668" s="682"/>
      <c r="EK668" s="682"/>
      <c r="EL668" s="682"/>
      <c r="EM668" s="682"/>
      <c r="EN668" s="682"/>
      <c r="ES668" s="481">
        <v>2013</v>
      </c>
      <c r="ET668" s="728">
        <v>11.160485000000001</v>
      </c>
      <c r="EU668" s="57">
        <v>3.4211008778696494</v>
      </c>
      <c r="EV668" s="66">
        <v>788.2455899673124</v>
      </c>
    </row>
    <row r="669" ht="17.5" customHeight="1" spans="101:152" x14ac:dyDescent="0.25">
      <c r="CW669" s="682"/>
      <c r="CX669" s="682"/>
      <c r="CY669" s="481">
        <v>2014</v>
      </c>
      <c r="CZ669" s="547">
        <v>10888</v>
      </c>
      <c r="DA669" s="57">
        <v>3.3184678515335597</v>
      </c>
      <c r="DB669" s="57">
        <f t="shared" si="272"/>
        <v>14.240158664898734</v>
      </c>
      <c r="DC669" s="326">
        <f t="shared" si="276"/>
        <v>0</v>
      </c>
      <c r="DD669" s="75">
        <f t="shared" si="273"/>
        <v>0</v>
      </c>
      <c r="DE669" s="682"/>
      <c r="DF669" s="682"/>
      <c r="DG669" s="682"/>
      <c r="DH669" s="682"/>
      <c r="DI669" s="682"/>
      <c r="DJ669" s="682"/>
      <c r="DK669" s="682"/>
      <c r="DL669" s="682"/>
      <c r="DM669" s="682"/>
      <c r="DN669" s="682"/>
      <c r="DO669" s="682"/>
      <c r="DP669" s="682"/>
      <c r="DQ669" s="682"/>
      <c r="DR669" s="682"/>
      <c r="DS669" s="574">
        <f t="shared" si="277"/>
        <v>14.240158664898734</v>
      </c>
      <c r="DU669" s="481">
        <v>2014</v>
      </c>
      <c r="DV669" s="728">
        <v>10.888</v>
      </c>
      <c r="DW669" s="57">
        <v>3.3184678515335597</v>
      </c>
      <c r="DX669" s="55">
        <f t="shared" si="274"/>
        <v>764.598222268293</v>
      </c>
      <c r="DY669" s="326">
        <f t="shared" si="278"/>
        <v>770.8988574718318</v>
      </c>
      <c r="DZ669" s="75">
        <v>22.85145364414113</v>
      </c>
      <c r="EA669" s="487">
        <v>2.278844241578987</v>
      </c>
      <c r="EB669" s="55">
        <v>13902.6453</v>
      </c>
      <c r="EC669" s="66">
        <f t="shared" si="275"/>
        <v>608.3921625513084</v>
      </c>
      <c r="ED669" s="682"/>
      <c r="EE669" s="682"/>
      <c r="EF669" s="682"/>
      <c r="EG669" s="682"/>
      <c r="EH669" s="682"/>
      <c r="EI669" s="682"/>
      <c r="EJ669" s="682"/>
      <c r="EK669" s="682"/>
      <c r="EL669" s="682"/>
      <c r="EM669" s="682"/>
      <c r="EN669" s="682"/>
      <c r="ES669" s="481">
        <v>2014</v>
      </c>
      <c r="ET669" s="728">
        <v>10.888</v>
      </c>
      <c r="EU669" s="57">
        <v>3.3184678515335597</v>
      </c>
      <c r="EV669" s="66">
        <v>764.598222268293</v>
      </c>
    </row>
    <row r="670" ht="17.5" customHeight="1" spans="101:152" x14ac:dyDescent="0.25">
      <c r="CW670" s="682"/>
      <c r="CX670" s="682"/>
      <c r="CY670" s="481">
        <v>2015</v>
      </c>
      <c r="CZ670" s="547">
        <v>10721</v>
      </c>
      <c r="DA670" s="57">
        <v>3.1359521196992137</v>
      </c>
      <c r="DB670" s="57">
        <f t="shared" si="272"/>
        <v>14.83782359749283</v>
      </c>
      <c r="DC670" s="326">
        <f t="shared" si="276"/>
        <v>25.408791247612854</v>
      </c>
      <c r="DD670" s="75">
        <f t="shared" si="273"/>
        <v>25.408791247612854</v>
      </c>
      <c r="DE670" s="682"/>
      <c r="DF670" s="682"/>
      <c r="DG670" s="682"/>
      <c r="DH670" s="682"/>
      <c r="DI670" s="682"/>
      <c r="DJ670" s="682"/>
      <c r="DK670" s="682"/>
      <c r="DL670" s="682"/>
      <c r="DM670" s="682"/>
      <c r="DN670" s="682"/>
      <c r="DO670" s="682"/>
      <c r="DP670" s="682"/>
      <c r="DQ670" s="682"/>
      <c r="DR670" s="682"/>
      <c r="DS670" s="574">
        <f t="shared" si="277"/>
        <v>14.83782359749283</v>
      </c>
      <c r="DU670" s="481">
        <v>2015</v>
      </c>
      <c r="DV670" s="728">
        <v>10.721</v>
      </c>
      <c r="DW670" s="57">
        <v>3.1359521196992137</v>
      </c>
      <c r="DX670" s="55">
        <f t="shared" si="274"/>
        <v>722.5453200435368</v>
      </c>
      <c r="DY670" s="326">
        <f t="shared" si="278"/>
        <v>737.5259274808654</v>
      </c>
      <c r="DZ670" s="75">
        <v>25.408791247612857</v>
      </c>
      <c r="EA670" s="487">
        <v>2.0486809731795095</v>
      </c>
      <c r="EB670" s="55">
        <v>13897.2</v>
      </c>
      <c r="EC670" s="66">
        <f t="shared" si="275"/>
        <v>546.9445541336263</v>
      </c>
      <c r="ED670" s="682"/>
      <c r="EE670" s="682"/>
      <c r="EF670" s="682"/>
      <c r="EG670" s="682"/>
      <c r="EH670" s="682"/>
      <c r="EI670" s="682"/>
      <c r="EJ670" s="682"/>
      <c r="EK670" s="682"/>
      <c r="EL670" s="682"/>
      <c r="EM670" s="682"/>
      <c r="EN670" s="682"/>
      <c r="ES670" s="481">
        <v>2015</v>
      </c>
      <c r="ET670" s="728">
        <v>10.721</v>
      </c>
      <c r="EU670" s="57">
        <v>3.1359521196992137</v>
      </c>
      <c r="EV670" s="66">
        <v>722.5453200435368</v>
      </c>
    </row>
    <row r="671" ht="17.5" customHeight="1" spans="101:152" x14ac:dyDescent="0.25">
      <c r="CW671" s="682"/>
      <c r="CX671" s="682"/>
      <c r="CY671" s="481">
        <v>2016</v>
      </c>
      <c r="CZ671" s="547">
        <v>13256</v>
      </c>
      <c r="DA671" s="57">
        <v>3.6627920758086816</v>
      </c>
      <c r="DB671" s="57">
        <f t="shared" si="272"/>
        <v>15.70740928445748</v>
      </c>
      <c r="DC671" s="326">
        <f t="shared" si="276"/>
        <v>27.019844336572895</v>
      </c>
      <c r="DD671" s="75">
        <f t="shared" si="273"/>
        <v>27.019844336572895</v>
      </c>
      <c r="DE671" s="682"/>
      <c r="DF671" s="682"/>
      <c r="DG671" s="682"/>
      <c r="DH671" s="682"/>
      <c r="DI671" s="682"/>
      <c r="DJ671" s="682"/>
      <c r="DK671" s="682"/>
      <c r="DL671" s="682"/>
      <c r="DM671" s="682"/>
      <c r="DN671" s="682"/>
      <c r="DO671" s="682"/>
      <c r="DP671" s="682"/>
      <c r="DQ671" s="682"/>
      <c r="DR671" s="682"/>
      <c r="DS671" s="574">
        <f t="shared" si="277"/>
        <v>15.70740928445748</v>
      </c>
      <c r="DU671" s="481">
        <v>2016</v>
      </c>
      <c r="DV671" s="728">
        <v>13.256</v>
      </c>
      <c r="DW671" s="57">
        <v>3.6910156448859746</v>
      </c>
      <c r="DX671" s="55">
        <f t="shared" si="274"/>
        <v>850.4358416912428</v>
      </c>
      <c r="DY671" s="326">
        <f t="shared" si="278"/>
        <v>816.2739754194065</v>
      </c>
      <c r="DZ671" s="75">
        <v>27.019844336572895</v>
      </c>
      <c r="EA671" s="487">
        <v>2.0445836112331506</v>
      </c>
      <c r="EB671" s="55">
        <v>14748.8</v>
      </c>
      <c r="EC671" s="66">
        <f t="shared" si="275"/>
        <v>545.8506650253591</v>
      </c>
      <c r="ED671" s="682"/>
      <c r="EE671" s="682"/>
      <c r="EF671" s="682"/>
      <c r="EG671" s="682"/>
      <c r="EH671" s="682"/>
      <c r="EI671" s="682"/>
      <c r="EJ671" s="682"/>
      <c r="EK671" s="682"/>
      <c r="EL671" s="682"/>
      <c r="EM671" s="682"/>
      <c r="EN671" s="682"/>
      <c r="ES671" s="481">
        <v>2016</v>
      </c>
      <c r="ET671" s="728">
        <v>13.256</v>
      </c>
      <c r="EU671" s="57">
        <v>3.6910156448859746</v>
      </c>
      <c r="EV671" s="66">
        <v>850.4358416912428</v>
      </c>
    </row>
    <row r="672" ht="17.5" customHeight="1" spans="101:152" x14ac:dyDescent="0.25">
      <c r="CW672" s="682"/>
      <c r="CX672" s="682"/>
      <c r="CY672" s="481">
        <v>2017</v>
      </c>
      <c r="CZ672" s="487"/>
      <c r="DA672" s="46"/>
      <c r="DB672" s="57">
        <f>0.5602*DD672+1.219</f>
        <v>16.914253850263933</v>
      </c>
      <c r="DC672" s="326"/>
      <c r="DD672" s="75">
        <f t="shared" si="273"/>
        <v>28.017232863734257</v>
      </c>
      <c r="DE672" s="682"/>
      <c r="DF672" s="682"/>
      <c r="DG672" s="682"/>
      <c r="DH672" s="682"/>
      <c r="DI672" s="682"/>
      <c r="DJ672" s="682"/>
      <c r="DK672" s="682"/>
      <c r="DL672" s="682"/>
      <c r="DM672" s="682"/>
      <c r="DN672" s="682"/>
      <c r="DO672" s="682"/>
      <c r="DP672" s="682"/>
      <c r="DQ672" s="682"/>
      <c r="DR672" s="682"/>
      <c r="DS672" s="574">
        <f t="shared" si="277"/>
        <v>16.914253850263933</v>
      </c>
      <c r="DU672" s="481">
        <v>2017</v>
      </c>
      <c r="DV672" s="487"/>
      <c r="DW672" s="46"/>
      <c r="DX672" s="326"/>
      <c r="DY672" s="326"/>
      <c r="DZ672" s="75"/>
      <c r="EA672" s="714"/>
      <c r="EB672" s="272"/>
      <c r="EC672" s="576"/>
      <c r="ED672" s="682"/>
      <c r="EE672" s="682"/>
      <c r="EF672" s="682"/>
      <c r="EG672" s="682"/>
      <c r="EH672" s="682"/>
      <c r="EI672" s="682"/>
      <c r="EJ672" s="682"/>
      <c r="EK672" s="682"/>
      <c r="EL672" s="682"/>
      <c r="EM672" s="682"/>
      <c r="EN672" s="682"/>
      <c r="ES672" s="481">
        <v>2017</v>
      </c>
      <c r="ET672" s="487"/>
      <c r="EU672" s="46"/>
      <c r="EV672" s="575"/>
    </row>
    <row r="673" ht="17.5" customHeight="1" spans="101:152" x14ac:dyDescent="0.25">
      <c r="CW673" s="682"/>
      <c r="CX673" s="682"/>
      <c r="CY673" s="481">
        <v>2018</v>
      </c>
      <c r="CZ673" s="487"/>
      <c r="DA673" s="46"/>
      <c r="DB673" s="57">
        <f t="shared" ref="DB673:DB685" si="279">0.5602*DD673+1.219</f>
        <v>17.739110230626682</v>
      </c>
      <c r="DC673" s="326"/>
      <c r="DD673" s="75">
        <f t="shared" si="273"/>
        <v>29.48966481725577</v>
      </c>
      <c r="DE673" s="682"/>
      <c r="DF673" s="682"/>
      <c r="DG673" s="682"/>
      <c r="DH673" s="682"/>
      <c r="DI673" s="682"/>
      <c r="DJ673" s="682"/>
      <c r="DK673" s="682"/>
      <c r="DL673" s="682"/>
      <c r="DM673" s="682"/>
      <c r="DN673" s="682"/>
      <c r="DO673" s="682"/>
      <c r="DP673" s="682"/>
      <c r="DQ673" s="682"/>
      <c r="DR673" s="682"/>
      <c r="DS673" s="574">
        <f t="shared" si="277"/>
        <v>17.739110230626682</v>
      </c>
      <c r="DU673" s="481">
        <v>2018</v>
      </c>
      <c r="DV673" s="487"/>
      <c r="DW673" s="46"/>
      <c r="DX673" s="326"/>
      <c r="DY673" s="326"/>
      <c r="DZ673" s="75"/>
      <c r="EA673" s="714"/>
      <c r="EB673" s="272"/>
      <c r="EC673" s="576"/>
      <c r="ED673" s="682"/>
      <c r="EE673" s="682"/>
      <c r="EF673" s="682"/>
      <c r="EG673" s="682"/>
      <c r="EH673" s="682"/>
      <c r="EI673" s="682"/>
      <c r="EJ673" s="682"/>
      <c r="EK673" s="682"/>
      <c r="EL673" s="682"/>
      <c r="EM673" s="682"/>
      <c r="EN673" s="682"/>
      <c r="ES673" s="481">
        <v>2018</v>
      </c>
      <c r="ET673" s="487"/>
      <c r="EU673" s="46"/>
      <c r="EV673" s="575"/>
    </row>
    <row r="674" ht="17.5" customHeight="1" spans="101:152" x14ac:dyDescent="0.25">
      <c r="CW674" s="682"/>
      <c r="CX674" s="682"/>
      <c r="CY674" s="481">
        <v>2019</v>
      </c>
      <c r="CZ674" s="714"/>
      <c r="DA674" s="272"/>
      <c r="DB674" s="57">
        <f t="shared" si="279"/>
        <v>1.219</v>
      </c>
      <c r="DC674" s="272"/>
      <c r="DD674" s="75">
        <f t="shared" si="273"/>
        <v>0</v>
      </c>
      <c r="DE674" s="682"/>
      <c r="DF674" s="682"/>
      <c r="DG674" s="682"/>
      <c r="DH674" s="682"/>
      <c r="DI674" s="682"/>
      <c r="DJ674" s="682"/>
      <c r="DK674" s="682"/>
      <c r="DL674" s="682"/>
      <c r="DM674" s="682"/>
      <c r="DN674" s="682"/>
      <c r="DO674" s="682"/>
      <c r="DP674" s="682"/>
      <c r="DQ674" s="682"/>
      <c r="DR674" s="682"/>
      <c r="DS674" s="574">
        <f t="shared" si="277"/>
        <v>1.219</v>
      </c>
      <c r="DU674" s="481">
        <v>2019</v>
      </c>
      <c r="DV674" s="714"/>
      <c r="DW674" s="272"/>
      <c r="DX674" s="272"/>
      <c r="DY674" s="272"/>
      <c r="DZ674" s="575"/>
      <c r="EA674" s="714"/>
      <c r="EB674" s="272"/>
      <c r="EC674" s="576"/>
      <c r="ED674" s="682"/>
      <c r="EE674" s="682"/>
      <c r="EF674" s="682"/>
      <c r="EG674" s="682"/>
      <c r="EH674" s="682"/>
      <c r="EI674" s="682"/>
      <c r="EJ674" s="682"/>
      <c r="EK674" s="682"/>
      <c r="EL674" s="682"/>
      <c r="EM674" s="682"/>
      <c r="EN674" s="682"/>
      <c r="ES674" s="481">
        <v>2019</v>
      </c>
      <c r="ET674" s="714"/>
      <c r="EU674" s="272"/>
      <c r="EV674" s="576"/>
    </row>
    <row r="675" ht="17.5" customHeight="1" spans="101:152" x14ac:dyDescent="0.25">
      <c r="CW675" s="682"/>
      <c r="CX675" s="682"/>
      <c r="CY675" s="481">
        <v>2020</v>
      </c>
      <c r="CZ675" s="714"/>
      <c r="DA675" s="272"/>
      <c r="DB675" s="57">
        <f t="shared" si="279"/>
        <v>1.219</v>
      </c>
      <c r="DC675" s="272"/>
      <c r="DD675" s="75">
        <f t="shared" si="273"/>
        <v>0</v>
      </c>
      <c r="DE675" s="682"/>
      <c r="DF675" s="682"/>
      <c r="DG675" s="682"/>
      <c r="DH675" s="682"/>
      <c r="DI675" s="682"/>
      <c r="DJ675" s="682"/>
      <c r="DK675" s="682"/>
      <c r="DL675" s="682"/>
      <c r="DM675" s="682"/>
      <c r="DN675" s="682"/>
      <c r="DO675" s="682"/>
      <c r="DP675" s="682"/>
      <c r="DQ675" s="682"/>
      <c r="DR675" s="682"/>
      <c r="DS675" s="574">
        <f t="shared" si="277"/>
        <v>1.219</v>
      </c>
      <c r="DU675" s="481">
        <v>2020</v>
      </c>
      <c r="DV675" s="714"/>
      <c r="DW675" s="272"/>
      <c r="DX675" s="272"/>
      <c r="DY675" s="272"/>
      <c r="DZ675" s="575"/>
      <c r="EA675" s="714"/>
      <c r="EB675" s="272"/>
      <c r="EC675" s="576"/>
      <c r="ED675" s="682"/>
      <c r="EE675" s="682"/>
      <c r="EF675" s="682"/>
      <c r="EG675" s="682"/>
      <c r="EH675" s="682"/>
      <c r="EI675" s="682"/>
      <c r="EJ675" s="682"/>
      <c r="EK675" s="682"/>
      <c r="EL675" s="682"/>
      <c r="EM675" s="682"/>
      <c r="EN675" s="682"/>
      <c r="ES675" s="481">
        <v>2020</v>
      </c>
      <c r="ET675" s="714"/>
      <c r="EU675" s="272"/>
      <c r="EV675" s="576"/>
    </row>
    <row r="676" ht="17.5" customHeight="1" spans="101:152" x14ac:dyDescent="0.25">
      <c r="CW676" s="682"/>
      <c r="CX676" s="682"/>
      <c r="CY676" s="481">
        <v>2021</v>
      </c>
      <c r="CZ676" s="714"/>
      <c r="DA676" s="272"/>
      <c r="DB676" s="57">
        <f t="shared" si="279"/>
        <v>1.219</v>
      </c>
      <c r="DC676" s="272"/>
      <c r="DD676" s="75">
        <f t="shared" si="273"/>
        <v>0</v>
      </c>
      <c r="DE676" s="682"/>
      <c r="DF676" s="682"/>
      <c r="DG676" s="682"/>
      <c r="DH676" s="682"/>
      <c r="DI676" s="682"/>
      <c r="DJ676" s="682"/>
      <c r="DK676" s="682"/>
      <c r="DL676" s="682"/>
      <c r="DM676" s="682"/>
      <c r="DN676" s="682"/>
      <c r="DO676" s="682"/>
      <c r="DP676" s="682"/>
      <c r="DQ676" s="682"/>
      <c r="DR676" s="682"/>
      <c r="DS676" s="574">
        <f t="shared" si="277"/>
        <v>1.219</v>
      </c>
      <c r="DU676" s="481">
        <v>2021</v>
      </c>
      <c r="DV676" s="714"/>
      <c r="DW676" s="272"/>
      <c r="DX676" s="272"/>
      <c r="DY676" s="272"/>
      <c r="DZ676" s="576"/>
      <c r="EA676" s="714"/>
      <c r="EB676" s="272"/>
      <c r="EC676" s="576"/>
      <c r="ED676" s="682"/>
      <c r="EE676" s="682"/>
      <c r="EF676" s="682"/>
      <c r="EG676" s="682"/>
      <c r="EH676" s="682"/>
      <c r="EI676" s="682"/>
      <c r="EJ676" s="682"/>
      <c r="EK676" s="682"/>
      <c r="EL676" s="682"/>
      <c r="EM676" s="682"/>
      <c r="EN676" s="682"/>
      <c r="ES676" s="481">
        <v>2021</v>
      </c>
      <c r="ET676" s="714"/>
      <c r="EU676" s="272"/>
      <c r="EV676" s="576"/>
    </row>
    <row r="677" ht="17.5" customHeight="1" spans="101:152" x14ac:dyDescent="0.25">
      <c r="CW677" s="682"/>
      <c r="CX677" s="682"/>
      <c r="CY677" s="481">
        <v>2022</v>
      </c>
      <c r="CZ677" s="714"/>
      <c r="DA677" s="272"/>
      <c r="DB677" s="57">
        <f t="shared" si="279"/>
        <v>1.219</v>
      </c>
      <c r="DC677" s="272"/>
      <c r="DD677" s="75">
        <f t="shared" si="273"/>
        <v>0</v>
      </c>
      <c r="DE677" s="682"/>
      <c r="DF677" s="682"/>
      <c r="DG677" s="682"/>
      <c r="DH677" s="682"/>
      <c r="DI677" s="682"/>
      <c r="DJ677" s="682"/>
      <c r="DK677" s="682"/>
      <c r="DL677" s="682"/>
      <c r="DM677" s="682"/>
      <c r="DN677" s="682"/>
      <c r="DO677" s="682"/>
      <c r="DP677" s="682"/>
      <c r="DQ677" s="682"/>
      <c r="DR677" s="682"/>
      <c r="DS677" s="574">
        <f t="shared" si="277"/>
        <v>1.219</v>
      </c>
      <c r="DU677" s="481">
        <v>2022</v>
      </c>
      <c r="DV677" s="714"/>
      <c r="DW677" s="272"/>
      <c r="DX677" s="272"/>
      <c r="DY677" s="272"/>
      <c r="DZ677" s="576"/>
      <c r="EA677" s="714"/>
      <c r="EB677" s="272"/>
      <c r="EC677" s="576"/>
      <c r="ED677" s="682"/>
      <c r="EE677" s="682"/>
      <c r="EF677" s="682"/>
      <c r="EG677" s="682"/>
      <c r="EH677" s="682"/>
      <c r="EI677" s="682"/>
      <c r="EJ677" s="682"/>
      <c r="EK677" s="682"/>
      <c r="EL677" s="682"/>
      <c r="EM677" s="682"/>
      <c r="EN677" s="682"/>
      <c r="ES677" s="481">
        <v>2022</v>
      </c>
      <c r="ET677" s="714"/>
      <c r="EU677" s="272"/>
      <c r="EV677" s="576"/>
    </row>
    <row r="678" ht="17.5" customHeight="1" spans="101:152" x14ac:dyDescent="0.25">
      <c r="CW678" s="682"/>
      <c r="CX678" s="682"/>
      <c r="CY678" s="481">
        <v>2023</v>
      </c>
      <c r="CZ678" s="714"/>
      <c r="DA678" s="272"/>
      <c r="DB678" s="57">
        <f t="shared" si="279"/>
        <v>1.219</v>
      </c>
      <c r="DC678" s="272"/>
      <c r="DD678" s="75">
        <f t="shared" si="273"/>
        <v>0</v>
      </c>
      <c r="DE678" s="682"/>
      <c r="DF678" s="682"/>
      <c r="DG678" s="682"/>
      <c r="DH678" s="682"/>
      <c r="DI678" s="682"/>
      <c r="DJ678" s="682"/>
      <c r="DK678" s="682"/>
      <c r="DL678" s="682"/>
      <c r="DM678" s="682"/>
      <c r="DN678" s="682"/>
      <c r="DO678" s="682"/>
      <c r="DP678" s="682"/>
      <c r="DQ678" s="682"/>
      <c r="DR678" s="682"/>
      <c r="DS678" s="574">
        <f t="shared" si="277"/>
        <v>1.219</v>
      </c>
      <c r="DU678" s="481">
        <v>2023</v>
      </c>
      <c r="DV678" s="714"/>
      <c r="DW678" s="272"/>
      <c r="DX678" s="272"/>
      <c r="DY678" s="272"/>
      <c r="DZ678" s="576"/>
      <c r="EA678" s="714"/>
      <c r="EB678" s="272"/>
      <c r="EC678" s="576"/>
      <c r="ED678" s="682"/>
      <c r="EE678" s="682"/>
      <c r="EF678" s="682"/>
      <c r="EG678" s="682"/>
      <c r="EH678" s="682"/>
      <c r="EI678" s="682"/>
      <c r="EJ678" s="682"/>
      <c r="EK678" s="682"/>
      <c r="EL678" s="682"/>
      <c r="EM678" s="682"/>
      <c r="EN678" s="682"/>
      <c r="ES678" s="481">
        <v>2023</v>
      </c>
      <c r="ET678" s="714"/>
      <c r="EU678" s="272"/>
      <c r="EV678" s="576"/>
    </row>
    <row r="679" ht="17.5" customHeight="1" spans="101:152" x14ac:dyDescent="0.25">
      <c r="CW679" s="682"/>
      <c r="CX679" s="682"/>
      <c r="CY679" s="481">
        <v>2024</v>
      </c>
      <c r="CZ679" s="714"/>
      <c r="DA679" s="272"/>
      <c r="DB679" s="57">
        <f t="shared" si="279"/>
        <v>1.219</v>
      </c>
      <c r="DC679" s="272"/>
      <c r="DD679" s="75">
        <f t="shared" si="273"/>
        <v>0</v>
      </c>
      <c r="DE679" s="682"/>
      <c r="DF679" s="682"/>
      <c r="DG679" s="682"/>
      <c r="DH679" s="682"/>
      <c r="DI679" s="682"/>
      <c r="DJ679" s="682"/>
      <c r="DK679" s="682"/>
      <c r="DL679" s="682"/>
      <c r="DM679" s="682"/>
      <c r="DN679" s="682"/>
      <c r="DO679" s="682"/>
      <c r="DP679" s="682"/>
      <c r="DQ679" s="682"/>
      <c r="DR679" s="682"/>
      <c r="DS679" s="574">
        <f t="shared" si="277"/>
        <v>1.219</v>
      </c>
      <c r="DU679" s="481">
        <v>2024</v>
      </c>
      <c r="DV679" s="714"/>
      <c r="DW679" s="272"/>
      <c r="DX679" s="272"/>
      <c r="DY679" s="272"/>
      <c r="DZ679" s="576"/>
      <c r="EA679" s="714"/>
      <c r="EB679" s="272"/>
      <c r="EC679" s="576"/>
      <c r="ED679" s="682"/>
      <c r="EE679" s="682"/>
      <c r="EF679" s="682"/>
      <c r="EG679" s="682"/>
      <c r="EH679" s="682"/>
      <c r="EI679" s="682"/>
      <c r="EJ679" s="682"/>
      <c r="EK679" s="682"/>
      <c r="EL679" s="682"/>
      <c r="EM679" s="682"/>
      <c r="EN679" s="682"/>
      <c r="ES679" s="481">
        <v>2024</v>
      </c>
      <c r="ET679" s="714"/>
      <c r="EU679" s="272"/>
      <c r="EV679" s="576"/>
    </row>
    <row r="680" ht="17.5" customHeight="1" spans="101:152" x14ac:dyDescent="0.25">
      <c r="CW680" s="682"/>
      <c r="CX680" s="682"/>
      <c r="CY680" s="481">
        <v>2025</v>
      </c>
      <c r="CZ680" s="714"/>
      <c r="DA680" s="272"/>
      <c r="DB680" s="57">
        <f t="shared" si="279"/>
        <v>1.219</v>
      </c>
      <c r="DC680" s="272"/>
      <c r="DD680" s="75">
        <f t="shared" si="273"/>
        <v>0</v>
      </c>
      <c r="DE680" s="682"/>
      <c r="DF680" s="682"/>
      <c r="DG680" s="682"/>
      <c r="DH680" s="682"/>
      <c r="DI680" s="682"/>
      <c r="DJ680" s="682"/>
      <c r="DK680" s="682"/>
      <c r="DL680" s="682"/>
      <c r="DM680" s="682"/>
      <c r="DN680" s="682"/>
      <c r="DO680" s="682"/>
      <c r="DP680" s="682"/>
      <c r="DQ680" s="682"/>
      <c r="DR680" s="682"/>
      <c r="DS680" s="574">
        <f t="shared" si="277"/>
        <v>1.219</v>
      </c>
      <c r="DU680" s="481">
        <v>2025</v>
      </c>
      <c r="DV680" s="714"/>
      <c r="DW680" s="272"/>
      <c r="DX680" s="272"/>
      <c r="DY680" s="272"/>
      <c r="DZ680" s="576"/>
      <c r="EA680" s="714"/>
      <c r="EB680" s="272"/>
      <c r="EC680" s="576"/>
      <c r="ED680" s="682"/>
      <c r="EE680" s="682"/>
      <c r="EF680" s="682"/>
      <c r="EG680" s="682"/>
      <c r="EH680" s="682"/>
      <c r="EI680" s="682"/>
      <c r="EJ680" s="682"/>
      <c r="EK680" s="682"/>
      <c r="EL680" s="682"/>
      <c r="EM680" s="682"/>
      <c r="EN680" s="682"/>
      <c r="ES680" s="481">
        <v>2025</v>
      </c>
      <c r="ET680" s="714"/>
      <c r="EU680" s="272"/>
      <c r="EV680" s="576"/>
    </row>
    <row r="681" ht="17.5" customHeight="1" spans="101:152" x14ac:dyDescent="0.25">
      <c r="CW681" s="682"/>
      <c r="CX681" s="682"/>
      <c r="CY681" s="481">
        <v>2026</v>
      </c>
      <c r="CZ681" s="714"/>
      <c r="DA681" s="272"/>
      <c r="DB681" s="57">
        <f t="shared" si="279"/>
        <v>1.219</v>
      </c>
      <c r="DC681" s="272"/>
      <c r="DD681" s="75">
        <f t="shared" si="273"/>
        <v>0</v>
      </c>
      <c r="DE681" s="682"/>
      <c r="DF681" s="682"/>
      <c r="DG681" s="682"/>
      <c r="DH681" s="682"/>
      <c r="DI681" s="682"/>
      <c r="DJ681" s="682"/>
      <c r="DK681" s="682"/>
      <c r="DL681" s="682"/>
      <c r="DM681" s="682"/>
      <c r="DN681" s="682"/>
      <c r="DO681" s="682"/>
      <c r="DP681" s="682"/>
      <c r="DQ681" s="682"/>
      <c r="DR681" s="682"/>
      <c r="DS681" s="574">
        <f t="shared" si="277"/>
        <v>1.219</v>
      </c>
      <c r="DU681" s="481">
        <v>2026</v>
      </c>
      <c r="DV681" s="714"/>
      <c r="DW681" s="272"/>
      <c r="DX681" s="272"/>
      <c r="DY681" s="272"/>
      <c r="DZ681" s="576"/>
      <c r="EA681" s="714"/>
      <c r="EB681" s="272"/>
      <c r="EC681" s="576"/>
      <c r="ED681" s="682"/>
      <c r="EE681" s="682"/>
      <c r="EF681" s="682"/>
      <c r="EG681" s="682"/>
      <c r="EH681" s="682"/>
      <c r="EI681" s="682"/>
      <c r="EJ681" s="682"/>
      <c r="EK681" s="682"/>
      <c r="EL681" s="682"/>
      <c r="EM681" s="682"/>
      <c r="EN681" s="682"/>
      <c r="ES681" s="481">
        <v>2026</v>
      </c>
      <c r="ET681" s="714"/>
      <c r="EU681" s="272"/>
      <c r="EV681" s="576"/>
    </row>
    <row r="682" ht="17.5" customHeight="1" spans="101:152" x14ac:dyDescent="0.25">
      <c r="CW682" s="682"/>
      <c r="CX682" s="682"/>
      <c r="CY682" s="481">
        <v>2027</v>
      </c>
      <c r="CZ682" s="714"/>
      <c r="DA682" s="272"/>
      <c r="DB682" s="57">
        <f t="shared" si="279"/>
        <v>1.219</v>
      </c>
      <c r="DC682" s="272"/>
      <c r="DD682" s="75">
        <f t="shared" si="273"/>
        <v>0</v>
      </c>
      <c r="DE682" s="682"/>
      <c r="DF682" s="682"/>
      <c r="DG682" s="682"/>
      <c r="DH682" s="682"/>
      <c r="DI682" s="682"/>
      <c r="DJ682" s="682"/>
      <c r="DK682" s="682"/>
      <c r="DL682" s="682"/>
      <c r="DM682" s="682"/>
      <c r="DN682" s="682"/>
      <c r="DO682" s="682"/>
      <c r="DP682" s="682"/>
      <c r="DQ682" s="682"/>
      <c r="DR682" s="682"/>
      <c r="DS682" s="574">
        <f t="shared" si="277"/>
        <v>1.219</v>
      </c>
      <c r="DU682" s="481">
        <v>2027</v>
      </c>
      <c r="DV682" s="714"/>
      <c r="DW682" s="272"/>
      <c r="DX682" s="272"/>
      <c r="DY682" s="272"/>
      <c r="DZ682" s="576"/>
      <c r="EA682" s="714"/>
      <c r="EB682" s="272"/>
      <c r="EC682" s="576"/>
      <c r="ED682" s="682"/>
      <c r="EE682" s="682"/>
      <c r="EF682" s="682"/>
      <c r="EG682" s="682"/>
      <c r="EH682" s="682"/>
      <c r="EI682" s="682"/>
      <c r="EJ682" s="682"/>
      <c r="EK682" s="682"/>
      <c r="EL682" s="682"/>
      <c r="EM682" s="682"/>
      <c r="EN682" s="682"/>
      <c r="ES682" s="481">
        <v>2027</v>
      </c>
      <c r="ET682" s="714"/>
      <c r="EU682" s="272"/>
      <c r="EV682" s="576"/>
    </row>
    <row r="683" ht="17.5" customHeight="1" spans="101:152" x14ac:dyDescent="0.25">
      <c r="CW683" s="682"/>
      <c r="CX683" s="682"/>
      <c r="CY683" s="481">
        <v>2028</v>
      </c>
      <c r="CZ683" s="714"/>
      <c r="DA683" s="272"/>
      <c r="DB683" s="57">
        <f t="shared" si="279"/>
        <v>1.219</v>
      </c>
      <c r="DC683" s="272"/>
      <c r="DD683" s="75">
        <f t="shared" si="273"/>
        <v>0</v>
      </c>
      <c r="DE683" s="682"/>
      <c r="DF683" s="682"/>
      <c r="DG683" s="682"/>
      <c r="DH683" s="682"/>
      <c r="DI683" s="682"/>
      <c r="DJ683" s="682"/>
      <c r="DK683" s="682"/>
      <c r="DL683" s="682"/>
      <c r="DM683" s="682"/>
      <c r="DN683" s="682"/>
      <c r="DO683" s="682"/>
      <c r="DP683" s="682"/>
      <c r="DQ683" s="682"/>
      <c r="DR683" s="682"/>
      <c r="DS683" s="574">
        <f t="shared" si="277"/>
        <v>1.219</v>
      </c>
      <c r="DU683" s="481">
        <v>2028</v>
      </c>
      <c r="DV683" s="714"/>
      <c r="DW683" s="272"/>
      <c r="DX683" s="272"/>
      <c r="DY683" s="272"/>
      <c r="DZ683" s="576"/>
      <c r="EA683" s="714"/>
      <c r="EB683" s="272"/>
      <c r="EC683" s="576"/>
      <c r="ED683" s="682"/>
      <c r="EE683" s="682"/>
      <c r="EF683" s="682"/>
      <c r="EG683" s="682"/>
      <c r="EH683" s="682"/>
      <c r="EI683" s="682"/>
      <c r="EJ683" s="682"/>
      <c r="EK683" s="682"/>
      <c r="EL683" s="682"/>
      <c r="EM683" s="682"/>
      <c r="EN683" s="682"/>
      <c r="ES683" s="481">
        <v>2028</v>
      </c>
      <c r="ET683" s="714"/>
      <c r="EU683" s="272"/>
      <c r="EV683" s="576"/>
    </row>
    <row r="684" ht="17.5" customHeight="1" spans="101:152" x14ac:dyDescent="0.25">
      <c r="CW684" s="682"/>
      <c r="CX684" s="682"/>
      <c r="CY684" s="481">
        <v>2029</v>
      </c>
      <c r="CZ684" s="714"/>
      <c r="DA684" s="272"/>
      <c r="DB684" s="57">
        <f t="shared" si="279"/>
        <v>1.219</v>
      </c>
      <c r="DC684" s="272"/>
      <c r="DD684" s="75">
        <f t="shared" si="273"/>
        <v>0</v>
      </c>
      <c r="DE684" s="682"/>
      <c r="DF684" s="682"/>
      <c r="DG684" s="682"/>
      <c r="DH684" s="682"/>
      <c r="DI684" s="682"/>
      <c r="DJ684" s="682"/>
      <c r="DK684" s="682"/>
      <c r="DL684" s="682"/>
      <c r="DM684" s="682"/>
      <c r="DN684" s="682"/>
      <c r="DO684" s="682"/>
      <c r="DP684" s="682"/>
      <c r="DQ684" s="682"/>
      <c r="DR684" s="682"/>
      <c r="DS684" s="574">
        <f t="shared" si="277"/>
        <v>1.219</v>
      </c>
      <c r="DU684" s="481">
        <v>2029</v>
      </c>
      <c r="DV684" s="714"/>
      <c r="DW684" s="272"/>
      <c r="DX684" s="272"/>
      <c r="DY684" s="272"/>
      <c r="DZ684" s="576"/>
      <c r="EA684" s="714"/>
      <c r="EB684" s="272"/>
      <c r="EC684" s="576"/>
      <c r="ED684" s="682"/>
      <c r="EE684" s="682"/>
      <c r="EF684" s="682"/>
      <c r="EG684" s="682"/>
      <c r="EH684" s="682"/>
      <c r="EI684" s="682"/>
      <c r="EJ684" s="682"/>
      <c r="EK684" s="682"/>
      <c r="EL684" s="682"/>
      <c r="EM684" s="682"/>
      <c r="EN684" s="682"/>
      <c r="ES684" s="481">
        <v>2029</v>
      </c>
      <c r="ET684" s="714"/>
      <c r="EU684" s="272"/>
      <c r="EV684" s="576"/>
    </row>
    <row r="685" ht="17.5" customHeight="1" spans="101:152" x14ac:dyDescent="0.25">
      <c r="CW685" s="682"/>
      <c r="CX685" s="682"/>
      <c r="CY685" s="512">
        <v>2030</v>
      </c>
      <c r="CZ685" s="716"/>
      <c r="DA685" s="297"/>
      <c r="DB685" s="94">
        <f t="shared" si="279"/>
        <v>1.219</v>
      </c>
      <c r="DC685" s="297"/>
      <c r="DD685" s="75">
        <f t="shared" si="273"/>
        <v>0</v>
      </c>
      <c r="DE685" s="682"/>
      <c r="DF685" s="682"/>
      <c r="DG685" s="682"/>
      <c r="DH685" s="682"/>
      <c r="DI685" s="682"/>
      <c r="DJ685" s="682"/>
      <c r="DK685" s="682"/>
      <c r="DL685" s="682"/>
      <c r="DM685" s="682"/>
      <c r="DN685" s="682"/>
      <c r="DO685" s="682"/>
      <c r="DP685" s="682"/>
      <c r="DQ685" s="682"/>
      <c r="DR685" s="682"/>
      <c r="DS685" s="386">
        <f t="shared" si="277"/>
        <v>1.219</v>
      </c>
      <c r="DU685" s="512">
        <v>2030</v>
      </c>
      <c r="DV685" s="716"/>
      <c r="DW685" s="297"/>
      <c r="DX685" s="297"/>
      <c r="DY685" s="297"/>
      <c r="DZ685" s="581"/>
      <c r="EA685" s="716"/>
      <c r="EB685" s="297"/>
      <c r="EC685" s="581"/>
      <c r="ED685" s="682"/>
      <c r="EE685" s="682"/>
      <c r="EF685" s="682"/>
      <c r="EG685" s="682"/>
      <c r="EH685" s="682"/>
      <c r="EI685" s="682"/>
      <c r="EJ685" s="682"/>
      <c r="EK685" s="682"/>
      <c r="EL685" s="682"/>
      <c r="EM685" s="682"/>
      <c r="EN685" s="682"/>
      <c r="ES685" s="512">
        <v>2030</v>
      </c>
      <c r="ET685" s="716"/>
      <c r="EU685" s="297"/>
      <c r="EV685" s="581"/>
    </row>
    <row r="686" ht="17.5" customHeight="1" spans="115:115" x14ac:dyDescent="0.25">
      <c r="DK686" s="682"/>
    </row>
    <row r="690" ht="19.5" customHeight="1" x14ac:dyDescent="0.25"/>
    <row r="691" ht="16.25" customHeight="1" x14ac:dyDescent="0.25"/>
    <row r="692" ht="21" customHeight="1" spans="101:192" x14ac:dyDescent="0.25">
      <c r="CW692" s="682"/>
      <c r="CX692" s="682"/>
      <c r="CY692" s="732" t="s">
        <v>13</v>
      </c>
      <c r="CZ692" s="733" t="s">
        <v>795</v>
      </c>
      <c r="DA692" s="734" t="s">
        <v>589</v>
      </c>
      <c r="DE692" s="682"/>
      <c r="DF692" s="682"/>
      <c r="DG692" s="682"/>
      <c r="DH692" s="682"/>
      <c r="DI692" s="682"/>
      <c r="DJ692" s="682"/>
      <c r="DL692" s="682"/>
      <c r="DM692" s="682"/>
      <c r="DN692" s="682"/>
      <c r="DO692" s="682"/>
      <c r="DP692" s="682"/>
      <c r="DQ692" s="682"/>
      <c r="DR692" s="682"/>
      <c r="DU692" s="718" t="s">
        <v>13</v>
      </c>
      <c r="DV692" s="735" t="s">
        <v>368</v>
      </c>
      <c r="DW692" s="470" t="s">
        <v>796</v>
      </c>
      <c r="ED692" s="682"/>
      <c r="EE692" s="682"/>
      <c r="EF692" s="682"/>
      <c r="EG692" s="682"/>
      <c r="EH692" s="682"/>
      <c r="EJ692" s="718" t="s">
        <v>13</v>
      </c>
      <c r="EK692" s="735" t="s">
        <v>797</v>
      </c>
      <c r="EL692" s="719" t="s">
        <v>381</v>
      </c>
      <c r="EM692" s="719" t="s">
        <v>798</v>
      </c>
      <c r="EZ692" s="564" t="s">
        <v>798</v>
      </c>
      <c r="FB692" s="718" t="s">
        <v>13</v>
      </c>
      <c r="FC692" s="736" t="s">
        <v>368</v>
      </c>
      <c r="FD692" s="29" t="s">
        <v>799</v>
      </c>
      <c r="FE692" s="564" t="s">
        <v>800</v>
      </c>
      <c r="FF692" s="29" t="s">
        <v>801</v>
      </c>
      <c r="FG692" s="29" t="s">
        <v>116</v>
      </c>
      <c r="FK692" s="682"/>
      <c r="FL692" s="682"/>
      <c r="FM692" s="682"/>
      <c r="FN692" s="682"/>
      <c r="FO692" s="682"/>
      <c r="FW692" s="718" t="s">
        <v>13</v>
      </c>
      <c r="FX692" s="735" t="s">
        <v>324</v>
      </c>
      <c r="FY692" s="470" t="s">
        <v>799</v>
      </c>
      <c r="FZ692" s="735" t="s">
        <v>324</v>
      </c>
      <c r="GA692" s="470"/>
      <c r="GF692" s="682"/>
      <c r="GG692" s="682"/>
      <c r="GH692" s="682"/>
      <c r="GI692" s="682"/>
      <c r="GJ692" s="682"/>
    </row>
    <row r="693" ht="18" customHeight="1" spans="101:192" x14ac:dyDescent="0.25">
      <c r="CW693" s="682"/>
      <c r="CX693" s="682"/>
      <c r="CY693" s="737">
        <v>43668</v>
      </c>
      <c r="CZ693" s="723" t="s">
        <v>802</v>
      </c>
      <c r="DA693" s="723" t="s">
        <v>721</v>
      </c>
      <c r="DE693" s="682"/>
      <c r="DF693" s="682"/>
      <c r="DG693" s="682"/>
      <c r="DH693" s="682"/>
      <c r="DI693" s="682"/>
      <c r="DJ693" s="682"/>
      <c r="DK693" s="682"/>
      <c r="DL693" s="682"/>
      <c r="DM693" s="682"/>
      <c r="DN693" s="682"/>
      <c r="DO693" s="682"/>
      <c r="DP693" s="682"/>
      <c r="DQ693" s="682"/>
      <c r="DR693" s="682"/>
      <c r="DU693" s="129">
        <v>43668</v>
      </c>
      <c r="DV693" s="723" t="s">
        <v>721</v>
      </c>
      <c r="DW693" s="723" t="s">
        <v>721</v>
      </c>
      <c r="ED693" s="682"/>
      <c r="EE693" s="682"/>
      <c r="EF693" s="682"/>
      <c r="EG693" s="682"/>
      <c r="EH693" s="682"/>
      <c r="EJ693" s="738">
        <v>43668</v>
      </c>
      <c r="EK693" s="724" t="s">
        <v>803</v>
      </c>
      <c r="EL693" s="130" t="s">
        <v>55</v>
      </c>
      <c r="EM693" s="724" t="s">
        <v>803</v>
      </c>
      <c r="EZ693" s="570" t="s">
        <v>699</v>
      </c>
      <c r="FB693" s="129">
        <v>43756</v>
      </c>
      <c r="FC693" s="739" t="s">
        <v>56</v>
      </c>
      <c r="FD693" s="739" t="s">
        <v>56</v>
      </c>
      <c r="FE693" s="739" t="s">
        <v>804</v>
      </c>
      <c r="FF693" s="739" t="s">
        <v>56</v>
      </c>
      <c r="FG693" s="739" t="s">
        <v>56</v>
      </c>
      <c r="FK693" s="682"/>
      <c r="FL693" s="682"/>
      <c r="FM693" s="682"/>
      <c r="FN693" s="682"/>
      <c r="FO693" s="682"/>
      <c r="FW693" s="129">
        <v>43688</v>
      </c>
      <c r="FX693" s="739" t="s">
        <v>56</v>
      </c>
      <c r="FY693" s="739" t="s">
        <v>56</v>
      </c>
      <c r="FZ693" s="739" t="s">
        <v>50</v>
      </c>
      <c r="GA693" s="739"/>
      <c r="GF693" s="682"/>
      <c r="GG693" s="682"/>
      <c r="GH693" s="682"/>
      <c r="GI693" s="682"/>
      <c r="GJ693" s="682"/>
    </row>
    <row r="694" ht="17.5" customHeight="1" spans="102:192" x14ac:dyDescent="0.25">
      <c r="CX694" s="682"/>
      <c r="CY694" s="481">
        <v>1995</v>
      </c>
      <c r="CZ694" s="404">
        <f t="array" ref="CZ694:CZ715">TRANSPOSE(U91:AP91)</f>
        <v>64.055</v>
      </c>
      <c r="DA694" s="676">
        <f t="array" ref="DA694:DA715">TRANSPOSE(U167:AP167)</f>
        <v>2767.6205</v>
      </c>
      <c r="DE694" s="682"/>
      <c r="DF694" s="682"/>
      <c r="DG694" s="682"/>
      <c r="DH694" s="682"/>
      <c r="DI694" s="682"/>
      <c r="DJ694" s="682"/>
      <c r="DK694" s="682"/>
      <c r="DL694" s="682"/>
      <c r="DM694" s="682"/>
      <c r="DN694" s="682"/>
      <c r="DO694" s="682"/>
      <c r="DP694" s="682"/>
      <c r="DQ694" s="682"/>
      <c r="DR694" s="682"/>
      <c r="DS694" s="189">
        <f t="array" ref="DS694:DS715">TRANSPOSE(U88:AP88)</f>
        <v>647.87</v>
      </c>
      <c r="DT694" s="51">
        <f t="array" ref="DT694:DT715">TRANSPOSE(U51:AP51)</f>
        <v>2767.6205</v>
      </c>
      <c r="DU694" s="481">
        <v>1995</v>
      </c>
      <c r="DV694" s="404">
        <f>DS694/1000</f>
        <v>0.6478700000000001</v>
      </c>
      <c r="DW694" s="573">
        <f>DT694/1000</f>
        <v>2.7676205</v>
      </c>
      <c r="ED694" s="682"/>
      <c r="EE694" s="682"/>
      <c r="EF694" s="682"/>
      <c r="EG694" s="682"/>
      <c r="EH694" s="682"/>
      <c r="EJ694" s="481">
        <v>1995</v>
      </c>
      <c r="EK694" s="322">
        <f t="shared" ref="EK694:EK715" si="280">DS694/CZ694</f>
        <v>10.114276793380688</v>
      </c>
      <c r="EL694" s="322">
        <f t="array" ref="EL694:EL715">TRANSPOSE(U151:AP151)</f>
        <v>1</v>
      </c>
      <c r="EM694" s="201">
        <f>EK694/EL694</f>
        <v>10.114276793380688</v>
      </c>
      <c r="EZ694" s="555">
        <f t="shared" ref="EZ694:EZ729" si="281">EM694</f>
        <v>10.114276793380688</v>
      </c>
      <c r="FB694" s="481">
        <v>1995</v>
      </c>
      <c r="FC694" s="138">
        <f t="array" ref="FC694:FC715">TRANSPOSE(U88:AP88)</f>
        <v>647.87</v>
      </c>
      <c r="FD694" s="56">
        <f t="array" ref="FD694:FD715">TRANSPOSE(U89:AP89)</f>
        <v>910.9</v>
      </c>
      <c r="FE694" s="47">
        <f>FF694/FG694</f>
        <v>0.1841275125901203</v>
      </c>
      <c r="FF694" s="740">
        <f t="shared" ref="FF694:FF715" si="282">FD694-FC694</f>
        <v>263.03</v>
      </c>
      <c r="FG694" s="741">
        <f t="shared" ref="FG694:FG715" si="283">DY372</f>
        <v>1428.5209</v>
      </c>
      <c r="FK694" s="682"/>
      <c r="FL694" s="682"/>
      <c r="FM694" s="682"/>
      <c r="FN694" s="682"/>
      <c r="FO694" s="682"/>
      <c r="FW694" s="481">
        <v>1995</v>
      </c>
      <c r="FX694" s="138">
        <f t="array" ref="FX694:FX715">TRANSPOSE(U69:AP69)</f>
        <v>719.7935</v>
      </c>
      <c r="FY694" s="56">
        <f>FD694</f>
        <v>910.9</v>
      </c>
      <c r="FZ694" s="740"/>
      <c r="GA694" s="741"/>
      <c r="GF694" s="682"/>
      <c r="GG694" s="682"/>
      <c r="GH694" s="682"/>
      <c r="GI694" s="682"/>
      <c r="GJ694" s="682"/>
    </row>
    <row r="695" ht="17.5" customHeight="1" spans="102:192" x14ac:dyDescent="0.25">
      <c r="CX695" s="682"/>
      <c r="CY695" s="481">
        <v>1996</v>
      </c>
      <c r="CZ695" s="728">
        <v>62.928</v>
      </c>
      <c r="DA695" s="676">
        <v>2690.127126</v>
      </c>
      <c r="DE695" s="682"/>
      <c r="DF695" s="682"/>
      <c r="DG695" s="682"/>
      <c r="DH695" s="682"/>
      <c r="DI695" s="682"/>
      <c r="DJ695" s="682"/>
      <c r="DK695" s="682"/>
      <c r="DL695" s="682"/>
      <c r="DM695" s="682"/>
      <c r="DN695" s="682"/>
      <c r="DO695" s="682"/>
      <c r="DP695" s="682"/>
      <c r="DQ695" s="682"/>
      <c r="DR695" s="682">
        <f t="shared" ref="DR695:DR715" si="284">CZ695*EM695*EL695</f>
        <v>1022.6400000000001</v>
      </c>
      <c r="DS695" s="189">
        <v>1022.64</v>
      </c>
      <c r="DT695" s="51">
        <v>3799.126</v>
      </c>
      <c r="DU695" s="481">
        <v>1996</v>
      </c>
      <c r="DV695" s="728">
        <f>DS695/1000</f>
        <v>1.02264</v>
      </c>
      <c r="DW695" s="575">
        <f>DT695/1000</f>
        <v>3.7991260000000002</v>
      </c>
      <c r="ED695" s="682"/>
      <c r="EE695" s="682"/>
      <c r="EF695" s="682"/>
      <c r="EG695" s="682"/>
      <c r="EH695" s="682"/>
      <c r="EJ695" s="481">
        <v>1996</v>
      </c>
      <c r="EK695" s="326">
        <f t="shared" si="280"/>
        <v>16.250953470633107</v>
      </c>
      <c r="EL695" s="326">
        <v>1.218</v>
      </c>
      <c r="EM695" s="75">
        <f>EK695/EL695</f>
        <v>13.342326330569053</v>
      </c>
      <c r="EZ695" s="574">
        <f t="shared" si="281"/>
        <v>13.342326330569053</v>
      </c>
      <c r="FB695" s="481">
        <v>1996</v>
      </c>
      <c r="FC695" s="547">
        <v>1022.64</v>
      </c>
      <c r="FD695" s="66">
        <v>1357.1</v>
      </c>
      <c r="FE695" s="63">
        <f>FF695/FG695</f>
        <v>0.16657824595487689</v>
      </c>
      <c r="FF695" s="742">
        <f t="shared" si="282"/>
        <v>334.4599999999999</v>
      </c>
      <c r="FG695" s="743">
        <f t="shared" si="283"/>
        <v>2007.8252000000002</v>
      </c>
      <c r="FK695" s="682"/>
      <c r="FL695" s="682"/>
      <c r="FM695" s="682"/>
      <c r="FN695" s="682"/>
      <c r="FO695" s="682"/>
      <c r="FW695" s="481">
        <v>1996</v>
      </c>
      <c r="FX695" s="547">
        <v>1007.827</v>
      </c>
      <c r="FY695" s="66">
        <f>FD695</f>
        <v>1357.1</v>
      </c>
      <c r="FZ695" s="742">
        <f>0.8336*FY695-523.88</f>
        <v>607.39856</v>
      </c>
      <c r="GA695" s="743"/>
      <c r="GF695" s="682"/>
      <c r="GG695" s="682"/>
      <c r="GH695" s="682"/>
      <c r="GI695" s="682"/>
      <c r="GJ695" s="682"/>
    </row>
    <row r="696" ht="17.5" customHeight="1" spans="102:192" x14ac:dyDescent="0.25">
      <c r="CX696" s="682"/>
      <c r="CY696" s="481">
        <v>1997</v>
      </c>
      <c r="CZ696" s="728">
        <v>60.021</v>
      </c>
      <c r="DA696" s="676">
        <v>2727.788905764</v>
      </c>
      <c r="DE696" s="682"/>
      <c r="DF696" s="682"/>
      <c r="DG696" s="682"/>
      <c r="DH696" s="682"/>
      <c r="DI696" s="682"/>
      <c r="DJ696" s="682"/>
      <c r="DK696" s="682"/>
      <c r="DL696" s="682"/>
      <c r="DM696" s="682"/>
      <c r="DN696" s="682"/>
      <c r="DO696" s="682"/>
      <c r="DP696" s="682"/>
      <c r="DQ696" s="682"/>
      <c r="DR696" s="682">
        <f t="shared" si="284"/>
        <v>1202.9</v>
      </c>
      <c r="DS696" s="189">
        <v>1202.9</v>
      </c>
      <c r="DT696" s="51">
        <v>4327.531</v>
      </c>
      <c r="DU696" s="481">
        <v>1997</v>
      </c>
      <c r="DV696" s="728">
        <f t="shared" ref="DV696:DV715" si="285">DS696/1000</f>
        <v>1.2029</v>
      </c>
      <c r="DW696" s="575">
        <f t="shared" ref="DW696:DW715" si="286">DT696/1000</f>
        <v>4.327531</v>
      </c>
      <c r="ED696" s="682"/>
      <c r="EE696" s="682"/>
      <c r="EF696" s="682"/>
      <c r="EG696" s="682"/>
      <c r="EH696" s="682"/>
      <c r="EJ696" s="481">
        <v>1997</v>
      </c>
      <c r="EK696" s="326">
        <f t="shared" si="280"/>
        <v>20.04131887172823</v>
      </c>
      <c r="EL696" s="326">
        <v>1.3519800000000002</v>
      </c>
      <c r="EM696" s="75">
        <f t="shared" ref="EM696:EM715" si="287">EK696/EL696</f>
        <v>14.823679989147935</v>
      </c>
      <c r="EZ696" s="574">
        <f t="shared" si="281"/>
        <v>14.823679989147935</v>
      </c>
      <c r="FB696" s="481">
        <v>1997</v>
      </c>
      <c r="FC696" s="547">
        <v>1202.9</v>
      </c>
      <c r="FD696" s="66">
        <v>1656.4</v>
      </c>
      <c r="FE696" s="63">
        <f t="shared" ref="FE696:FE715" si="288">FF696/FG696</f>
        <v>0.19359545261144043</v>
      </c>
      <c r="FF696" s="742">
        <f t="shared" si="282"/>
        <v>453.5</v>
      </c>
      <c r="FG696" s="743">
        <f t="shared" si="283"/>
        <v>2342.5137</v>
      </c>
      <c r="FK696" s="682"/>
      <c r="FL696" s="682"/>
      <c r="FM696" s="682"/>
      <c r="FN696" s="682"/>
      <c r="FO696" s="682"/>
      <c r="FW696" s="481">
        <v>1997</v>
      </c>
      <c r="FX696" s="547">
        <v>1235.2137</v>
      </c>
      <c r="FY696" s="66">
        <f t="shared" ref="FY696:FY715" si="289">FD696</f>
        <v>1656.4</v>
      </c>
      <c r="FZ696" s="742">
        <f t="shared" ref="FZ696:FZ718" si="290">0.8336*FY696-523.88</f>
        <v>856.89504</v>
      </c>
      <c r="GA696" s="743"/>
      <c r="GF696" s="682"/>
      <c r="GG696" s="682"/>
      <c r="GH696" s="682"/>
      <c r="GI696" s="682"/>
      <c r="GJ696" s="682"/>
    </row>
    <row r="697" ht="17.5" customHeight="1" spans="102:192" x14ac:dyDescent="0.25">
      <c r="CX697" s="682"/>
      <c r="CY697" s="481">
        <v>1998</v>
      </c>
      <c r="CZ697" s="728">
        <v>58.437</v>
      </c>
      <c r="DA697" s="676">
        <v>2588.671671570036</v>
      </c>
      <c r="DE697" s="682"/>
      <c r="DF697" s="682"/>
      <c r="DG697" s="682"/>
      <c r="DH697" s="682"/>
      <c r="DI697" s="682"/>
      <c r="DJ697" s="682"/>
      <c r="DK697" s="682"/>
      <c r="DL697" s="682"/>
      <c r="DM697" s="682"/>
      <c r="DN697" s="682"/>
      <c r="DO697" s="682"/>
      <c r="DP697" s="682"/>
      <c r="DQ697" s="682"/>
      <c r="DR697" s="682">
        <f t="shared" si="284"/>
        <v>1263.0469999999998</v>
      </c>
      <c r="DS697" s="189">
        <v>1263.047</v>
      </c>
      <c r="DT697" s="51">
        <v>4573.977</v>
      </c>
      <c r="DU697" s="481">
        <v>1998</v>
      </c>
      <c r="DV697" s="728">
        <f t="shared" si="285"/>
        <v>1.263047</v>
      </c>
      <c r="DW697" s="575">
        <f t="shared" si="286"/>
        <v>4.573977</v>
      </c>
      <c r="ED697" s="682"/>
      <c r="EE697" s="682"/>
      <c r="EF697" s="682"/>
      <c r="EG697" s="682"/>
      <c r="EH697" s="682"/>
      <c r="EJ697" s="481">
        <v>1998</v>
      </c>
      <c r="EK697" s="326">
        <f t="shared" si="280"/>
        <v>21.61382343378339</v>
      </c>
      <c r="EL697" s="326">
        <v>2.4930511200000005</v>
      </c>
      <c r="EM697" s="75">
        <f t="shared" si="287"/>
        <v>8.669627052727016</v>
      </c>
      <c r="EZ697" s="574">
        <f t="shared" si="281"/>
        <v>8.669627052727016</v>
      </c>
      <c r="FB697" s="481">
        <v>1998</v>
      </c>
      <c r="FC697" s="547">
        <v>1263.047</v>
      </c>
      <c r="FD697" s="66">
        <v>1776</v>
      </c>
      <c r="FE697" s="63">
        <f t="shared" si="288"/>
        <v>0.19506713300983194</v>
      </c>
      <c r="FF697" s="742">
        <f t="shared" si="282"/>
        <v>512.953</v>
      </c>
      <c r="FG697" s="743">
        <f t="shared" si="283"/>
        <v>2629.6229</v>
      </c>
      <c r="FK697" s="682"/>
      <c r="FL697" s="682"/>
      <c r="FM697" s="682"/>
      <c r="FN697" s="682"/>
      <c r="FO697" s="682"/>
      <c r="FW697" s="481">
        <v>1998</v>
      </c>
      <c r="FX697" s="547">
        <v>1462.284</v>
      </c>
      <c r="FY697" s="66">
        <f t="shared" si="289"/>
        <v>1776</v>
      </c>
      <c r="FZ697" s="742">
        <f t="shared" si="290"/>
        <v>956.5936</v>
      </c>
      <c r="GA697" s="743"/>
      <c r="GF697" s="682"/>
      <c r="GG697" s="682"/>
      <c r="GH697" s="682"/>
      <c r="GI697" s="682"/>
      <c r="GJ697" s="682"/>
    </row>
    <row r="698" ht="17.5" customHeight="1" spans="102:192" x14ac:dyDescent="0.25">
      <c r="CX698" s="682"/>
      <c r="CY698" s="481">
        <v>1999</v>
      </c>
      <c r="CZ698" s="728">
        <v>63.082</v>
      </c>
      <c r="DA698" s="676">
        <v>2738.8146285210983</v>
      </c>
      <c r="DE698" s="682"/>
      <c r="DF698" s="682"/>
      <c r="DG698" s="682"/>
      <c r="DH698" s="682"/>
      <c r="DI698" s="682"/>
      <c r="DJ698" s="682"/>
      <c r="DK698" s="682"/>
      <c r="DL698" s="682"/>
      <c r="DM698" s="682"/>
      <c r="DN698" s="682"/>
      <c r="DO698" s="682"/>
      <c r="DP698" s="682"/>
      <c r="DQ698" s="682"/>
      <c r="DR698" s="682">
        <f t="shared" si="284"/>
        <v>1933.6059999999998</v>
      </c>
      <c r="DS698" s="189">
        <v>1933.606</v>
      </c>
      <c r="DT698" s="51">
        <v>8303.202</v>
      </c>
      <c r="DU698" s="481">
        <v>1999</v>
      </c>
      <c r="DV698" s="728">
        <f t="shared" si="285"/>
        <v>1.933606</v>
      </c>
      <c r="DW698" s="575">
        <f t="shared" si="286"/>
        <v>8.303201999999999</v>
      </c>
      <c r="ED698" s="682"/>
      <c r="EE698" s="682"/>
      <c r="EF698" s="682"/>
      <c r="EG698" s="682"/>
      <c r="EH698" s="682"/>
      <c r="EJ698" s="481">
        <v>1999</v>
      </c>
      <c r="EK698" s="326">
        <f t="shared" si="280"/>
        <v>30.65226213499889</v>
      </c>
      <c r="EL698" s="326">
        <v>3.4030147788000007</v>
      </c>
      <c r="EM698" s="75">
        <f t="shared" si="287"/>
        <v>9.007384371632892</v>
      </c>
      <c r="EZ698" s="574">
        <f t="shared" si="281"/>
        <v>9.007384371632892</v>
      </c>
      <c r="FB698" s="481">
        <v>1999</v>
      </c>
      <c r="FC698" s="547">
        <v>1933.606</v>
      </c>
      <c r="FD698" s="66">
        <v>2908.1</v>
      </c>
      <c r="FE698" s="63">
        <f t="shared" si="288"/>
        <v>0.2020416637977403</v>
      </c>
      <c r="FF698" s="742">
        <f t="shared" si="282"/>
        <v>974.4939999999999</v>
      </c>
      <c r="FG698" s="743">
        <f t="shared" si="283"/>
        <v>4823.2329</v>
      </c>
      <c r="FK698" s="682"/>
      <c r="FL698" s="682"/>
      <c r="FM698" s="682"/>
      <c r="FN698" s="682"/>
      <c r="FO698" s="682"/>
      <c r="FW698" s="481">
        <v>1999</v>
      </c>
      <c r="FX698" s="547">
        <v>2526.1679</v>
      </c>
      <c r="FY698" s="66">
        <f t="shared" si="289"/>
        <v>2908.1</v>
      </c>
      <c r="FZ698" s="742">
        <f t="shared" si="290"/>
        <v>1900.31216</v>
      </c>
      <c r="GA698" s="743"/>
      <c r="GF698" s="682"/>
      <c r="GG698" s="682"/>
      <c r="GH698" s="682"/>
      <c r="GI698" s="682"/>
      <c r="GJ698" s="682"/>
    </row>
    <row r="699" ht="17.5" customHeight="1" spans="102:192" x14ac:dyDescent="0.25">
      <c r="CX699" s="682"/>
      <c r="CY699" s="481">
        <v>2000</v>
      </c>
      <c r="CZ699" s="728">
        <v>65.07</v>
      </c>
      <c r="DA699" s="676">
        <v>2996.263203602082</v>
      </c>
      <c r="DE699" s="682"/>
      <c r="DF699" s="682"/>
      <c r="DG699" s="682"/>
      <c r="DH699" s="682"/>
      <c r="DI699" s="682"/>
      <c r="DJ699" s="682"/>
      <c r="DK699" s="682"/>
      <c r="DL699" s="682"/>
      <c r="DM699" s="682"/>
      <c r="DN699" s="682"/>
      <c r="DO699" s="682"/>
      <c r="DP699" s="682"/>
      <c r="DQ699" s="682"/>
      <c r="DR699" s="682">
        <f t="shared" si="284"/>
        <v>2937.23</v>
      </c>
      <c r="DS699" s="189">
        <v>2937.23</v>
      </c>
      <c r="DT699" s="51">
        <v>12552.212</v>
      </c>
      <c r="DU699" s="481">
        <v>2000</v>
      </c>
      <c r="DV699" s="728">
        <f t="shared" si="285"/>
        <v>2.93723</v>
      </c>
      <c r="DW699" s="575">
        <f t="shared" si="286"/>
        <v>12.552211999999999</v>
      </c>
      <c r="ED699" s="682"/>
      <c r="EE699" s="682"/>
      <c r="EF699" s="682"/>
      <c r="EG699" s="682"/>
      <c r="EH699" s="682"/>
      <c r="EJ699" s="481">
        <v>2000</v>
      </c>
      <c r="EK699" s="326">
        <f t="shared" si="280"/>
        <v>45.139542031658216</v>
      </c>
      <c r="EL699" s="326">
        <v>4.090423764117601</v>
      </c>
      <c r="EM699" s="75">
        <f t="shared" si="287"/>
        <v>11.035419466226347</v>
      </c>
      <c r="EZ699" s="574">
        <f t="shared" si="281"/>
        <v>11.035419466226347</v>
      </c>
      <c r="FB699" s="481">
        <v>2000</v>
      </c>
      <c r="FC699" s="547">
        <v>2937.23</v>
      </c>
      <c r="FD699" s="66">
        <v>3983.9</v>
      </c>
      <c r="FE699" s="63">
        <f t="shared" si="288"/>
        <v>0.14326863278604252</v>
      </c>
      <c r="FF699" s="742">
        <f t="shared" si="282"/>
        <v>1046.67</v>
      </c>
      <c r="FG699" s="743">
        <f t="shared" si="283"/>
        <v>7305.6466</v>
      </c>
      <c r="FK699" s="682"/>
      <c r="FL699" s="682"/>
      <c r="FM699" s="682"/>
      <c r="FN699" s="682"/>
      <c r="FO699" s="682"/>
      <c r="FW699" s="481">
        <v>2000</v>
      </c>
      <c r="FX699" s="547">
        <v>3295.2373</v>
      </c>
      <c r="FY699" s="66">
        <f t="shared" si="289"/>
        <v>3983.9</v>
      </c>
      <c r="FZ699" s="742">
        <f t="shared" si="290"/>
        <v>2797.09904</v>
      </c>
      <c r="GA699" s="743"/>
      <c r="GF699" s="682"/>
      <c r="GG699" s="682"/>
      <c r="GH699" s="682"/>
      <c r="GI699" s="682"/>
      <c r="GJ699" s="682"/>
    </row>
    <row r="700" ht="17.5" customHeight="1" spans="102:192" x14ac:dyDescent="0.25">
      <c r="CX700" s="682"/>
      <c r="CY700" s="481">
        <v>2001</v>
      </c>
      <c r="CZ700" s="728">
        <v>65.123</v>
      </c>
      <c r="DA700" s="676">
        <v>3143.0801005785834</v>
      </c>
      <c r="DE700" s="682"/>
      <c r="DF700" s="682"/>
      <c r="DG700" s="682"/>
      <c r="DH700" s="682"/>
      <c r="DI700" s="682"/>
      <c r="DJ700" s="682"/>
      <c r="DK700" s="682"/>
      <c r="DL700" s="682"/>
      <c r="DM700" s="682"/>
      <c r="DN700" s="682"/>
      <c r="DO700" s="682"/>
      <c r="DP700" s="682"/>
      <c r="DQ700" s="682"/>
      <c r="DR700" s="682">
        <f t="shared" si="284"/>
        <v>3848.4000000000005</v>
      </c>
      <c r="DS700" s="189">
        <v>3848.4</v>
      </c>
      <c r="DT700" s="51">
        <v>15922.788</v>
      </c>
      <c r="DU700" s="481">
        <v>2001</v>
      </c>
      <c r="DV700" s="728">
        <f t="shared" si="285"/>
        <v>3.8484000000000003</v>
      </c>
      <c r="DW700" s="575">
        <f t="shared" si="286"/>
        <v>15.922788</v>
      </c>
      <c r="ED700" s="682"/>
      <c r="EE700" s="682"/>
      <c r="EF700" s="682"/>
      <c r="EG700" s="682"/>
      <c r="EH700" s="682"/>
      <c r="EJ700" s="481">
        <v>2001</v>
      </c>
      <c r="EK700" s="326">
        <f t="shared" si="280"/>
        <v>59.094329192451205</v>
      </c>
      <c r="EL700" s="326">
        <v>4.851242584243474</v>
      </c>
      <c r="EM700" s="75">
        <f t="shared" si="287"/>
        <v>12.181276892725549</v>
      </c>
      <c r="EZ700" s="574">
        <f t="shared" si="281"/>
        <v>12.181276892725549</v>
      </c>
      <c r="FB700" s="481">
        <v>2001</v>
      </c>
      <c r="FC700" s="547">
        <v>3848.4</v>
      </c>
      <c r="FD700" s="66">
        <v>5325.8</v>
      </c>
      <c r="FE700" s="63">
        <f t="shared" si="288"/>
        <v>0.1651910723114471</v>
      </c>
      <c r="FF700" s="742">
        <f t="shared" si="282"/>
        <v>1477.4</v>
      </c>
      <c r="FG700" s="743">
        <f t="shared" si="283"/>
        <v>8943.5826</v>
      </c>
      <c r="FK700" s="682"/>
      <c r="FL700" s="682"/>
      <c r="FM700" s="682"/>
      <c r="FN700" s="682"/>
      <c r="FO700" s="682"/>
      <c r="FW700" s="481">
        <v>2001</v>
      </c>
      <c r="FX700" s="547">
        <v>4318.1211</v>
      </c>
      <c r="FY700" s="66">
        <f t="shared" si="289"/>
        <v>5325.8</v>
      </c>
      <c r="FZ700" s="742">
        <f t="shared" si="290"/>
        <v>3915.7068799999997</v>
      </c>
      <c r="GA700" s="743"/>
      <c r="GF700" s="682"/>
      <c r="GG700" s="682"/>
      <c r="GH700" s="682"/>
      <c r="GI700" s="682"/>
      <c r="GJ700" s="682"/>
    </row>
    <row r="701" ht="17.5" customHeight="1" spans="102:192" x14ac:dyDescent="0.25">
      <c r="CX701" s="682"/>
      <c r="CY701" s="481">
        <v>2002</v>
      </c>
      <c r="CZ701" s="728">
        <v>66.659</v>
      </c>
      <c r="DA701" s="676">
        <v>3281.3756250040415</v>
      </c>
      <c r="DE701" s="682"/>
      <c r="DF701" s="682"/>
      <c r="DG701" s="682"/>
      <c r="DH701" s="682"/>
      <c r="DI701" s="682"/>
      <c r="DJ701" s="682"/>
      <c r="DK701" s="682"/>
      <c r="DL701" s="682"/>
      <c r="DM701" s="682"/>
      <c r="DN701" s="682"/>
      <c r="DO701" s="682"/>
      <c r="DP701" s="682"/>
      <c r="DQ701" s="682"/>
      <c r="DR701" s="682">
        <f t="shared" si="284"/>
        <v>5065.1</v>
      </c>
      <c r="DS701" s="189">
        <v>5065.1</v>
      </c>
      <c r="DT701" s="51">
        <v>18973.6736</v>
      </c>
      <c r="DU701" s="481">
        <v>2002</v>
      </c>
      <c r="DV701" s="728">
        <f t="shared" si="285"/>
        <v>5.0651</v>
      </c>
      <c r="DW701" s="575">
        <f t="shared" si="286"/>
        <v>18.973673599999998</v>
      </c>
      <c r="ED701" s="682"/>
      <c r="EE701" s="682"/>
      <c r="EF701" s="682"/>
      <c r="EG701" s="682"/>
      <c r="EH701" s="682"/>
      <c r="EJ701" s="481">
        <v>2002</v>
      </c>
      <c r="EK701" s="326">
        <f t="shared" si="280"/>
        <v>75.98523830240478</v>
      </c>
      <c r="EL701" s="326">
        <v>5.583780214464239</v>
      </c>
      <c r="EM701" s="75">
        <f t="shared" si="287"/>
        <v>13.608207233080632</v>
      </c>
      <c r="EZ701" s="574">
        <f t="shared" si="281"/>
        <v>13.608207233080632</v>
      </c>
      <c r="FB701" s="481">
        <v>2002</v>
      </c>
      <c r="FC701" s="547">
        <v>5065.1</v>
      </c>
      <c r="FD701" s="66">
        <v>6831</v>
      </c>
      <c r="FE701" s="63">
        <f t="shared" si="288"/>
        <v>0.16321802239003</v>
      </c>
      <c r="FF701" s="742">
        <f t="shared" si="282"/>
        <v>1765.8999999999996</v>
      </c>
      <c r="FG701" s="743">
        <f t="shared" si="283"/>
        <v>10819.270899999998</v>
      </c>
      <c r="FK701" s="682"/>
      <c r="FL701" s="682"/>
      <c r="FM701" s="682"/>
      <c r="FN701" s="682"/>
      <c r="FO701" s="682"/>
      <c r="FW701" s="481">
        <v>2002</v>
      </c>
      <c r="FX701" s="547">
        <v>5409.1577</v>
      </c>
      <c r="FY701" s="66">
        <f t="shared" si="289"/>
        <v>6831</v>
      </c>
      <c r="FZ701" s="742">
        <f t="shared" si="290"/>
        <v>5170.4416</v>
      </c>
      <c r="GA701" s="743"/>
      <c r="GF701" s="682"/>
      <c r="GG701" s="682"/>
      <c r="GH701" s="682"/>
      <c r="GI701" s="682"/>
      <c r="GJ701" s="682"/>
    </row>
    <row r="702" ht="17.5" customHeight="1" spans="102:192" x14ac:dyDescent="0.25">
      <c r="CX702" s="682"/>
      <c r="CY702" s="481">
        <v>2003</v>
      </c>
      <c r="CZ702" s="728">
        <v>66.339</v>
      </c>
      <c r="DA702" s="676">
        <v>3530.7601725043487</v>
      </c>
      <c r="DE702" s="682"/>
      <c r="DF702" s="682"/>
      <c r="DG702" s="682"/>
      <c r="DH702" s="682"/>
      <c r="DI702" s="682"/>
      <c r="DJ702" s="682"/>
      <c r="DK702" s="682"/>
      <c r="DL702" s="682"/>
      <c r="DM702" s="682"/>
      <c r="DN702" s="682"/>
      <c r="DO702" s="682"/>
      <c r="DP702" s="682"/>
      <c r="DQ702" s="682"/>
      <c r="DR702" s="682">
        <f t="shared" si="284"/>
        <v>6231.387</v>
      </c>
      <c r="DS702" s="189">
        <v>6231.387</v>
      </c>
      <c r="DT702" s="51">
        <v>23273.0895</v>
      </c>
      <c r="DU702" s="481">
        <v>2003</v>
      </c>
      <c r="DV702" s="728">
        <f t="shared" si="285"/>
        <v>6.231387</v>
      </c>
      <c r="DW702" s="575">
        <f t="shared" si="286"/>
        <v>23.273089499999998</v>
      </c>
      <c r="ED702" s="682"/>
      <c r="EE702" s="682"/>
      <c r="EF702" s="682"/>
      <c r="EG702" s="682"/>
      <c r="EH702" s="682"/>
      <c r="EJ702" s="481">
        <v>2003</v>
      </c>
      <c r="EK702" s="326">
        <f t="shared" si="280"/>
        <v>93.93248315470538</v>
      </c>
      <c r="EL702" s="326">
        <v>6.253833840199949</v>
      </c>
      <c r="EM702" s="75">
        <f t="shared" si="287"/>
        <v>15.019983829903314</v>
      </c>
      <c r="EZ702" s="574">
        <f t="shared" si="281"/>
        <v>15.019983829903314</v>
      </c>
      <c r="FB702" s="481">
        <v>2003</v>
      </c>
      <c r="FC702" s="547">
        <v>6231.387</v>
      </c>
      <c r="FD702" s="66">
        <v>8900.5</v>
      </c>
      <c r="FE702" s="63">
        <f t="shared" si="288"/>
        <v>0.20207922619394944</v>
      </c>
      <c r="FF702" s="742">
        <f t="shared" si="282"/>
        <v>2669.1130000000003</v>
      </c>
      <c r="FG702" s="743">
        <f t="shared" si="283"/>
        <v>13208.250299999998</v>
      </c>
      <c r="FK702" s="682"/>
      <c r="FL702" s="682"/>
      <c r="FM702" s="682"/>
      <c r="FN702" s="682"/>
      <c r="FO702" s="682"/>
      <c r="FW702" s="481">
        <v>2003</v>
      </c>
      <c r="FX702" s="547">
        <v>6537.4015</v>
      </c>
      <c r="FY702" s="66">
        <f t="shared" si="289"/>
        <v>8900.5</v>
      </c>
      <c r="FZ702" s="742">
        <f t="shared" si="290"/>
        <v>6895.5768</v>
      </c>
      <c r="GA702" s="743"/>
      <c r="GF702" s="682"/>
      <c r="GG702" s="682"/>
      <c r="GH702" s="682"/>
      <c r="GI702" s="682"/>
      <c r="GJ702" s="682"/>
    </row>
    <row r="703" ht="17.5" customHeight="1" spans="102:192" x14ac:dyDescent="0.25">
      <c r="CX703" s="682"/>
      <c r="CY703" s="481">
        <v>2004</v>
      </c>
      <c r="CZ703" s="728">
        <v>67.319</v>
      </c>
      <c r="DA703" s="676">
        <v>3813.2209863046965</v>
      </c>
      <c r="DE703" s="682"/>
      <c r="DF703" s="682"/>
      <c r="DG703" s="682"/>
      <c r="DH703" s="682"/>
      <c r="DI703" s="682"/>
      <c r="DJ703" s="682"/>
      <c r="DK703" s="682"/>
      <c r="DL703" s="682"/>
      <c r="DM703" s="682"/>
      <c r="DN703" s="682"/>
      <c r="DO703" s="682"/>
      <c r="DP703" s="682"/>
      <c r="DQ703" s="682"/>
      <c r="DR703" s="682">
        <f t="shared" si="284"/>
        <v>7845.037000000001</v>
      </c>
      <c r="DS703" s="189">
        <v>7845.037</v>
      </c>
      <c r="DT703" s="51">
        <v>29490.6226</v>
      </c>
      <c r="DU703" s="481">
        <v>2004</v>
      </c>
      <c r="DV703" s="728">
        <f t="shared" si="285"/>
        <v>7.8450370000000005</v>
      </c>
      <c r="DW703" s="575">
        <f t="shared" si="286"/>
        <v>29.4906226</v>
      </c>
      <c r="ED703" s="682"/>
      <c r="EE703" s="682"/>
      <c r="EF703" s="682"/>
      <c r="EG703" s="682"/>
      <c r="EH703" s="682"/>
      <c r="EJ703" s="481">
        <v>2004</v>
      </c>
      <c r="EK703" s="326">
        <f t="shared" si="280"/>
        <v>116.53525750531054</v>
      </c>
      <c r="EL703" s="326">
        <v>6.9855323995033425</v>
      </c>
      <c r="EM703" s="75">
        <f t="shared" si="287"/>
        <v>16.682373059152365</v>
      </c>
      <c r="EZ703" s="574">
        <f t="shared" si="281"/>
        <v>16.682373059152365</v>
      </c>
      <c r="FB703" s="481">
        <v>2004</v>
      </c>
      <c r="FC703" s="547">
        <v>7845.037</v>
      </c>
      <c r="FD703" s="66">
        <v>10976.3</v>
      </c>
      <c r="FE703" s="63">
        <f t="shared" si="288"/>
        <v>0.18389806125704877</v>
      </c>
      <c r="FF703" s="742">
        <f t="shared" si="282"/>
        <v>3131.262999999999</v>
      </c>
      <c r="FG703" s="743">
        <f t="shared" si="283"/>
        <v>17027.166999999998</v>
      </c>
      <c r="FK703" s="682"/>
      <c r="FL703" s="682"/>
      <c r="FM703" s="682"/>
      <c r="FN703" s="682"/>
      <c r="FO703" s="682"/>
      <c r="FW703" s="481">
        <v>2004</v>
      </c>
      <c r="FX703" s="547">
        <v>8438.4841</v>
      </c>
      <c r="FY703" s="66">
        <f t="shared" si="289"/>
        <v>10976.3</v>
      </c>
      <c r="FZ703" s="742">
        <f t="shared" si="290"/>
        <v>8625.96368</v>
      </c>
      <c r="GA703" s="743"/>
      <c r="GF703" s="682"/>
      <c r="GG703" s="682"/>
      <c r="GH703" s="682"/>
      <c r="GI703" s="682"/>
      <c r="GJ703" s="682"/>
    </row>
    <row r="704" ht="17.5" customHeight="1" spans="102:192" x14ac:dyDescent="0.25">
      <c r="CX704" s="682"/>
      <c r="CY704" s="481">
        <v>2005</v>
      </c>
      <c r="CZ704" s="728">
        <v>68.339</v>
      </c>
      <c r="DA704" s="676">
        <v>4030.5745825240638</v>
      </c>
      <c r="DE704" s="682"/>
      <c r="DF704" s="682"/>
      <c r="DG704" s="682"/>
      <c r="DH704" s="682"/>
      <c r="DI704" s="682"/>
      <c r="DJ704" s="682"/>
      <c r="DK704" s="682"/>
      <c r="DL704" s="682"/>
      <c r="DM704" s="682"/>
      <c r="DN704" s="682"/>
      <c r="DO704" s="682"/>
      <c r="DP704" s="682"/>
      <c r="DQ704" s="682"/>
      <c r="DR704" s="682">
        <f t="shared" si="284"/>
        <v>9439.827</v>
      </c>
      <c r="DS704" s="189">
        <v>9439.827</v>
      </c>
      <c r="DT704" s="51">
        <v>37020.602</v>
      </c>
      <c r="DU704" s="481">
        <v>2005</v>
      </c>
      <c r="DV704" s="728">
        <f t="shared" si="285"/>
        <v>9.439827</v>
      </c>
      <c r="DW704" s="575">
        <f t="shared" si="286"/>
        <v>37.020602</v>
      </c>
      <c r="ED704" s="682"/>
      <c r="EE704" s="682"/>
      <c r="EF704" s="682"/>
      <c r="EG704" s="682"/>
      <c r="EH704" s="682"/>
      <c r="EJ704" s="481">
        <v>2005</v>
      </c>
      <c r="EK704" s="326">
        <f t="shared" si="280"/>
        <v>138.13235487788816</v>
      </c>
      <c r="EL704" s="326">
        <v>7.746955431049207</v>
      </c>
      <c r="EM704" s="75">
        <f t="shared" si="287"/>
        <v>17.830534344403766</v>
      </c>
      <c r="EZ704" s="574">
        <f t="shared" si="281"/>
        <v>17.830534344403766</v>
      </c>
      <c r="FB704" s="481">
        <v>2005</v>
      </c>
      <c r="FC704" s="547">
        <v>9439.827</v>
      </c>
      <c r="FD704" s="66">
        <v>13819</v>
      </c>
      <c r="FE704" s="63">
        <f t="shared" si="288"/>
        <v>0.20264786951092276</v>
      </c>
      <c r="FF704" s="742">
        <f t="shared" si="282"/>
        <v>4379.173000000001</v>
      </c>
      <c r="FG704" s="743">
        <f t="shared" si="283"/>
        <v>21609.765799999997</v>
      </c>
      <c r="FK704" s="682"/>
      <c r="FL704" s="682"/>
      <c r="FM704" s="682"/>
      <c r="FN704" s="682"/>
      <c r="FO704" s="682"/>
      <c r="FW704" s="481">
        <v>2005</v>
      </c>
      <c r="FX704" s="547">
        <v>10652.8578</v>
      </c>
      <c r="FY704" s="66">
        <f t="shared" si="289"/>
        <v>13819</v>
      </c>
      <c r="FZ704" s="742">
        <f t="shared" si="290"/>
        <v>10995.638400000002</v>
      </c>
      <c r="GA704" s="743"/>
      <c r="GF704" s="682"/>
      <c r="GG704" s="682"/>
      <c r="GH704" s="682"/>
      <c r="GI704" s="682"/>
      <c r="GJ704" s="682"/>
    </row>
    <row r="705" ht="17.5" customHeight="1" spans="102:192" x14ac:dyDescent="0.25">
      <c r="CX705" s="682"/>
      <c r="CY705" s="481">
        <v>2006</v>
      </c>
      <c r="CZ705" s="728">
        <v>69.169</v>
      </c>
      <c r="DA705" s="676">
        <v>4389.295720368706</v>
      </c>
      <c r="DE705" s="682"/>
      <c r="DF705" s="682"/>
      <c r="DG705" s="682"/>
      <c r="DH705" s="682"/>
      <c r="DI705" s="682"/>
      <c r="DJ705" s="682"/>
      <c r="DK705" s="682"/>
      <c r="DL705" s="682"/>
      <c r="DM705" s="682"/>
      <c r="DN705" s="682"/>
      <c r="DO705" s="682"/>
      <c r="DP705" s="682"/>
      <c r="DQ705" s="682"/>
      <c r="DR705" s="682">
        <f t="shared" si="284"/>
        <v>11985.905000000002</v>
      </c>
      <c r="DS705" s="189">
        <v>11985.905</v>
      </c>
      <c r="DT705" s="51">
        <v>46223.8665</v>
      </c>
      <c r="DU705" s="481">
        <v>2006</v>
      </c>
      <c r="DV705" s="728">
        <f t="shared" si="285"/>
        <v>11.985905</v>
      </c>
      <c r="DW705" s="575">
        <f t="shared" si="286"/>
        <v>46.2238665</v>
      </c>
      <c r="ED705" s="682"/>
      <c r="EE705" s="682"/>
      <c r="EF705" s="682"/>
      <c r="EG705" s="682"/>
      <c r="EH705" s="682"/>
      <c r="EJ705" s="481">
        <v>2006</v>
      </c>
      <c r="EK705" s="326">
        <f t="shared" si="280"/>
        <v>173.28434703407598</v>
      </c>
      <c r="EL705" s="326">
        <v>8.444181419843636</v>
      </c>
      <c r="EM705" s="75">
        <f t="shared" si="287"/>
        <v>20.5211539660744</v>
      </c>
      <c r="EZ705" s="574">
        <f t="shared" si="281"/>
        <v>20.5211539660744</v>
      </c>
      <c r="FB705" s="481">
        <v>2006</v>
      </c>
      <c r="FC705" s="547">
        <v>11985.905</v>
      </c>
      <c r="FD705" s="66">
        <v>17290.1</v>
      </c>
      <c r="FE705" s="63">
        <f t="shared" si="288"/>
        <v>0.19705594455935252</v>
      </c>
      <c r="FF705" s="742">
        <f t="shared" si="282"/>
        <v>5304.194999999998</v>
      </c>
      <c r="FG705" s="743">
        <f t="shared" si="283"/>
        <v>26917.2037</v>
      </c>
      <c r="FK705" s="682"/>
      <c r="FL705" s="682"/>
      <c r="FM705" s="682"/>
      <c r="FN705" s="682"/>
      <c r="FO705" s="682"/>
      <c r="FW705" s="481">
        <v>2006</v>
      </c>
      <c r="FX705" s="547">
        <v>12974.7434</v>
      </c>
      <c r="FY705" s="66">
        <f t="shared" si="289"/>
        <v>17290.1</v>
      </c>
      <c r="FZ705" s="742">
        <f t="shared" si="290"/>
        <v>13889.147359999999</v>
      </c>
      <c r="GA705" s="743"/>
      <c r="GF705" s="682"/>
      <c r="GG705" s="682"/>
      <c r="GH705" s="682"/>
      <c r="GI705" s="682"/>
      <c r="GJ705" s="682"/>
    </row>
    <row r="706" ht="17.5" customHeight="1" spans="102:192" x14ac:dyDescent="0.25">
      <c r="CX706" s="682"/>
      <c r="CY706" s="481">
        <v>2007</v>
      </c>
      <c r="CZ706" s="728">
        <v>70.77</v>
      </c>
      <c r="DA706" s="676">
        <v>4775.553743761152</v>
      </c>
      <c r="DE706" s="682"/>
      <c r="DF706" s="682"/>
      <c r="DG706" s="682"/>
      <c r="DH706" s="682"/>
      <c r="DI706" s="682"/>
      <c r="DJ706" s="682"/>
      <c r="DK706" s="682"/>
      <c r="DL706" s="682"/>
      <c r="DM706" s="682"/>
      <c r="DN706" s="682"/>
      <c r="DO706" s="682"/>
      <c r="DP706" s="682"/>
      <c r="DQ706" s="682"/>
      <c r="DR706" s="682">
        <f t="shared" si="284"/>
        <v>15526.109999999999</v>
      </c>
      <c r="DS706" s="189">
        <v>15526.11</v>
      </c>
      <c r="DT706" s="51">
        <v>57752.1325</v>
      </c>
      <c r="DU706" s="481">
        <v>2007</v>
      </c>
      <c r="DV706" s="728">
        <f t="shared" si="285"/>
        <v>15.526110000000001</v>
      </c>
      <c r="DW706" s="575">
        <f t="shared" si="286"/>
        <v>57.7521325</v>
      </c>
      <c r="ED706" s="682"/>
      <c r="EE706" s="682"/>
      <c r="EF706" s="682"/>
      <c r="EG706" s="682"/>
      <c r="EH706" s="682"/>
      <c r="EJ706" s="481">
        <v>2007</v>
      </c>
      <c r="EK706" s="326">
        <f t="shared" si="280"/>
        <v>219.38830012717256</v>
      </c>
      <c r="EL706" s="326">
        <v>9.446505754379075</v>
      </c>
      <c r="EM706" s="75">
        <f t="shared" si="287"/>
        <v>23.22428057861201</v>
      </c>
      <c r="EZ706" s="574">
        <f t="shared" si="281"/>
        <v>23.22428057861201</v>
      </c>
      <c r="FB706" s="481">
        <v>2007</v>
      </c>
      <c r="FC706" s="547">
        <v>15526.11</v>
      </c>
      <c r="FD706" s="66">
        <v>21311.5</v>
      </c>
      <c r="FE706" s="63">
        <f t="shared" si="288"/>
        <v>0.1740097060853261</v>
      </c>
      <c r="FF706" s="742">
        <f t="shared" si="282"/>
        <v>5785.389999999999</v>
      </c>
      <c r="FG706" s="743">
        <f t="shared" si="283"/>
        <v>33247.5132</v>
      </c>
      <c r="FK706" s="682"/>
      <c r="FL706" s="682"/>
      <c r="FM706" s="682"/>
      <c r="FN706" s="682"/>
      <c r="FO706" s="682"/>
      <c r="FW706" s="481">
        <v>2007</v>
      </c>
      <c r="FX706" s="547">
        <v>16031.7398</v>
      </c>
      <c r="FY706" s="66">
        <f t="shared" si="289"/>
        <v>21311.5</v>
      </c>
      <c r="FZ706" s="742">
        <f t="shared" si="290"/>
        <v>17241.3864</v>
      </c>
      <c r="GA706" s="743"/>
      <c r="GF706" s="682"/>
      <c r="GG706" s="682"/>
      <c r="GH706" s="682"/>
      <c r="GI706" s="682"/>
      <c r="GJ706" s="682"/>
    </row>
    <row r="707" ht="17.5" customHeight="1" spans="102:192" x14ac:dyDescent="0.25">
      <c r="CX707" s="682"/>
      <c r="CY707" s="481">
        <v>2008</v>
      </c>
      <c r="CZ707" s="728">
        <v>71.003</v>
      </c>
      <c r="DA707" s="676">
        <v>5014.33143094921</v>
      </c>
      <c r="DE707" s="682"/>
      <c r="DF707" s="682"/>
      <c r="DG707" s="682"/>
      <c r="DH707" s="682"/>
      <c r="DI707" s="682"/>
      <c r="DJ707" s="682"/>
      <c r="DK707" s="682"/>
      <c r="DL707" s="682"/>
      <c r="DM707" s="682"/>
      <c r="DN707" s="682"/>
      <c r="DO707" s="682"/>
      <c r="DP707" s="682"/>
      <c r="DQ707" s="682"/>
      <c r="DR707" s="682">
        <f t="shared" si="284"/>
        <v>19559.76</v>
      </c>
      <c r="DS707" s="189">
        <v>19559.76</v>
      </c>
      <c r="DT707" s="51">
        <v>71601.658</v>
      </c>
      <c r="DU707" s="481">
        <v>2008</v>
      </c>
      <c r="DV707" s="728">
        <f t="shared" si="285"/>
        <v>19.559759999999997</v>
      </c>
      <c r="DW707" s="575">
        <f t="shared" si="286"/>
        <v>71.601658</v>
      </c>
      <c r="ED707" s="682"/>
      <c r="EE707" s="682"/>
      <c r="EF707" s="682"/>
      <c r="EG707" s="682"/>
      <c r="EH707" s="682"/>
      <c r="EJ707" s="481">
        <v>2008</v>
      </c>
      <c r="EK707" s="326">
        <f t="shared" si="280"/>
        <v>275.4779375519344</v>
      </c>
      <c r="EL707" s="326">
        <v>10.701001718560617</v>
      </c>
      <c r="EM707" s="75">
        <f t="shared" si="287"/>
        <v>25.743191599915818</v>
      </c>
      <c r="EZ707" s="574">
        <f t="shared" si="281"/>
        <v>25.743191599915818</v>
      </c>
      <c r="FB707" s="481">
        <v>2008</v>
      </c>
      <c r="FC707" s="547">
        <v>19559.76</v>
      </c>
      <c r="FD707" s="66">
        <v>25244</v>
      </c>
      <c r="FE707" s="63">
        <f t="shared" si="288"/>
        <v>0.1377101234752192</v>
      </c>
      <c r="FF707" s="742">
        <f t="shared" si="282"/>
        <v>5684.240000000002</v>
      </c>
      <c r="FG707" s="743">
        <f t="shared" si="283"/>
        <v>41276.8492</v>
      </c>
      <c r="FK707" s="682"/>
      <c r="FL707" s="682"/>
      <c r="FM707" s="682"/>
      <c r="FN707" s="682"/>
      <c r="FO707" s="682"/>
      <c r="FW707" s="481">
        <v>2008</v>
      </c>
      <c r="FX707" s="547">
        <v>19966.9547</v>
      </c>
      <c r="FY707" s="66">
        <f t="shared" si="289"/>
        <v>25244</v>
      </c>
      <c r="FZ707" s="742">
        <f t="shared" si="290"/>
        <v>20519.5184</v>
      </c>
      <c r="GA707" s="743"/>
      <c r="GF707" s="682"/>
      <c r="GG707" s="682"/>
      <c r="GH707" s="682"/>
      <c r="GI707" s="682"/>
      <c r="GJ707" s="682"/>
    </row>
    <row r="708" ht="17.5" customHeight="1" spans="102:192" x14ac:dyDescent="0.25">
      <c r="CX708" s="682"/>
      <c r="CY708" s="481">
        <v>2009</v>
      </c>
      <c r="CZ708" s="728">
        <v>69.41</v>
      </c>
      <c r="DA708" s="676">
        <v>4643.270905058968</v>
      </c>
      <c r="DE708" s="682"/>
      <c r="DF708" s="682"/>
      <c r="DG708" s="682"/>
      <c r="DH708" s="682"/>
      <c r="DI708" s="682"/>
      <c r="DJ708" s="682"/>
      <c r="DK708" s="682"/>
      <c r="DL708" s="682"/>
      <c r="DM708" s="682"/>
      <c r="DN708" s="682"/>
      <c r="DO708" s="682"/>
      <c r="DP708" s="682"/>
      <c r="DQ708" s="682"/>
      <c r="DR708" s="682">
        <f t="shared" si="284"/>
        <v>20411.610000000004</v>
      </c>
      <c r="DS708" s="189">
        <v>20411.61</v>
      </c>
      <c r="DT708" s="51">
        <v>68116.5</v>
      </c>
      <c r="DU708" s="481">
        <v>2009</v>
      </c>
      <c r="DV708" s="728">
        <f t="shared" si="285"/>
        <v>20.41161</v>
      </c>
      <c r="DW708" s="575">
        <f t="shared" si="286"/>
        <v>68.1165</v>
      </c>
      <c r="ED708" s="682"/>
      <c r="EE708" s="682"/>
      <c r="EF708" s="682"/>
      <c r="EG708" s="682"/>
      <c r="EH708" s="682"/>
      <c r="EJ708" s="481">
        <v>2009</v>
      </c>
      <c r="EK708" s="326">
        <f t="shared" si="280"/>
        <v>294.0730442299381</v>
      </c>
      <c r="EL708" s="326">
        <v>11.642689869793951</v>
      </c>
      <c r="EM708" s="75">
        <f t="shared" si="287"/>
        <v>25.258170364297655</v>
      </c>
      <c r="EZ708" s="574">
        <f t="shared" si="281"/>
        <v>25.258170364297655</v>
      </c>
      <c r="FB708" s="481">
        <v>2009</v>
      </c>
      <c r="FC708" s="547">
        <v>20411.61</v>
      </c>
      <c r="FD708" s="66">
        <v>28697.5</v>
      </c>
      <c r="FE708" s="63">
        <f t="shared" si="288"/>
        <v>0.21351385469365744</v>
      </c>
      <c r="FF708" s="742">
        <f t="shared" si="282"/>
        <v>8285.89</v>
      </c>
      <c r="FG708" s="743">
        <f t="shared" si="283"/>
        <v>38807.270899999996</v>
      </c>
      <c r="FK708" s="682"/>
      <c r="FL708" s="682"/>
      <c r="FM708" s="682"/>
      <c r="FN708" s="682"/>
      <c r="FO708" s="682"/>
      <c r="FW708" s="481">
        <v>2009</v>
      </c>
      <c r="FX708" s="547">
        <v>20986.036</v>
      </c>
      <c r="FY708" s="66">
        <f t="shared" si="289"/>
        <v>28697.5</v>
      </c>
      <c r="FZ708" s="742">
        <f t="shared" si="290"/>
        <v>23398.356</v>
      </c>
      <c r="GA708" s="743"/>
      <c r="GF708" s="682"/>
      <c r="GG708" s="682"/>
      <c r="GH708" s="682"/>
      <c r="GI708" s="682"/>
      <c r="GJ708" s="682"/>
    </row>
    <row r="709" ht="17.5" customHeight="1" spans="102:192" x14ac:dyDescent="0.25">
      <c r="CX709" s="682"/>
      <c r="CY709" s="481">
        <v>2010</v>
      </c>
      <c r="CZ709" s="728">
        <v>69.93370846147305</v>
      </c>
      <c r="DA709" s="676">
        <v>4875.434450311916</v>
      </c>
      <c r="DE709" s="682"/>
      <c r="DF709" s="682"/>
      <c r="DG709" s="682"/>
      <c r="DH709" s="682"/>
      <c r="DI709" s="682"/>
      <c r="DJ709" s="682"/>
      <c r="DK709" s="682"/>
      <c r="DL709" s="682"/>
      <c r="DM709" s="682"/>
      <c r="DN709" s="682"/>
      <c r="DO709" s="682"/>
      <c r="DP709" s="682"/>
      <c r="DQ709" s="682"/>
      <c r="DR709" s="682">
        <f t="shared" si="284"/>
        <v>22995.629999999997</v>
      </c>
      <c r="DS709" s="189">
        <v>22995.63</v>
      </c>
      <c r="DT709" s="51">
        <v>82054.6</v>
      </c>
      <c r="DU709" s="481">
        <v>2010</v>
      </c>
      <c r="DV709" s="728">
        <f t="shared" si="285"/>
        <v>22.995630000000002</v>
      </c>
      <c r="DW709" s="575">
        <f t="shared" si="286"/>
        <v>82.05460000000001</v>
      </c>
      <c r="ED709" s="682"/>
      <c r="EE709" s="682"/>
      <c r="EF709" s="682"/>
      <c r="EG709" s="682"/>
      <c r="EH709" s="682"/>
      <c r="EJ709" s="481">
        <v>2010</v>
      </c>
      <c r="EK709" s="326">
        <f t="shared" si="280"/>
        <v>328.8204001460676</v>
      </c>
      <c r="EL709" s="326">
        <v>12.664918040361862</v>
      </c>
      <c r="EM709" s="75">
        <f t="shared" si="287"/>
        <v>25.96308946478366</v>
      </c>
      <c r="EZ709" s="574">
        <f t="shared" si="281"/>
        <v>25.96308946478366</v>
      </c>
      <c r="FB709" s="481">
        <v>2010</v>
      </c>
      <c r="FC709" s="547">
        <v>22995.63</v>
      </c>
      <c r="FD709" s="66">
        <v>32498.3</v>
      </c>
      <c r="FE709" s="63">
        <f t="shared" si="288"/>
        <v>0.20520344296820808</v>
      </c>
      <c r="FF709" s="742">
        <f t="shared" si="282"/>
        <v>9502.669999999998</v>
      </c>
      <c r="FG709" s="743">
        <f t="shared" si="283"/>
        <v>46308.53100000001</v>
      </c>
      <c r="FK709" s="682"/>
      <c r="FL709" s="682"/>
      <c r="FM709" s="682"/>
      <c r="FN709" s="682"/>
      <c r="FO709" s="682"/>
      <c r="FW709" s="481">
        <v>2010</v>
      </c>
      <c r="FX709" s="547">
        <v>23617.623</v>
      </c>
      <c r="FY709" s="66">
        <f t="shared" si="289"/>
        <v>32498.3</v>
      </c>
      <c r="FZ709" s="742">
        <f t="shared" si="290"/>
        <v>26566.702879999997</v>
      </c>
      <c r="GA709" s="743"/>
      <c r="GF709" s="682"/>
      <c r="GG709" s="682"/>
      <c r="GH709" s="682"/>
      <c r="GI709" s="682"/>
      <c r="GJ709" s="682"/>
    </row>
    <row r="710" ht="17.5" customHeight="1" spans="102:192" x14ac:dyDescent="0.25">
      <c r="CX710" s="682"/>
      <c r="CY710" s="481">
        <v>2011</v>
      </c>
      <c r="CZ710" s="728">
        <v>70.85661311334043</v>
      </c>
      <c r="DA710" s="676">
        <v>5085.078131675329</v>
      </c>
      <c r="DE710" s="682"/>
      <c r="DF710" s="682"/>
      <c r="DG710" s="682"/>
      <c r="DH710" s="682"/>
      <c r="DI710" s="682"/>
      <c r="DJ710" s="682"/>
      <c r="DK710" s="682"/>
      <c r="DL710" s="682"/>
      <c r="DM710" s="682"/>
      <c r="DN710" s="682"/>
      <c r="DO710" s="682"/>
      <c r="DP710" s="682"/>
      <c r="DQ710" s="682"/>
      <c r="DR710" s="682">
        <f t="shared" si="284"/>
        <v>26386.6754</v>
      </c>
      <c r="DS710" s="189">
        <v>26386.6754</v>
      </c>
      <c r="DT710" s="51">
        <v>100960.3907</v>
      </c>
      <c r="DU710" s="481">
        <v>2011</v>
      </c>
      <c r="DV710" s="728">
        <f t="shared" si="285"/>
        <v>26.3866754</v>
      </c>
      <c r="DW710" s="575">
        <f t="shared" si="286"/>
        <v>100.9603907</v>
      </c>
      <c r="ED710" s="682"/>
      <c r="EE710" s="682"/>
      <c r="EF710" s="682"/>
      <c r="EG710" s="682"/>
      <c r="EH710" s="682"/>
      <c r="EJ710" s="481">
        <v>2011</v>
      </c>
      <c r="EK710" s="326">
        <f t="shared" si="280"/>
        <v>372.39538048188314</v>
      </c>
      <c r="EL710" s="326">
        <v>13.437478040823935</v>
      </c>
      <c r="EM710" s="75">
        <f t="shared" si="287"/>
        <v>27.713189882098536</v>
      </c>
      <c r="EZ710" s="574">
        <f t="shared" si="281"/>
        <v>27.713189882098536</v>
      </c>
      <c r="FB710" s="481">
        <v>2011</v>
      </c>
      <c r="FC710" s="547">
        <v>26386.6754</v>
      </c>
      <c r="FD710" s="66">
        <v>35648.7</v>
      </c>
      <c r="FE710" s="63">
        <f t="shared" si="288"/>
        <v>0.1536435680802861</v>
      </c>
      <c r="FF710" s="742">
        <f t="shared" si="282"/>
        <v>9262.024599999997</v>
      </c>
      <c r="FG710" s="743">
        <f t="shared" si="283"/>
        <v>60282.540400000005</v>
      </c>
      <c r="FK710" s="682"/>
      <c r="FL710" s="682"/>
      <c r="FM710" s="682"/>
      <c r="FN710" s="682"/>
      <c r="FO710" s="682"/>
      <c r="FW710" s="481">
        <v>2011</v>
      </c>
      <c r="FX710" s="547">
        <v>29939.4635</v>
      </c>
      <c r="FY710" s="66">
        <f t="shared" si="289"/>
        <v>35648.7</v>
      </c>
      <c r="FZ710" s="742">
        <f t="shared" si="290"/>
        <v>29192.876319999996</v>
      </c>
      <c r="GA710" s="743"/>
      <c r="GF710" s="682"/>
      <c r="GG710" s="682"/>
      <c r="GH710" s="682"/>
      <c r="GI710" s="682"/>
      <c r="GJ710" s="682"/>
    </row>
    <row r="711" ht="17.5" customHeight="1" spans="102:192" x14ac:dyDescent="0.25">
      <c r="CX711" s="682"/>
      <c r="CY711" s="481">
        <v>2012</v>
      </c>
      <c r="CZ711" s="728">
        <v>71.54541586357954</v>
      </c>
      <c r="DA711" s="676">
        <v>5283.396178810667</v>
      </c>
      <c r="DE711" s="682"/>
      <c r="DF711" s="682"/>
      <c r="DG711" s="682"/>
      <c r="DH711" s="682"/>
      <c r="DI711" s="682"/>
      <c r="DJ711" s="682"/>
      <c r="DK711" s="682"/>
      <c r="DL711" s="682"/>
      <c r="DM711" s="682"/>
      <c r="DN711" s="682"/>
      <c r="DO711" s="682"/>
      <c r="DP711" s="682"/>
      <c r="DQ711" s="682"/>
      <c r="DR711" s="682">
        <f t="shared" si="284"/>
        <v>30201.161499999995</v>
      </c>
      <c r="DS711" s="189">
        <v>30201.1615</v>
      </c>
      <c r="DT711" s="51">
        <v>113092.1725</v>
      </c>
      <c r="DU711" s="481">
        <v>2012</v>
      </c>
      <c r="DV711" s="728">
        <f t="shared" si="285"/>
        <v>30.201161499999998</v>
      </c>
      <c r="DW711" s="575">
        <f t="shared" si="286"/>
        <v>113.0921725</v>
      </c>
      <c r="ED711" s="682"/>
      <c r="EE711" s="682"/>
      <c r="EF711" s="682"/>
      <c r="EG711" s="682"/>
      <c r="EH711" s="682"/>
      <c r="EJ711" s="481">
        <v>2012</v>
      </c>
      <c r="EK711" s="326">
        <f t="shared" si="280"/>
        <v>422.1257383923323</v>
      </c>
      <c r="EL711" s="326">
        <v>14.321664095910151</v>
      </c>
      <c r="EM711" s="75">
        <f t="shared" si="287"/>
        <v>29.47462917475345</v>
      </c>
      <c r="EZ711" s="574">
        <f t="shared" si="281"/>
        <v>29.47462917475345</v>
      </c>
      <c r="FB711" s="481">
        <v>2012</v>
      </c>
      <c r="FC711" s="547">
        <v>30201.1615</v>
      </c>
      <c r="FD711" s="66">
        <v>39904</v>
      </c>
      <c r="FE711" s="63">
        <f t="shared" si="288"/>
        <v>0.14234574174369477</v>
      </c>
      <c r="FF711" s="742">
        <f t="shared" si="282"/>
        <v>9702.838500000002</v>
      </c>
      <c r="FG711" s="743">
        <f t="shared" si="283"/>
        <v>68163.8831</v>
      </c>
      <c r="FK711" s="682"/>
      <c r="FL711" s="682"/>
      <c r="FM711" s="682"/>
      <c r="FN711" s="682"/>
      <c r="FO711" s="682"/>
      <c r="FW711" s="481">
        <v>2012</v>
      </c>
      <c r="FX711" s="547">
        <v>34492.3617</v>
      </c>
      <c r="FY711" s="66">
        <f t="shared" si="289"/>
        <v>39904</v>
      </c>
      <c r="FZ711" s="742">
        <f t="shared" si="290"/>
        <v>32740.094399999998</v>
      </c>
      <c r="GA711" s="743"/>
      <c r="GF711" s="682"/>
      <c r="GG711" s="682"/>
      <c r="GH711" s="682"/>
      <c r="GI711" s="682"/>
      <c r="GJ711" s="682"/>
    </row>
    <row r="712" ht="17.5" customHeight="1" spans="102:192" x14ac:dyDescent="0.25">
      <c r="CX712" s="682"/>
      <c r="CY712" s="481">
        <v>2013</v>
      </c>
      <c r="CZ712" s="728">
        <v>71.391459581339</v>
      </c>
      <c r="DA712" s="676">
        <v>5394.347498565691</v>
      </c>
      <c r="DE712" s="682"/>
      <c r="DF712" s="682"/>
      <c r="DG712" s="682"/>
      <c r="DH712" s="682"/>
      <c r="DI712" s="682"/>
      <c r="DJ712" s="682"/>
      <c r="DK712" s="682"/>
      <c r="DL712" s="682"/>
      <c r="DM712" s="682"/>
      <c r="DN712" s="682"/>
      <c r="DO712" s="682"/>
      <c r="DP712" s="682"/>
      <c r="DQ712" s="682"/>
      <c r="DR712" s="682">
        <f t="shared" si="284"/>
        <v>33792.2822</v>
      </c>
      <c r="DS712" s="189">
        <v>33792.2822</v>
      </c>
      <c r="DT712" s="51">
        <v>123165.48509999999</v>
      </c>
      <c r="DU712" s="481">
        <v>2013</v>
      </c>
      <c r="DV712" s="728">
        <f t="shared" si="285"/>
        <v>33.7922822</v>
      </c>
      <c r="DW712" s="575">
        <f t="shared" si="286"/>
        <v>123.16548509999998</v>
      </c>
      <c r="ED712" s="682"/>
      <c r="EE712" s="682"/>
      <c r="EF712" s="682"/>
      <c r="EG712" s="682"/>
      <c r="EH712" s="682"/>
      <c r="EJ712" s="481">
        <v>2013</v>
      </c>
      <c r="EK712" s="326">
        <f t="shared" si="280"/>
        <v>473.33788100380787</v>
      </c>
      <c r="EL712" s="326">
        <v>15.245411430096356</v>
      </c>
      <c r="EM712" s="75">
        <f t="shared" si="287"/>
        <v>31.04789156882834</v>
      </c>
      <c r="EZ712" s="574">
        <f t="shared" si="281"/>
        <v>31.04789156882834</v>
      </c>
      <c r="FB712" s="481">
        <v>2013</v>
      </c>
      <c r="FC712" s="547">
        <v>33792.2822</v>
      </c>
      <c r="FD712" s="66">
        <v>44650</v>
      </c>
      <c r="FE712" s="63">
        <f t="shared" si="288"/>
        <v>0.14846355147847173</v>
      </c>
      <c r="FF712" s="742">
        <f t="shared" si="282"/>
        <v>10857.717799999999</v>
      </c>
      <c r="FG712" s="743">
        <f t="shared" si="283"/>
        <v>73133.89509999998</v>
      </c>
      <c r="FK712" s="682"/>
      <c r="FL712" s="682"/>
      <c r="FM712" s="682"/>
      <c r="FN712" s="682"/>
      <c r="FO712" s="682"/>
      <c r="FW712" s="481">
        <v>2013</v>
      </c>
      <c r="FX712" s="547">
        <v>38465.140799999994</v>
      </c>
      <c r="FY712" s="66">
        <f t="shared" si="289"/>
        <v>44650</v>
      </c>
      <c r="FZ712" s="742">
        <f t="shared" si="290"/>
        <v>36696.36</v>
      </c>
      <c r="GA712" s="743"/>
      <c r="GF712" s="682"/>
      <c r="GG712" s="682"/>
      <c r="GH712" s="682"/>
      <c r="GI712" s="682"/>
      <c r="GJ712" s="682"/>
    </row>
    <row r="713" ht="17.5" customHeight="1" spans="102:192" x14ac:dyDescent="0.25">
      <c r="CX713" s="682"/>
      <c r="CY713" s="481">
        <v>2014</v>
      </c>
      <c r="CZ713" s="728">
        <v>71.539043569578</v>
      </c>
      <c r="DA713" s="676">
        <v>5437.502278554217</v>
      </c>
      <c r="DE713" s="682"/>
      <c r="DF713" s="682"/>
      <c r="DG713" s="682"/>
      <c r="DH713" s="682"/>
      <c r="DI713" s="682"/>
      <c r="DJ713" s="682"/>
      <c r="DK713" s="682"/>
      <c r="DL713" s="682"/>
      <c r="DM713" s="682"/>
      <c r="DN713" s="682"/>
      <c r="DO713" s="682"/>
      <c r="DP713" s="682"/>
      <c r="DQ713" s="682"/>
      <c r="DR713" s="682">
        <f t="shared" si="284"/>
        <v>37430.46</v>
      </c>
      <c r="DS713" s="189">
        <v>37430.46</v>
      </c>
      <c r="DT713" s="51">
        <v>132844.9</v>
      </c>
      <c r="DU713" s="481">
        <v>2014</v>
      </c>
      <c r="DV713" s="728">
        <f t="shared" si="285"/>
        <v>37.43046</v>
      </c>
      <c r="DW713" s="575">
        <f t="shared" si="286"/>
        <v>132.8449</v>
      </c>
      <c r="ED713" s="682"/>
      <c r="EE713" s="682"/>
      <c r="EF713" s="682"/>
      <c r="EG713" s="682"/>
      <c r="EH713" s="682"/>
      <c r="EJ713" s="481">
        <v>2014</v>
      </c>
      <c r="EK713" s="326">
        <f t="shared" si="280"/>
        <v>523.2172270180771</v>
      </c>
      <c r="EL713" s="326">
        <v>17.31878738458946</v>
      </c>
      <c r="EM713" s="75">
        <f t="shared" si="287"/>
        <v>30.210961968598586</v>
      </c>
      <c r="EZ713" s="574">
        <f t="shared" si="281"/>
        <v>30.210961968598586</v>
      </c>
      <c r="FB713" s="481">
        <v>2014</v>
      </c>
      <c r="FC713" s="547">
        <v>37430.46</v>
      </c>
      <c r="FD713" s="66">
        <v>47921</v>
      </c>
      <c r="FE713" s="63">
        <f t="shared" si="288"/>
        <v>0.13269422449340992</v>
      </c>
      <c r="FF713" s="742">
        <f t="shared" si="282"/>
        <v>10490.54</v>
      </c>
      <c r="FG713" s="743">
        <f t="shared" si="283"/>
        <v>79058</v>
      </c>
      <c r="FK713" s="682"/>
      <c r="FL713" s="682"/>
      <c r="FM713" s="682"/>
      <c r="FN713" s="682"/>
      <c r="FO713" s="682"/>
      <c r="FW713" s="481">
        <v>2014</v>
      </c>
      <c r="FX713" s="547">
        <v>41954.83</v>
      </c>
      <c r="FY713" s="66">
        <f t="shared" si="289"/>
        <v>47921</v>
      </c>
      <c r="FZ713" s="742">
        <f t="shared" si="290"/>
        <v>39423.0656</v>
      </c>
      <c r="GA713" s="743"/>
      <c r="GF713" s="682"/>
      <c r="GG713" s="682"/>
      <c r="GH713" s="682"/>
      <c r="GI713" s="682"/>
      <c r="GJ713" s="682"/>
    </row>
    <row r="714" ht="17.5" customHeight="1" spans="102:192" x14ac:dyDescent="0.25">
      <c r="CX714" s="682"/>
      <c r="CY714" s="481">
        <v>2015</v>
      </c>
      <c r="CZ714" s="728">
        <v>72.323622532452</v>
      </c>
      <c r="DA714" s="676">
        <v>5366.814748933011</v>
      </c>
      <c r="DE714" s="682"/>
      <c r="DF714" s="682"/>
      <c r="DG714" s="682"/>
      <c r="DH714" s="682"/>
      <c r="DI714" s="682"/>
      <c r="DJ714" s="682"/>
      <c r="DK714" s="682"/>
      <c r="DL714" s="682"/>
      <c r="DM714" s="682"/>
      <c r="DN714" s="682"/>
      <c r="DO714" s="682"/>
      <c r="DP714" s="682"/>
      <c r="DQ714" s="682"/>
      <c r="DR714" s="682">
        <f t="shared" si="284"/>
        <v>37745.49</v>
      </c>
      <c r="DS714" s="189">
        <v>37745.49</v>
      </c>
      <c r="DT714" s="51">
        <v>145956.1</v>
      </c>
      <c r="DU714" s="481">
        <v>2015</v>
      </c>
      <c r="DV714" s="728">
        <f t="shared" si="285"/>
        <v>37.74549</v>
      </c>
      <c r="DW714" s="575">
        <f t="shared" si="286"/>
        <v>145.9561</v>
      </c>
      <c r="ED714" s="682"/>
      <c r="EE714" s="682"/>
      <c r="EF714" s="682"/>
      <c r="EG714" s="682"/>
      <c r="EH714" s="682"/>
      <c r="EJ714" s="481">
        <v>2015</v>
      </c>
      <c r="EK714" s="326">
        <f t="shared" si="280"/>
        <v>521.8971157461505</v>
      </c>
      <c r="EL714" s="326">
        <v>19.5529109572015</v>
      </c>
      <c r="EM714" s="75">
        <f t="shared" si="287"/>
        <v>26.691530324487637</v>
      </c>
      <c r="EZ714" s="574">
        <f t="shared" si="281"/>
        <v>26.691530324487637</v>
      </c>
      <c r="FB714" s="481">
        <v>2015</v>
      </c>
      <c r="FC714" s="547">
        <v>37745.49</v>
      </c>
      <c r="FD714" s="66">
        <v>53526</v>
      </c>
      <c r="FE714" s="63">
        <f t="shared" si="288"/>
        <v>0.18991154595999712</v>
      </c>
      <c r="FF714" s="742">
        <f t="shared" si="282"/>
        <v>15780.510000000002</v>
      </c>
      <c r="FG714" s="743">
        <f t="shared" si="283"/>
        <v>83094</v>
      </c>
      <c r="FK714" s="682"/>
      <c r="FL714" s="682"/>
      <c r="FM714" s="682"/>
      <c r="FN714" s="682"/>
      <c r="FO714" s="682"/>
      <c r="FW714" s="481">
        <v>2015</v>
      </c>
      <c r="FX714" s="547">
        <v>43242.32</v>
      </c>
      <c r="FY714" s="66">
        <f t="shared" si="289"/>
        <v>53526</v>
      </c>
      <c r="FZ714" s="742">
        <f t="shared" si="290"/>
        <v>44095.3936</v>
      </c>
      <c r="GA714" s="743"/>
      <c r="GF714" s="682"/>
      <c r="GG714" s="682"/>
      <c r="GH714" s="682"/>
      <c r="GI714" s="682"/>
      <c r="GJ714" s="682"/>
    </row>
    <row r="715" ht="17.5" customHeight="1" spans="102:192" x14ac:dyDescent="0.25">
      <c r="CX715" s="682"/>
      <c r="CY715" s="481">
        <v>2016</v>
      </c>
      <c r="CZ715" s="728">
        <v>72.393</v>
      </c>
      <c r="DA715" s="676">
        <v>5431.2165259202075</v>
      </c>
      <c r="DE715" s="682"/>
      <c r="DF715" s="682"/>
      <c r="DG715" s="682"/>
      <c r="DH715" s="682"/>
      <c r="DI715" s="682"/>
      <c r="DJ715" s="682"/>
      <c r="DK715" s="682"/>
      <c r="DL715" s="682"/>
      <c r="DM715" s="682"/>
      <c r="DN715" s="682"/>
      <c r="DO715" s="682"/>
      <c r="DP715" s="682"/>
      <c r="DQ715" s="682"/>
      <c r="DR715" s="682">
        <f t="shared" si="284"/>
        <v>41245.36</v>
      </c>
      <c r="DS715" s="189">
        <v>41245.36</v>
      </c>
      <c r="DT715" s="51">
        <v>153856.5</v>
      </c>
      <c r="DU715" s="481">
        <v>2016</v>
      </c>
      <c r="DV715" s="728">
        <f t="shared" si="285"/>
        <v>41.24536</v>
      </c>
      <c r="DW715" s="575">
        <f t="shared" si="286"/>
        <v>153.8565</v>
      </c>
      <c r="ED715" s="682"/>
      <c r="EE715" s="682"/>
      <c r="EF715" s="682"/>
      <c r="EG715" s="682"/>
      <c r="EH715" s="682"/>
      <c r="EJ715" s="481">
        <v>2016</v>
      </c>
      <c r="EK715" s="326">
        <f t="shared" si="280"/>
        <v>569.742378406752</v>
      </c>
      <c r="EL715" s="326">
        <v>20.608768148890384</v>
      </c>
      <c r="EM715" s="75">
        <f t="shared" si="287"/>
        <v>27.645629971213395</v>
      </c>
      <c r="EZ715" s="574">
        <f t="shared" si="281"/>
        <v>27.645629971213395</v>
      </c>
      <c r="FB715" s="481">
        <v>2016</v>
      </c>
      <c r="FC715" s="547">
        <v>41245.36</v>
      </c>
      <c r="FD715" s="66">
        <v>54117</v>
      </c>
      <c r="FE715" s="63">
        <f t="shared" si="288"/>
        <v>0.14964587160229728</v>
      </c>
      <c r="FF715" s="742">
        <f t="shared" si="282"/>
        <v>12871.64</v>
      </c>
      <c r="FG715" s="743">
        <f t="shared" si="283"/>
        <v>86014</v>
      </c>
      <c r="FK715" s="682"/>
      <c r="FL715" s="682"/>
      <c r="FM715" s="682"/>
      <c r="FN715" s="682"/>
      <c r="FO715" s="682"/>
      <c r="FW715" s="481">
        <v>2016</v>
      </c>
      <c r="FX715" s="547">
        <v>45317.05</v>
      </c>
      <c r="FY715" s="66">
        <f t="shared" si="289"/>
        <v>54117</v>
      </c>
      <c r="FZ715" s="742">
        <f t="shared" si="290"/>
        <v>44588.0512</v>
      </c>
      <c r="GA715" s="743"/>
      <c r="GF715" s="682"/>
      <c r="GG715" s="682"/>
      <c r="GH715" s="682"/>
      <c r="GI715" s="682"/>
      <c r="GJ715" s="682"/>
    </row>
    <row r="716" ht="17.5" customHeight="1" spans="101:192" x14ac:dyDescent="0.25">
      <c r="CW716" s="682"/>
      <c r="CX716" s="682"/>
      <c r="CY716" s="481">
        <v>2017</v>
      </c>
      <c r="CZ716" s="487"/>
      <c r="DA716" s="63"/>
      <c r="DE716" s="682"/>
      <c r="DF716" s="682"/>
      <c r="DG716" s="682"/>
      <c r="DH716" s="682"/>
      <c r="DI716" s="682"/>
      <c r="DJ716" s="682"/>
      <c r="DK716" s="682"/>
      <c r="DL716" s="682"/>
      <c r="DM716" s="682"/>
      <c r="DN716" s="682"/>
      <c r="DO716" s="682"/>
      <c r="DP716" s="682"/>
      <c r="DQ716" s="682"/>
      <c r="DR716" s="682"/>
      <c r="DU716" s="481">
        <v>2017</v>
      </c>
      <c r="DV716" s="487"/>
      <c r="DW716" s="63"/>
      <c r="ED716" s="682"/>
      <c r="EE716" s="682"/>
      <c r="EF716" s="682"/>
      <c r="EG716" s="682"/>
      <c r="EH716" s="682"/>
      <c r="EJ716" s="481">
        <v>2017</v>
      </c>
      <c r="EK716" s="326"/>
      <c r="EL716" s="326"/>
      <c r="EM716" s="75">
        <f>EM715+0.8*(EM715-EM714)</f>
        <v>28.408909688594</v>
      </c>
      <c r="EZ716" s="574">
        <f t="shared" si="281"/>
        <v>28.408909688594</v>
      </c>
      <c r="FB716" s="481">
        <v>2017</v>
      </c>
      <c r="FC716" s="487"/>
      <c r="FD716" s="63"/>
      <c r="FE716" s="63"/>
      <c r="FF716" s="744"/>
      <c r="FG716" s="745"/>
      <c r="FK716" s="682"/>
      <c r="FL716" s="682"/>
      <c r="FM716" s="682"/>
      <c r="FN716" s="682"/>
      <c r="FO716" s="682"/>
      <c r="FW716" s="481">
        <v>2017</v>
      </c>
      <c r="FX716" s="487"/>
      <c r="FY716" s="66">
        <v>60000</v>
      </c>
      <c r="FZ716" s="742">
        <f t="shared" si="290"/>
        <v>49492.12</v>
      </c>
      <c r="GA716" s="745"/>
      <c r="GF716" s="682"/>
      <c r="GG716" s="682"/>
      <c r="GH716" s="682"/>
      <c r="GI716" s="682"/>
      <c r="GJ716" s="682"/>
    </row>
    <row r="717" ht="17.5" customHeight="1" spans="101:192" x14ac:dyDescent="0.25">
      <c r="CW717" s="682"/>
      <c r="CX717" s="682"/>
      <c r="CY717" s="481">
        <v>2018</v>
      </c>
      <c r="CZ717" s="487"/>
      <c r="DA717" s="63"/>
      <c r="DE717" s="682"/>
      <c r="DF717" s="682"/>
      <c r="DG717" s="682"/>
      <c r="DH717" s="682"/>
      <c r="DI717" s="682"/>
      <c r="DJ717" s="682"/>
      <c r="DK717" s="682"/>
      <c r="DL717" s="682"/>
      <c r="DM717" s="682"/>
      <c r="DN717" s="682"/>
      <c r="DO717" s="682"/>
      <c r="DP717" s="682"/>
      <c r="DQ717" s="682"/>
      <c r="DR717" s="682"/>
      <c r="DU717" s="481">
        <v>2018</v>
      </c>
      <c r="DV717" s="487"/>
      <c r="DW717" s="63"/>
      <c r="ED717" s="682"/>
      <c r="EE717" s="682"/>
      <c r="EF717" s="682"/>
      <c r="EG717" s="682"/>
      <c r="EH717" s="682"/>
      <c r="EJ717" s="481">
        <v>2018</v>
      </c>
      <c r="EK717" s="326"/>
      <c r="EL717" s="326"/>
      <c r="EM717" s="75">
        <f t="shared" ref="EM717:EM729" si="291">EM716+0.8*(EM716-EM715)</f>
        <v>29.019533462498487</v>
      </c>
      <c r="EZ717" s="574">
        <f t="shared" si="281"/>
        <v>29.019533462498487</v>
      </c>
      <c r="FB717" s="481">
        <v>2018</v>
      </c>
      <c r="FC717" s="487"/>
      <c r="FD717" s="63"/>
      <c r="FE717" s="63"/>
      <c r="FF717" s="744"/>
      <c r="FG717" s="745"/>
      <c r="FK717" s="682"/>
      <c r="FL717" s="682"/>
      <c r="FM717" s="682"/>
      <c r="FN717" s="682"/>
      <c r="FO717" s="682"/>
      <c r="FW717" s="481">
        <v>2018</v>
      </c>
      <c r="FX717" s="487"/>
      <c r="FY717" s="66">
        <v>70000</v>
      </c>
      <c r="FZ717" s="742">
        <f t="shared" si="290"/>
        <v>57828.12</v>
      </c>
      <c r="GA717" s="745"/>
      <c r="GF717" s="682"/>
      <c r="GG717" s="682"/>
      <c r="GH717" s="682"/>
      <c r="GI717" s="682"/>
      <c r="GJ717" s="682"/>
    </row>
    <row r="718" ht="17.5" customHeight="1" spans="101:192" x14ac:dyDescent="0.25">
      <c r="CW718" s="682"/>
      <c r="CX718" s="682"/>
      <c r="CY718" s="481">
        <v>2019</v>
      </c>
      <c r="CZ718" s="714"/>
      <c r="DA718" s="576"/>
      <c r="DE718" s="682"/>
      <c r="DF718" s="682"/>
      <c r="DG718" s="682"/>
      <c r="DH718" s="682"/>
      <c r="DI718" s="682"/>
      <c r="DJ718" s="682"/>
      <c r="DK718" s="682"/>
      <c r="DL718" s="682"/>
      <c r="DM718" s="682"/>
      <c r="DN718" s="682"/>
      <c r="DO718" s="682"/>
      <c r="DP718" s="682"/>
      <c r="DQ718" s="682"/>
      <c r="DR718" s="682"/>
      <c r="DU718" s="481">
        <v>2019</v>
      </c>
      <c r="DV718" s="714"/>
      <c r="DW718" s="576"/>
      <c r="ED718" s="682"/>
      <c r="EE718" s="682"/>
      <c r="EF718" s="682"/>
      <c r="EG718" s="682"/>
      <c r="EH718" s="682"/>
      <c r="EJ718" s="481">
        <v>2019</v>
      </c>
      <c r="EK718" s="272"/>
      <c r="EL718" s="272"/>
      <c r="EM718" s="75">
        <f t="shared" si="291"/>
        <v>29.508032481622074</v>
      </c>
      <c r="EZ718" s="574">
        <f t="shared" si="281"/>
        <v>29.508032481622074</v>
      </c>
      <c r="FB718" s="481">
        <v>2019</v>
      </c>
      <c r="FC718" s="714"/>
      <c r="FD718" s="576"/>
      <c r="FE718" s="576"/>
      <c r="FF718" s="744"/>
      <c r="FG718" s="745"/>
      <c r="FK718" s="682"/>
      <c r="FL718" s="682"/>
      <c r="FM718" s="682"/>
      <c r="FN718" s="682"/>
      <c r="FO718" s="682"/>
      <c r="FW718" s="481">
        <v>2019</v>
      </c>
      <c r="FX718" s="714"/>
      <c r="FY718" s="66">
        <v>80000</v>
      </c>
      <c r="FZ718" s="742">
        <f t="shared" si="290"/>
        <v>66164.12</v>
      </c>
      <c r="GA718" s="745"/>
      <c r="GF718" s="682"/>
      <c r="GG718" s="682"/>
      <c r="GH718" s="682"/>
      <c r="GI718" s="682"/>
      <c r="GJ718" s="682"/>
    </row>
    <row r="719" ht="17.5" customHeight="1" spans="101:192" x14ac:dyDescent="0.25">
      <c r="CW719" s="682"/>
      <c r="CX719" s="682"/>
      <c r="CY719" s="481">
        <v>2020</v>
      </c>
      <c r="CZ719" s="714"/>
      <c r="DA719" s="576"/>
      <c r="DE719" s="682"/>
      <c r="DF719" s="682"/>
      <c r="DG719" s="682"/>
      <c r="DH719" s="682"/>
      <c r="DI719" s="682"/>
      <c r="DJ719" s="682"/>
      <c r="DK719" s="682"/>
      <c r="DL719" s="682"/>
      <c r="DM719" s="682"/>
      <c r="DN719" s="682"/>
      <c r="DO719" s="682"/>
      <c r="DP719" s="682"/>
      <c r="DQ719" s="682"/>
      <c r="DR719" s="682"/>
      <c r="DU719" s="481">
        <v>2020</v>
      </c>
      <c r="DV719" s="714"/>
      <c r="DW719" s="576"/>
      <c r="ED719" s="682"/>
      <c r="EE719" s="682"/>
      <c r="EF719" s="682"/>
      <c r="EG719" s="682"/>
      <c r="EH719" s="682"/>
      <c r="EJ719" s="481">
        <v>2020</v>
      </c>
      <c r="EK719" s="272"/>
      <c r="EL719" s="272"/>
      <c r="EM719" s="75">
        <f t="shared" si="291"/>
        <v>29.898831696920944</v>
      </c>
      <c r="EZ719" s="574">
        <f t="shared" si="281"/>
        <v>29.898831696920944</v>
      </c>
      <c r="FB719" s="481">
        <v>2020</v>
      </c>
      <c r="FC719" s="714"/>
      <c r="FD719" s="576"/>
      <c r="FE719" s="576"/>
      <c r="FF719" s="744"/>
      <c r="FG719" s="745"/>
      <c r="FK719" s="682"/>
      <c r="FL719" s="682"/>
      <c r="FM719" s="682"/>
      <c r="FN719" s="682"/>
      <c r="FO719" s="682"/>
      <c r="FW719" s="481">
        <v>2020</v>
      </c>
      <c r="FX719" s="714"/>
      <c r="FY719" s="576"/>
      <c r="FZ719" s="744"/>
      <c r="GA719" s="745"/>
      <c r="GF719" s="682"/>
      <c r="GG719" s="682"/>
      <c r="GH719" s="682"/>
      <c r="GI719" s="682"/>
      <c r="GJ719" s="682"/>
    </row>
    <row r="720" ht="17.5" customHeight="1" spans="101:192" x14ac:dyDescent="0.25">
      <c r="CW720" s="682"/>
      <c r="CX720" s="682"/>
      <c r="CY720" s="481">
        <v>2021</v>
      </c>
      <c r="CZ720" s="714"/>
      <c r="DA720" s="576"/>
      <c r="DE720" s="682"/>
      <c r="DF720" s="682"/>
      <c r="DG720" s="682"/>
      <c r="DH720" s="682"/>
      <c r="DI720" s="682"/>
      <c r="DJ720" s="682"/>
      <c r="DK720" s="682"/>
      <c r="DL720" s="682"/>
      <c r="DM720" s="682"/>
      <c r="DN720" s="682"/>
      <c r="DO720" s="682"/>
      <c r="DP720" s="682"/>
      <c r="DQ720" s="682"/>
      <c r="DR720" s="682"/>
      <c r="DU720" s="481">
        <v>2021</v>
      </c>
      <c r="DV720" s="714"/>
      <c r="DW720" s="576"/>
      <c r="ED720" s="682"/>
      <c r="EE720" s="682"/>
      <c r="EF720" s="682"/>
      <c r="EG720" s="682"/>
      <c r="EH720" s="682"/>
      <c r="EJ720" s="481">
        <v>2021</v>
      </c>
      <c r="EK720" s="272"/>
      <c r="EL720" s="272"/>
      <c r="EM720" s="75">
        <f t="shared" si="291"/>
        <v>30.21147106916004</v>
      </c>
      <c r="EZ720" s="574">
        <f t="shared" si="281"/>
        <v>30.21147106916004</v>
      </c>
      <c r="FB720" s="481">
        <v>2021</v>
      </c>
      <c r="FC720" s="714"/>
      <c r="FD720" s="576"/>
      <c r="FE720" s="576"/>
      <c r="FF720" s="744"/>
      <c r="FG720" s="745"/>
      <c r="FK720" s="682"/>
      <c r="FL720" s="682"/>
      <c r="FM720" s="682"/>
      <c r="FN720" s="682"/>
      <c r="FO720" s="682"/>
      <c r="FW720" s="481">
        <v>2021</v>
      </c>
      <c r="FX720" s="714"/>
      <c r="FY720" s="576"/>
      <c r="FZ720" s="744"/>
      <c r="GA720" s="745"/>
      <c r="GF720" s="682"/>
      <c r="GG720" s="682"/>
      <c r="GH720" s="682"/>
      <c r="GI720" s="682"/>
      <c r="GJ720" s="682"/>
    </row>
    <row r="721" ht="17.5" customHeight="1" spans="101:192" x14ac:dyDescent="0.25">
      <c r="CW721" s="682"/>
      <c r="CX721" s="682"/>
      <c r="CY721" s="481">
        <v>2022</v>
      </c>
      <c r="CZ721" s="714"/>
      <c r="DA721" s="576"/>
      <c r="DE721" s="682"/>
      <c r="DF721" s="682"/>
      <c r="DG721" s="682"/>
      <c r="DH721" s="682"/>
      <c r="DI721" s="682"/>
      <c r="DJ721" s="682"/>
      <c r="DK721" s="682"/>
      <c r="DL721" s="682"/>
      <c r="DM721" s="682"/>
      <c r="DN721" s="682"/>
      <c r="DO721" s="682"/>
      <c r="DP721" s="682"/>
      <c r="DQ721" s="682"/>
      <c r="DR721" s="682"/>
      <c r="DU721" s="481">
        <v>2022</v>
      </c>
      <c r="DV721" s="714"/>
      <c r="DW721" s="576"/>
      <c r="ED721" s="682"/>
      <c r="EE721" s="682"/>
      <c r="EF721" s="682"/>
      <c r="EG721" s="682"/>
      <c r="EH721" s="682"/>
      <c r="EJ721" s="481">
        <v>2022</v>
      </c>
      <c r="EK721" s="272"/>
      <c r="EL721" s="272"/>
      <c r="EM721" s="75">
        <f t="shared" si="291"/>
        <v>30.461582566951318</v>
      </c>
      <c r="EZ721" s="574">
        <f t="shared" si="281"/>
        <v>30.461582566951318</v>
      </c>
      <c r="FB721" s="481">
        <v>2022</v>
      </c>
      <c r="FC721" s="714"/>
      <c r="FD721" s="576"/>
      <c r="FE721" s="576"/>
      <c r="FF721" s="744"/>
      <c r="FG721" s="745"/>
      <c r="FK721" s="682"/>
      <c r="FL721" s="682"/>
      <c r="FM721" s="682"/>
      <c r="FN721" s="682"/>
      <c r="FO721" s="682"/>
      <c r="FW721" s="481">
        <v>2022</v>
      </c>
      <c r="FX721" s="714"/>
      <c r="FY721" s="576"/>
      <c r="FZ721" s="744"/>
      <c r="GA721" s="745"/>
      <c r="GF721" s="682"/>
      <c r="GG721" s="682"/>
      <c r="GH721" s="682"/>
      <c r="GI721" s="682"/>
      <c r="GJ721" s="682"/>
    </row>
    <row r="722" ht="17.5" customHeight="1" spans="101:192" x14ac:dyDescent="0.25">
      <c r="CW722" s="682"/>
      <c r="CX722" s="682"/>
      <c r="CY722" s="481">
        <v>2023</v>
      </c>
      <c r="CZ722" s="714"/>
      <c r="DA722" s="576"/>
      <c r="DE722" s="682"/>
      <c r="DF722" s="682"/>
      <c r="DG722" s="682"/>
      <c r="DH722" s="682"/>
      <c r="DI722" s="682"/>
      <c r="DJ722" s="682"/>
      <c r="DK722" s="682"/>
      <c r="DL722" s="682"/>
      <c r="DM722" s="682"/>
      <c r="DN722" s="682"/>
      <c r="DO722" s="682"/>
      <c r="DP722" s="682"/>
      <c r="DQ722" s="682"/>
      <c r="DR722" s="682"/>
      <c r="DU722" s="481">
        <v>2023</v>
      </c>
      <c r="DV722" s="714"/>
      <c r="DW722" s="576"/>
      <c r="ED722" s="682"/>
      <c r="EE722" s="682"/>
      <c r="EF722" s="682"/>
      <c r="EG722" s="682"/>
      <c r="EH722" s="682"/>
      <c r="EJ722" s="481">
        <v>2023</v>
      </c>
      <c r="EK722" s="272"/>
      <c r="EL722" s="272"/>
      <c r="EM722" s="75">
        <f t="shared" si="291"/>
        <v>30.66167176518434</v>
      </c>
      <c r="EZ722" s="574">
        <f t="shared" si="281"/>
        <v>30.66167176518434</v>
      </c>
      <c r="FB722" s="481">
        <v>2023</v>
      </c>
      <c r="FC722" s="714"/>
      <c r="FD722" s="576"/>
      <c r="FE722" s="576"/>
      <c r="FF722" s="744"/>
      <c r="FG722" s="745"/>
      <c r="FK722" s="682"/>
      <c r="FL722" s="682"/>
      <c r="FM722" s="682"/>
      <c r="FN722" s="682"/>
      <c r="FO722" s="682"/>
      <c r="FW722" s="481">
        <v>2023</v>
      </c>
      <c r="FX722" s="714"/>
      <c r="FY722" s="576"/>
      <c r="FZ722" s="744"/>
      <c r="GA722" s="745"/>
      <c r="GF722" s="682"/>
      <c r="GG722" s="682"/>
      <c r="GH722" s="682"/>
      <c r="GI722" s="682"/>
      <c r="GJ722" s="682"/>
    </row>
    <row r="723" ht="17.5" customHeight="1" spans="101:192" x14ac:dyDescent="0.25">
      <c r="CW723" s="682"/>
      <c r="CX723" s="682"/>
      <c r="CY723" s="481">
        <v>2024</v>
      </c>
      <c r="CZ723" s="714"/>
      <c r="DA723" s="576"/>
      <c r="DE723" s="682"/>
      <c r="DF723" s="682"/>
      <c r="DG723" s="682"/>
      <c r="DH723" s="682"/>
      <c r="DI723" s="682"/>
      <c r="DJ723" s="682"/>
      <c r="DK723" s="682"/>
      <c r="DL723" s="682"/>
      <c r="DM723" s="682"/>
      <c r="DN723" s="682"/>
      <c r="DO723" s="682"/>
      <c r="DP723" s="682"/>
      <c r="DQ723" s="682"/>
      <c r="DR723" s="682"/>
      <c r="DU723" s="481">
        <v>2024</v>
      </c>
      <c r="DV723" s="714"/>
      <c r="DW723" s="576"/>
      <c r="ED723" s="682"/>
      <c r="EE723" s="682"/>
      <c r="EF723" s="682"/>
      <c r="EG723" s="682"/>
      <c r="EH723" s="682"/>
      <c r="EJ723" s="481">
        <v>2024</v>
      </c>
      <c r="EK723" s="272"/>
      <c r="EL723" s="272"/>
      <c r="EM723" s="75">
        <f t="shared" si="291"/>
        <v>30.82174312377076</v>
      </c>
      <c r="EZ723" s="574">
        <f t="shared" si="281"/>
        <v>30.82174312377076</v>
      </c>
      <c r="FB723" s="481">
        <v>2024</v>
      </c>
      <c r="FC723" s="714"/>
      <c r="FD723" s="576"/>
      <c r="FE723" s="576"/>
      <c r="FF723" s="744"/>
      <c r="FG723" s="745"/>
      <c r="FK723" s="682"/>
      <c r="FL723" s="682"/>
      <c r="FM723" s="682"/>
      <c r="FN723" s="682"/>
      <c r="FO723" s="682"/>
      <c r="FW723" s="481">
        <v>2024</v>
      </c>
      <c r="FX723" s="714"/>
      <c r="FY723" s="576"/>
      <c r="FZ723" s="744"/>
      <c r="GA723" s="745"/>
      <c r="GF723" s="682"/>
      <c r="GG723" s="682"/>
      <c r="GH723" s="682"/>
      <c r="GI723" s="682"/>
      <c r="GJ723" s="682"/>
    </row>
    <row r="724" ht="17.5" customHeight="1" spans="101:192" x14ac:dyDescent="0.25">
      <c r="CW724" s="682"/>
      <c r="CX724" s="682"/>
      <c r="CY724" s="481">
        <v>2025</v>
      </c>
      <c r="CZ724" s="714"/>
      <c r="DA724" s="576"/>
      <c r="DE724" s="682"/>
      <c r="DF724" s="682"/>
      <c r="DG724" s="682"/>
      <c r="DH724" s="682"/>
      <c r="DI724" s="682"/>
      <c r="DJ724" s="682"/>
      <c r="DK724" s="682"/>
      <c r="DL724" s="682"/>
      <c r="DM724" s="682"/>
      <c r="DN724" s="682"/>
      <c r="DO724" s="682"/>
      <c r="DP724" s="682"/>
      <c r="DQ724" s="682"/>
      <c r="DR724" s="682"/>
      <c r="DU724" s="481">
        <v>2025</v>
      </c>
      <c r="DV724" s="714"/>
      <c r="DW724" s="576"/>
      <c r="ED724" s="682"/>
      <c r="EE724" s="682"/>
      <c r="EF724" s="682"/>
      <c r="EG724" s="682"/>
      <c r="EH724" s="682"/>
      <c r="EJ724" s="481">
        <v>2025</v>
      </c>
      <c r="EK724" s="272"/>
      <c r="EL724" s="272"/>
      <c r="EM724" s="75">
        <f t="shared" si="291"/>
        <v>30.949800210639893</v>
      </c>
      <c r="EZ724" s="574">
        <f t="shared" si="281"/>
        <v>30.949800210639893</v>
      </c>
      <c r="FB724" s="481">
        <v>2025</v>
      </c>
      <c r="FC724" s="714"/>
      <c r="FD724" s="576"/>
      <c r="FE724" s="576"/>
      <c r="FF724" s="744"/>
      <c r="FG724" s="745"/>
      <c r="FK724" s="682"/>
      <c r="FL724" s="682"/>
      <c r="FM724" s="682"/>
      <c r="FN724" s="682"/>
      <c r="FO724" s="682"/>
      <c r="FW724" s="481">
        <v>2025</v>
      </c>
      <c r="FX724" s="714"/>
      <c r="FY724" s="576"/>
      <c r="FZ724" s="744"/>
      <c r="GA724" s="745"/>
      <c r="GF724" s="682"/>
      <c r="GG724" s="682"/>
      <c r="GH724" s="682"/>
      <c r="GI724" s="682"/>
      <c r="GJ724" s="682"/>
    </row>
    <row r="725" ht="17.5" customHeight="1" spans="101:192" x14ac:dyDescent="0.25">
      <c r="CW725" s="682"/>
      <c r="CX725" s="682"/>
      <c r="CY725" s="481">
        <v>2026</v>
      </c>
      <c r="CZ725" s="714"/>
      <c r="DA725" s="576"/>
      <c r="DE725" s="682"/>
      <c r="DF725" s="682"/>
      <c r="DG725" s="682"/>
      <c r="DH725" s="682"/>
      <c r="DI725" s="682"/>
      <c r="DJ725" s="682"/>
      <c r="DK725" s="682"/>
      <c r="DL725" s="682"/>
      <c r="DM725" s="682"/>
      <c r="DN725" s="682"/>
      <c r="DO725" s="682"/>
      <c r="DP725" s="682"/>
      <c r="DQ725" s="682"/>
      <c r="DR725" s="682"/>
      <c r="DU725" s="481">
        <v>2026</v>
      </c>
      <c r="DV725" s="714"/>
      <c r="DW725" s="576"/>
      <c r="ED725" s="682"/>
      <c r="EE725" s="682"/>
      <c r="EF725" s="682"/>
      <c r="EG725" s="682"/>
      <c r="EH725" s="682"/>
      <c r="EJ725" s="481">
        <v>2026</v>
      </c>
      <c r="EK725" s="272"/>
      <c r="EL725" s="272"/>
      <c r="EM725" s="75">
        <f t="shared" si="291"/>
        <v>31.0522458801352</v>
      </c>
      <c r="EZ725" s="574">
        <f t="shared" si="281"/>
        <v>31.0522458801352</v>
      </c>
      <c r="FB725" s="481">
        <v>2026</v>
      </c>
      <c r="FC725" s="714"/>
      <c r="FD725" s="576"/>
      <c r="FE725" s="576"/>
      <c r="FF725" s="744"/>
      <c r="FG725" s="745"/>
      <c r="FK725" s="682"/>
      <c r="FL725" s="682"/>
      <c r="FM725" s="682"/>
      <c r="FN725" s="682"/>
      <c r="FO725" s="682"/>
      <c r="FW725" s="481">
        <v>2026</v>
      </c>
      <c r="FX725" s="714"/>
      <c r="FY725" s="576"/>
      <c r="FZ725" s="744"/>
      <c r="GA725" s="745"/>
      <c r="GF725" s="682"/>
      <c r="GG725" s="682"/>
      <c r="GH725" s="682"/>
      <c r="GI725" s="682"/>
      <c r="GJ725" s="682"/>
    </row>
    <row r="726" ht="17.5" customHeight="1" spans="101:192" x14ac:dyDescent="0.25">
      <c r="CW726" s="682"/>
      <c r="CX726" s="682"/>
      <c r="CY726" s="481">
        <v>2027</v>
      </c>
      <c r="CZ726" s="714"/>
      <c r="DA726" s="576"/>
      <c r="DE726" s="682"/>
      <c r="DF726" s="682"/>
      <c r="DG726" s="682"/>
      <c r="DH726" s="682"/>
      <c r="DI726" s="682"/>
      <c r="DJ726" s="682"/>
      <c r="DK726" s="682"/>
      <c r="DL726" s="682"/>
      <c r="DM726" s="682"/>
      <c r="DN726" s="682"/>
      <c r="DO726" s="682"/>
      <c r="DP726" s="682"/>
      <c r="DQ726" s="682"/>
      <c r="DR726" s="682"/>
      <c r="DU726" s="481">
        <v>2027</v>
      </c>
      <c r="DV726" s="714"/>
      <c r="DW726" s="576"/>
      <c r="ED726" s="682"/>
      <c r="EE726" s="682"/>
      <c r="EF726" s="682"/>
      <c r="EG726" s="682"/>
      <c r="EH726" s="682"/>
      <c r="EJ726" s="481">
        <v>2027</v>
      </c>
      <c r="EK726" s="272"/>
      <c r="EL726" s="272"/>
      <c r="EM726" s="75">
        <f t="shared" si="291"/>
        <v>31.134202415731444</v>
      </c>
      <c r="EZ726" s="574">
        <f t="shared" si="281"/>
        <v>31.134202415731444</v>
      </c>
      <c r="FB726" s="481">
        <v>2027</v>
      </c>
      <c r="FC726" s="714"/>
      <c r="FD726" s="576"/>
      <c r="FE726" s="576"/>
      <c r="FF726" s="744"/>
      <c r="FG726" s="745"/>
      <c r="FK726" s="682"/>
      <c r="FL726" s="682"/>
      <c r="FM726" s="682"/>
      <c r="FN726" s="682"/>
      <c r="FO726" s="682"/>
      <c r="FW726" s="481">
        <v>2027</v>
      </c>
      <c r="FX726" s="714"/>
      <c r="FY726" s="576"/>
      <c r="FZ726" s="744"/>
      <c r="GA726" s="745"/>
      <c r="GF726" s="682"/>
      <c r="GG726" s="682"/>
      <c r="GH726" s="682"/>
      <c r="GI726" s="682"/>
      <c r="GJ726" s="682"/>
    </row>
    <row r="727" ht="17.5" customHeight="1" spans="101:192" x14ac:dyDescent="0.25">
      <c r="CW727" s="682"/>
      <c r="CX727" s="682"/>
      <c r="CY727" s="481">
        <v>2028</v>
      </c>
      <c r="CZ727" s="714"/>
      <c r="DA727" s="576"/>
      <c r="DE727" s="682"/>
      <c r="DF727" s="682"/>
      <c r="DG727" s="682"/>
      <c r="DH727" s="682"/>
      <c r="DI727" s="682"/>
      <c r="DJ727" s="682"/>
      <c r="DK727" s="682"/>
      <c r="DL727" s="682"/>
      <c r="DM727" s="682"/>
      <c r="DN727" s="682"/>
      <c r="DO727" s="682"/>
      <c r="DP727" s="682"/>
      <c r="DQ727" s="682"/>
      <c r="DR727" s="682"/>
      <c r="DU727" s="481">
        <v>2028</v>
      </c>
      <c r="DV727" s="714"/>
      <c r="DW727" s="576"/>
      <c r="ED727" s="682"/>
      <c r="EE727" s="682"/>
      <c r="EF727" s="682"/>
      <c r="EG727" s="682"/>
      <c r="EH727" s="682"/>
      <c r="EJ727" s="481">
        <v>2028</v>
      </c>
      <c r="EK727" s="272"/>
      <c r="EL727" s="272"/>
      <c r="EM727" s="75">
        <f t="shared" si="291"/>
        <v>31.19976764420844</v>
      </c>
      <c r="EZ727" s="574">
        <f t="shared" si="281"/>
        <v>31.19976764420844</v>
      </c>
      <c r="FB727" s="481">
        <v>2028</v>
      </c>
      <c r="FC727" s="714"/>
      <c r="FD727" s="576"/>
      <c r="FE727" s="576"/>
      <c r="FF727" s="744"/>
      <c r="FG727" s="745"/>
      <c r="FK727" s="682"/>
      <c r="FL727" s="682"/>
      <c r="FM727" s="682"/>
      <c r="FN727" s="682"/>
      <c r="FO727" s="682"/>
      <c r="FW727" s="481">
        <v>2028</v>
      </c>
      <c r="FX727" s="714"/>
      <c r="FY727" s="576"/>
      <c r="FZ727" s="744"/>
      <c r="GA727" s="745"/>
      <c r="GF727" s="682"/>
      <c r="GG727" s="682"/>
      <c r="GH727" s="682"/>
      <c r="GI727" s="682"/>
      <c r="GJ727" s="682"/>
    </row>
    <row r="728" ht="17.5" customHeight="1" spans="101:192" x14ac:dyDescent="0.25">
      <c r="CW728" s="682"/>
      <c r="CX728" s="682"/>
      <c r="CY728" s="481">
        <v>2029</v>
      </c>
      <c r="CZ728" s="714"/>
      <c r="DA728" s="576"/>
      <c r="DE728" s="682"/>
      <c r="DF728" s="682"/>
      <c r="DG728" s="682"/>
      <c r="DH728" s="682"/>
      <c r="DI728" s="682"/>
      <c r="DJ728" s="682"/>
      <c r="DK728" s="682"/>
      <c r="DL728" s="682"/>
      <c r="DM728" s="682"/>
      <c r="DN728" s="682"/>
      <c r="DO728" s="682"/>
      <c r="DP728" s="682"/>
      <c r="DQ728" s="682"/>
      <c r="DR728" s="682"/>
      <c r="DU728" s="481">
        <v>2029</v>
      </c>
      <c r="DV728" s="714"/>
      <c r="DW728" s="576"/>
      <c r="ED728" s="682"/>
      <c r="EE728" s="682"/>
      <c r="EF728" s="682"/>
      <c r="EG728" s="682"/>
      <c r="EH728" s="682"/>
      <c r="EJ728" s="481">
        <v>2029</v>
      </c>
      <c r="EK728" s="272"/>
      <c r="EL728" s="272"/>
      <c r="EM728" s="75">
        <f t="shared" si="291"/>
        <v>31.252219826990036</v>
      </c>
      <c r="EZ728" s="574">
        <f t="shared" si="281"/>
        <v>31.252219826990036</v>
      </c>
      <c r="FB728" s="481">
        <v>2029</v>
      </c>
      <c r="FC728" s="714"/>
      <c r="FD728" s="576"/>
      <c r="FE728" s="576"/>
      <c r="FF728" s="744"/>
      <c r="FG728" s="745"/>
      <c r="FK728" s="682"/>
      <c r="FL728" s="682"/>
      <c r="FM728" s="682"/>
      <c r="FN728" s="682"/>
      <c r="FO728" s="682"/>
      <c r="FW728" s="481">
        <v>2029</v>
      </c>
      <c r="FX728" s="714"/>
      <c r="FY728" s="576"/>
      <c r="FZ728" s="744"/>
      <c r="GA728" s="745"/>
      <c r="GF728" s="682"/>
      <c r="GG728" s="682"/>
      <c r="GH728" s="682"/>
      <c r="GI728" s="682"/>
      <c r="GJ728" s="682"/>
    </row>
    <row r="729" ht="17.5" customHeight="1" spans="101:192" x14ac:dyDescent="0.25">
      <c r="CW729" s="682"/>
      <c r="CX729" s="682"/>
      <c r="CY729" s="512">
        <v>2030</v>
      </c>
      <c r="CZ729" s="716"/>
      <c r="DA729" s="581"/>
      <c r="DE729" s="682"/>
      <c r="DF729" s="682"/>
      <c r="DG729" s="682"/>
      <c r="DH729" s="682"/>
      <c r="DI729" s="682"/>
      <c r="DJ729" s="682"/>
      <c r="DK729" s="682"/>
      <c r="DL729" s="682"/>
      <c r="DM729" s="682"/>
      <c r="DN729" s="682"/>
      <c r="DO729" s="682"/>
      <c r="DP729" s="682"/>
      <c r="DQ729" s="682"/>
      <c r="DR729" s="682"/>
      <c r="DU729" s="512">
        <v>2030</v>
      </c>
      <c r="DV729" s="716"/>
      <c r="DW729" s="581"/>
      <c r="ED729" s="682"/>
      <c r="EE729" s="682"/>
      <c r="EF729" s="682"/>
      <c r="EG729" s="682"/>
      <c r="EH729" s="682"/>
      <c r="EJ729" s="512">
        <v>2030</v>
      </c>
      <c r="EK729" s="297"/>
      <c r="EL729" s="297"/>
      <c r="EM729" s="75">
        <f t="shared" si="291"/>
        <v>31.29418157321531</v>
      </c>
      <c r="EZ729" s="386">
        <f t="shared" si="281"/>
        <v>31.29418157321531</v>
      </c>
      <c r="FB729" s="512">
        <v>2030</v>
      </c>
      <c r="FC729" s="716"/>
      <c r="FD729" s="581"/>
      <c r="FE729" s="581"/>
      <c r="FF729" s="746"/>
      <c r="FG729" s="747"/>
      <c r="FK729" s="682"/>
      <c r="FL729" s="682"/>
      <c r="FM729" s="682"/>
      <c r="FN729" s="682"/>
      <c r="FO729" s="682"/>
      <c r="FW729" s="512">
        <v>2030</v>
      </c>
      <c r="FX729" s="716"/>
      <c r="FY729" s="581"/>
      <c r="FZ729" s="746"/>
      <c r="GA729" s="747"/>
      <c r="GF729" s="682"/>
      <c r="GG729" s="682"/>
      <c r="GH729" s="682"/>
      <c r="GI729" s="682"/>
      <c r="GJ729" s="682"/>
    </row>
    <row r="730" ht="17.5" customHeight="1" spans="115:115" x14ac:dyDescent="0.25">
      <c r="DK730" s="682"/>
    </row>
    <row r="734" ht="18" customHeight="1" spans="101:123" x14ac:dyDescent="0.25">
      <c r="CW734" s="682"/>
      <c r="CX734" s="682"/>
      <c r="CY734" s="682"/>
      <c r="CZ734" s="682"/>
      <c r="DA734" s="682"/>
      <c r="DB734" s="682"/>
      <c r="DC734" s="717"/>
      <c r="DD734" s="682"/>
      <c r="DF734" s="682"/>
      <c r="DG734" s="682"/>
      <c r="DH734" s="682"/>
      <c r="DI734" s="682"/>
      <c r="DJ734" s="682"/>
      <c r="DL734" s="682"/>
      <c r="DM734" s="682"/>
      <c r="DN734" s="682"/>
      <c r="DO734" s="682"/>
      <c r="DP734" s="682"/>
      <c r="DQ734" s="682"/>
      <c r="DR734" s="682"/>
      <c r="DS734" s="682"/>
    </row>
    <row r="735" ht="21" customHeight="1" spans="101:149" x14ac:dyDescent="0.25">
      <c r="CW735" s="682"/>
      <c r="CX735" s="682"/>
      <c r="CY735" s="718" t="s">
        <v>13</v>
      </c>
      <c r="CZ735" s="719" t="s">
        <v>805</v>
      </c>
      <c r="DA735" s="470" t="s">
        <v>806</v>
      </c>
      <c r="DB735" s="564" t="s">
        <v>807</v>
      </c>
      <c r="DC735" s="720" t="s">
        <v>789</v>
      </c>
      <c r="DD735" s="589" t="s">
        <v>644</v>
      </c>
      <c r="DE735" s="564" t="s">
        <v>807</v>
      </c>
      <c r="DF735" s="564" t="s">
        <v>807</v>
      </c>
      <c r="DG735" s="682"/>
      <c r="DH735" s="682"/>
      <c r="DI735" s="682"/>
      <c r="DJ735" s="682"/>
      <c r="DK735" s="682"/>
      <c r="DL735" s="682"/>
      <c r="DM735" s="682"/>
      <c r="DN735" s="682"/>
      <c r="DO735" s="682"/>
      <c r="DP735" s="682"/>
      <c r="DQ735" s="682"/>
      <c r="DR735" s="682"/>
      <c r="DS735" s="682"/>
      <c r="DT735" s="564" t="s">
        <v>807</v>
      </c>
      <c r="DV735" s="718" t="s">
        <v>13</v>
      </c>
      <c r="DW735" s="721" t="s">
        <v>805</v>
      </c>
      <c r="DX735" s="721" t="s">
        <v>351</v>
      </c>
      <c r="DY735" s="37" t="s">
        <v>789</v>
      </c>
      <c r="DZ735" s="721" t="s">
        <v>805</v>
      </c>
      <c r="EA735" s="721" t="s">
        <v>805</v>
      </c>
      <c r="ED735" s="682"/>
      <c r="EE735" s="682"/>
      <c r="EF735" s="682"/>
      <c r="EG735" s="682"/>
      <c r="EH735" s="682"/>
      <c r="EI735" s="682"/>
      <c r="EJ735" s="682"/>
      <c r="EK735" s="682"/>
      <c r="EL735" s="682"/>
      <c r="EM735" s="682"/>
      <c r="EN735" s="682"/>
      <c r="EP735" s="718" t="s">
        <v>13</v>
      </c>
      <c r="EQ735" s="719" t="s">
        <v>808</v>
      </c>
      <c r="ER735" s="470" t="s">
        <v>809</v>
      </c>
      <c r="ES735" s="721" t="s">
        <v>790</v>
      </c>
    </row>
    <row r="736" ht="18" customHeight="1" spans="101:149" x14ac:dyDescent="0.25">
      <c r="CW736" s="682"/>
      <c r="CX736" s="682"/>
      <c r="CY736" s="324">
        <v>43666</v>
      </c>
      <c r="CZ736" s="748" t="s">
        <v>721</v>
      </c>
      <c r="DA736" s="570" t="s">
        <v>55</v>
      </c>
      <c r="DB736" s="570" t="s">
        <v>55</v>
      </c>
      <c r="DC736" s="570" t="s">
        <v>55</v>
      </c>
      <c r="DD736" s="570" t="s">
        <v>55</v>
      </c>
      <c r="DE736" s="130" t="s">
        <v>117</v>
      </c>
      <c r="DF736" s="40" t="s">
        <v>118</v>
      </c>
      <c r="DG736" s="682"/>
      <c r="DH736" s="682"/>
      <c r="DI736" s="682"/>
      <c r="DJ736" s="682"/>
      <c r="DK736" s="682"/>
      <c r="DL736" s="682"/>
      <c r="DM736" s="682"/>
      <c r="DN736" s="682"/>
      <c r="DO736" s="682"/>
      <c r="DP736" s="682"/>
      <c r="DQ736" s="682"/>
      <c r="DR736" s="682"/>
      <c r="DS736" s="682"/>
      <c r="DT736" s="570" t="s">
        <v>55</v>
      </c>
      <c r="DV736" s="129">
        <v>43675</v>
      </c>
      <c r="DW736" s="130" t="s">
        <v>56</v>
      </c>
      <c r="DX736" s="130" t="s">
        <v>56</v>
      </c>
      <c r="DY736" s="130" t="s">
        <v>56</v>
      </c>
      <c r="DZ736" s="130" t="s">
        <v>117</v>
      </c>
      <c r="EA736" s="40" t="s">
        <v>118</v>
      </c>
      <c r="ED736" s="682"/>
      <c r="EE736" s="682"/>
      <c r="EF736" s="682"/>
      <c r="EG736" s="682"/>
      <c r="EH736" s="682"/>
      <c r="EI736" s="682"/>
      <c r="EJ736" s="682"/>
      <c r="EK736" s="682"/>
      <c r="EL736" s="682"/>
      <c r="EM736" s="682"/>
      <c r="EN736" s="682"/>
      <c r="EP736" s="725">
        <v>43666</v>
      </c>
      <c r="EQ736" s="130" t="s">
        <v>56</v>
      </c>
      <c r="ER736" s="724" t="s">
        <v>55</v>
      </c>
      <c r="ES736" s="724" t="s">
        <v>56</v>
      </c>
    </row>
    <row r="737" ht="17.5" customHeight="1" spans="101:149" x14ac:dyDescent="0.25">
      <c r="CW737" s="668">
        <f t="array" ref="CW737:CW758">TRANSPOSE(U80:AP80)</f>
        <v>301.117</v>
      </c>
      <c r="CX737" s="682"/>
      <c r="CY737" s="481">
        <v>1995</v>
      </c>
      <c r="CZ737" s="404">
        <f>CW737/1000</f>
        <v>0.301117</v>
      </c>
      <c r="DA737" s="321">
        <f t="array" ref="DA737:DA758">TRANSPOSE(U156:AP156)</f>
        <v>1</v>
      </c>
      <c r="DB737" s="321">
        <v>1</v>
      </c>
      <c r="DC737" s="322">
        <v>1</v>
      </c>
      <c r="DD737" s="322">
        <v>1</v>
      </c>
      <c r="DE737" s="326">
        <f>DB737</f>
        <v>1</v>
      </c>
      <c r="DF737" s="712"/>
      <c r="DG737" s="682"/>
      <c r="DH737" s="682"/>
      <c r="DI737" s="682"/>
      <c r="DJ737" s="682"/>
      <c r="DK737" s="682"/>
      <c r="DL737" s="682"/>
      <c r="DM737" s="682"/>
      <c r="DN737" s="682"/>
      <c r="DO737" s="682"/>
      <c r="DP737" s="682"/>
      <c r="DQ737" s="682"/>
      <c r="DR737" s="682"/>
      <c r="DS737" s="682"/>
      <c r="DT737" s="555">
        <v>1</v>
      </c>
      <c r="DV737" s="481">
        <v>1995</v>
      </c>
      <c r="DW737" s="138">
        <f t="array" ref="DW737:DW758">TRANSPOSE(U80:AP80)</f>
        <v>301.117</v>
      </c>
      <c r="DX737" s="140">
        <f t="array" ref="DX737:DX758">TRANSPOSE(U83:AP83)</f>
        <v>230.407</v>
      </c>
      <c r="DY737" s="140">
        <f>DX737</f>
        <v>230.407</v>
      </c>
      <c r="DZ737" s="140">
        <f>DW737</f>
        <v>301.117</v>
      </c>
      <c r="EA737" s="56"/>
      <c r="ED737" s="682"/>
      <c r="EE737" s="682"/>
      <c r="EF737" s="682"/>
      <c r="EG737" s="682"/>
      <c r="EH737" s="682"/>
      <c r="EI737" s="682"/>
      <c r="EJ737" s="682"/>
      <c r="EK737" s="682"/>
      <c r="EL737" s="682"/>
      <c r="EM737" s="682"/>
      <c r="EN737" s="682"/>
      <c r="EP737" s="481">
        <v>1995</v>
      </c>
      <c r="EQ737" s="404">
        <f t="shared" ref="EQ737:EQ758" si="292">DW737</f>
        <v>301.117</v>
      </c>
      <c r="ER737" s="321">
        <v>1</v>
      </c>
      <c r="ES737" s="56">
        <f>EQ737</f>
        <v>301.117</v>
      </c>
    </row>
    <row r="738" ht="17.5" customHeight="1" spans="101:149" x14ac:dyDescent="0.25">
      <c r="CW738" s="668">
        <v>401.614</v>
      </c>
      <c r="CX738" s="682"/>
      <c r="CY738" s="481">
        <v>1996</v>
      </c>
      <c r="CZ738" s="728">
        <f>CW738/1000</f>
        <v>0.40161399999999997</v>
      </c>
      <c r="DA738" s="57">
        <v>0.788</v>
      </c>
      <c r="DB738" s="57">
        <f t="shared" ref="DB738:DB758" si="293">CZ738/(DA738*CZ$737)</f>
        <v>1.6925727758586306</v>
      </c>
      <c r="DC738" s="57">
        <f>DD738</f>
        <v>0</v>
      </c>
      <c r="DD738" s="326">
        <f t="shared" ref="DD738:DD772" si="294">DT185</f>
        <v>0</v>
      </c>
      <c r="DE738" s="326">
        <f>DB738</f>
        <v>1.6925727758586306</v>
      </c>
      <c r="DF738" s="576"/>
      <c r="DG738" s="682"/>
      <c r="DH738" s="682"/>
      <c r="DI738" s="682"/>
      <c r="DJ738" s="682"/>
      <c r="DK738" s="682"/>
      <c r="DL738" s="682"/>
      <c r="DM738" s="682"/>
      <c r="DN738" s="682"/>
      <c r="DO738" s="682"/>
      <c r="DP738" s="682"/>
      <c r="DQ738" s="682"/>
      <c r="DR738" s="682"/>
      <c r="DS738" s="682"/>
      <c r="DT738" s="574">
        <f>DB738</f>
        <v>1.6925727758586306</v>
      </c>
      <c r="DV738" s="481">
        <v>1996</v>
      </c>
      <c r="DW738" s="547">
        <v>401.614</v>
      </c>
      <c r="DX738" s="55">
        <v>334.302</v>
      </c>
      <c r="DY738" s="55">
        <f>DX738</f>
        <v>334.302</v>
      </c>
      <c r="DZ738" s="55">
        <f>DW738</f>
        <v>401.614</v>
      </c>
      <c r="EA738" s="66"/>
      <c r="ED738" s="682"/>
      <c r="EE738" s="682"/>
      <c r="EF738" s="682"/>
      <c r="EG738" s="682"/>
      <c r="EH738" s="682"/>
      <c r="EI738" s="682"/>
      <c r="EJ738" s="682"/>
      <c r="EK738" s="682"/>
      <c r="EL738" s="682"/>
      <c r="EM738" s="682"/>
      <c r="EN738" s="682"/>
      <c r="EP738" s="481">
        <v>1996</v>
      </c>
      <c r="EQ738" s="728">
        <f t="shared" si="292"/>
        <v>401.614</v>
      </c>
      <c r="ER738" s="57">
        <f>DA738</f>
        <v>0.788</v>
      </c>
      <c r="ES738" s="66">
        <f t="shared" ref="ES738:ES758" si="295">ES$737*ER738</f>
        <v>237.28019600000002</v>
      </c>
    </row>
    <row r="739" ht="17.5" customHeight="1" spans="101:149" x14ac:dyDescent="0.25">
      <c r="CW739" s="668">
        <v>428.522</v>
      </c>
      <c r="CX739" s="682"/>
      <c r="CY739" s="481">
        <v>1997</v>
      </c>
      <c r="CZ739" s="728">
        <f t="shared" ref="CZ739:CZ758" si="296">CW739/1000</f>
        <v>0.428522</v>
      </c>
      <c r="DA739" s="57">
        <v>0.7257480000000001</v>
      </c>
      <c r="DB739" s="57">
        <f t="shared" si="293"/>
        <v>1.960884441096928</v>
      </c>
      <c r="DC739" s="57">
        <f t="shared" ref="DC739:DC772" si="297">DD739</f>
        <v>0</v>
      </c>
      <c r="DD739" s="326">
        <f t="shared" si="294"/>
        <v>0</v>
      </c>
      <c r="DE739" s="326">
        <f t="shared" ref="DE739:DE751" si="298">DB739</f>
        <v>1.960884441096928</v>
      </c>
      <c r="DF739" s="576"/>
      <c r="DG739" s="682"/>
      <c r="DH739" s="682"/>
      <c r="DI739" s="682"/>
      <c r="DJ739" s="682"/>
      <c r="DK739" s="682"/>
      <c r="DL739" s="682"/>
      <c r="DM739" s="682"/>
      <c r="DN739" s="682"/>
      <c r="DO739" s="682"/>
      <c r="DP739" s="682"/>
      <c r="DQ739" s="682"/>
      <c r="DR739" s="682"/>
      <c r="DS739" s="682"/>
      <c r="DT739" s="574">
        <f t="shared" ref="DT739:DT758" si="299">DB739</f>
        <v>1.960884441096928</v>
      </c>
      <c r="DV739" s="481">
        <v>1997</v>
      </c>
      <c r="DW739" s="547">
        <v>428.522</v>
      </c>
      <c r="DX739" s="55">
        <v>406.472</v>
      </c>
      <c r="DY739" s="55">
        <f>DX739</f>
        <v>406.472</v>
      </c>
      <c r="DZ739" s="55">
        <f t="shared" ref="DZ739:DZ753" si="300">DW739</f>
        <v>428.522</v>
      </c>
      <c r="EA739" s="66"/>
      <c r="ED739" s="682"/>
      <c r="EE739" s="682"/>
      <c r="EF739" s="682"/>
      <c r="EG739" s="682"/>
      <c r="EH739" s="682"/>
      <c r="EI739" s="682"/>
      <c r="EJ739" s="682"/>
      <c r="EK739" s="682"/>
      <c r="EL739" s="682"/>
      <c r="EM739" s="682"/>
      <c r="EN739" s="682"/>
      <c r="EP739" s="481">
        <v>1997</v>
      </c>
      <c r="EQ739" s="728">
        <f t="shared" si="292"/>
        <v>428.522</v>
      </c>
      <c r="ER739" s="57">
        <f t="shared" ref="ER739:ER758" si="301">DA739</f>
        <v>0.7257480000000001</v>
      </c>
      <c r="ES739" s="66">
        <f t="shared" si="295"/>
        <v>218.53506051600004</v>
      </c>
    </row>
    <row r="740" ht="17.5" customHeight="1" spans="101:149" x14ac:dyDescent="0.25">
      <c r="CW740" s="668">
        <v>424.6</v>
      </c>
      <c r="CX740" s="682"/>
      <c r="CY740" s="481">
        <v>1998</v>
      </c>
      <c r="CZ740" s="728">
        <f t="shared" si="296"/>
        <v>0.42460000000000003</v>
      </c>
      <c r="DA740" s="57">
        <v>0.635755248</v>
      </c>
      <c r="DB740" s="57">
        <f t="shared" si="293"/>
        <v>2.217965369961972</v>
      </c>
      <c r="DC740" s="57">
        <f t="shared" si="297"/>
        <v>0</v>
      </c>
      <c r="DD740" s="326">
        <f t="shared" si="294"/>
        <v>0</v>
      </c>
      <c r="DE740" s="326">
        <f t="shared" si="298"/>
        <v>2.217965369961972</v>
      </c>
      <c r="DF740" s="576"/>
      <c r="DG740" s="682"/>
      <c r="DH740" s="682"/>
      <c r="DI740" s="682"/>
      <c r="DJ740" s="682"/>
      <c r="DK740" s="682"/>
      <c r="DL740" s="682"/>
      <c r="DM740" s="682"/>
      <c r="DN740" s="682"/>
      <c r="DO740" s="682"/>
      <c r="DP740" s="682"/>
      <c r="DQ740" s="682"/>
      <c r="DR740" s="682"/>
      <c r="DS740" s="682"/>
      <c r="DT740" s="574">
        <f t="shared" si="299"/>
        <v>2.217965369961972</v>
      </c>
      <c r="DV740" s="481">
        <v>1998</v>
      </c>
      <c r="DW740" s="547">
        <v>424.6</v>
      </c>
      <c r="DX740" s="55">
        <v>428.564</v>
      </c>
      <c r="DY740" s="55">
        <f t="shared" ref="DY740:DY758" si="302">DX740</f>
        <v>428.564</v>
      </c>
      <c r="DZ740" s="55">
        <f t="shared" si="300"/>
        <v>424.6</v>
      </c>
      <c r="EA740" s="66"/>
      <c r="ED740" s="682"/>
      <c r="EE740" s="682"/>
      <c r="EF740" s="682"/>
      <c r="EG740" s="682"/>
      <c r="EH740" s="682"/>
      <c r="EI740" s="682"/>
      <c r="EJ740" s="682"/>
      <c r="EK740" s="682"/>
      <c r="EL740" s="682"/>
      <c r="EM740" s="682"/>
      <c r="EN740" s="682"/>
      <c r="EP740" s="481">
        <v>1998</v>
      </c>
      <c r="EQ740" s="728">
        <f t="shared" si="292"/>
        <v>424.6</v>
      </c>
      <c r="ER740" s="57">
        <f t="shared" si="301"/>
        <v>0.635755248</v>
      </c>
      <c r="ES740" s="66">
        <f t="shared" si="295"/>
        <v>191.436713012016</v>
      </c>
    </row>
    <row r="741" ht="17.5" customHeight="1" spans="101:149" x14ac:dyDescent="0.25">
      <c r="CW741" s="668">
        <v>694</v>
      </c>
      <c r="CX741" s="682"/>
      <c r="CY741" s="481">
        <v>1999</v>
      </c>
      <c r="CZ741" s="728">
        <f t="shared" si="296"/>
        <v>0.694</v>
      </c>
      <c r="DA741" s="57">
        <v>0.6764435838720001</v>
      </c>
      <c r="DB741" s="57">
        <f t="shared" si="293"/>
        <v>3.4071606685850466</v>
      </c>
      <c r="DC741" s="57">
        <f t="shared" si="297"/>
        <v>0</v>
      </c>
      <c r="DD741" s="326">
        <f t="shared" si="294"/>
        <v>0</v>
      </c>
      <c r="DE741" s="326">
        <f t="shared" si="298"/>
        <v>3.4071606685850466</v>
      </c>
      <c r="DF741" s="576"/>
      <c r="DG741" s="682"/>
      <c r="DH741" s="682"/>
      <c r="DI741" s="682"/>
      <c r="DJ741" s="682"/>
      <c r="DK741" s="682"/>
      <c r="DL741" s="682"/>
      <c r="DM741" s="682"/>
      <c r="DN741" s="682"/>
      <c r="DO741" s="682"/>
      <c r="DP741" s="682"/>
      <c r="DQ741" s="682"/>
      <c r="DR741" s="682"/>
      <c r="DS741" s="682"/>
      <c r="DT741" s="574">
        <f t="shared" si="299"/>
        <v>3.4071606685850466</v>
      </c>
      <c r="DV741" s="481">
        <v>1999</v>
      </c>
      <c r="DW741" s="547">
        <v>694</v>
      </c>
      <c r="DX741" s="55">
        <v>597.306</v>
      </c>
      <c r="DY741" s="55">
        <f t="shared" si="302"/>
        <v>597.306</v>
      </c>
      <c r="DZ741" s="55">
        <f t="shared" si="300"/>
        <v>694</v>
      </c>
      <c r="EA741" s="66"/>
      <c r="ED741" s="682"/>
      <c r="EE741" s="682"/>
      <c r="EF741" s="682"/>
      <c r="EG741" s="682"/>
      <c r="EH741" s="682"/>
      <c r="EI741" s="682"/>
      <c r="EJ741" s="682"/>
      <c r="EK741" s="682"/>
      <c r="EL741" s="682"/>
      <c r="EM741" s="682"/>
      <c r="EN741" s="682"/>
      <c r="EP741" s="481">
        <v>1999</v>
      </c>
      <c r="EQ741" s="728">
        <f t="shared" si="292"/>
        <v>694</v>
      </c>
      <c r="ER741" s="57">
        <f t="shared" si="301"/>
        <v>0.6764435838720001</v>
      </c>
      <c r="ES741" s="66">
        <f t="shared" si="295"/>
        <v>203.68866264478507</v>
      </c>
    </row>
    <row r="742" ht="17.5" customHeight="1" spans="101:149" x14ac:dyDescent="0.25">
      <c r="CW742" s="668">
        <v>1232</v>
      </c>
      <c r="CX742" s="682"/>
      <c r="CY742" s="481">
        <v>2000</v>
      </c>
      <c r="CZ742" s="728">
        <f t="shared" si="296"/>
        <v>1.232</v>
      </c>
      <c r="DA742" s="57">
        <v>0.7988798725528321</v>
      </c>
      <c r="DB742" s="57">
        <f t="shared" si="293"/>
        <v>5.121461985394073</v>
      </c>
      <c r="DC742" s="57">
        <f t="shared" si="297"/>
        <v>0</v>
      </c>
      <c r="DD742" s="326">
        <f t="shared" si="294"/>
        <v>0</v>
      </c>
      <c r="DE742" s="326">
        <f t="shared" si="298"/>
        <v>5.121461985394073</v>
      </c>
      <c r="DF742" s="576"/>
      <c r="DG742" s="682"/>
      <c r="DH742" s="682"/>
      <c r="DI742" s="682"/>
      <c r="DJ742" s="682"/>
      <c r="DK742" s="682"/>
      <c r="DL742" s="682"/>
      <c r="DM742" s="682"/>
      <c r="DN742" s="682"/>
      <c r="DO742" s="682"/>
      <c r="DP742" s="682"/>
      <c r="DQ742" s="682"/>
      <c r="DR742" s="682"/>
      <c r="DS742" s="682"/>
      <c r="DT742" s="574">
        <f t="shared" si="299"/>
        <v>5.121461985394073</v>
      </c>
      <c r="DV742" s="481">
        <v>2000</v>
      </c>
      <c r="DW742" s="547">
        <v>1232</v>
      </c>
      <c r="DX742" s="55">
        <v>843.378</v>
      </c>
      <c r="DY742" s="55">
        <f t="shared" si="302"/>
        <v>843.378</v>
      </c>
      <c r="DZ742" s="55">
        <f t="shared" si="300"/>
        <v>1232</v>
      </c>
      <c r="EA742" s="66"/>
      <c r="ED742" s="682"/>
      <c r="EE742" s="682"/>
      <c r="EF742" s="682"/>
      <c r="EG742" s="682"/>
      <c r="EH742" s="682"/>
      <c r="EI742" s="682"/>
      <c r="EJ742" s="682"/>
      <c r="EK742" s="682"/>
      <c r="EL742" s="682"/>
      <c r="EM742" s="682"/>
      <c r="EN742" s="682"/>
      <c r="EP742" s="481">
        <v>2000</v>
      </c>
      <c r="EQ742" s="728">
        <f t="shared" si="292"/>
        <v>1232</v>
      </c>
      <c r="ER742" s="57">
        <f t="shared" si="301"/>
        <v>0.7988798725528321</v>
      </c>
      <c r="ES742" s="66">
        <f t="shared" si="295"/>
        <v>240.55631058349115</v>
      </c>
    </row>
    <row r="743" ht="17.5" customHeight="1" spans="101:149" x14ac:dyDescent="0.25">
      <c r="CW743" s="668">
        <v>1689.3</v>
      </c>
      <c r="CX743" s="682"/>
      <c r="CY743" s="481">
        <v>2001</v>
      </c>
      <c r="CZ743" s="728">
        <f t="shared" si="296"/>
        <v>1.6893</v>
      </c>
      <c r="DA743" s="57">
        <v>0.880365619553221</v>
      </c>
      <c r="DB743" s="57">
        <f t="shared" si="293"/>
        <v>6.372479296737785</v>
      </c>
      <c r="DC743" s="57">
        <f t="shared" si="297"/>
        <v>0</v>
      </c>
      <c r="DD743" s="326">
        <f t="shared" si="294"/>
        <v>0</v>
      </c>
      <c r="DE743" s="326">
        <f t="shared" si="298"/>
        <v>6.372479296737785</v>
      </c>
      <c r="DF743" s="576"/>
      <c r="DG743" s="682"/>
      <c r="DH743" s="682"/>
      <c r="DI743" s="682"/>
      <c r="DJ743" s="682"/>
      <c r="DK743" s="682"/>
      <c r="DL743" s="682"/>
      <c r="DM743" s="682"/>
      <c r="DN743" s="682"/>
      <c r="DO743" s="682"/>
      <c r="DP743" s="682"/>
      <c r="DQ743" s="682"/>
      <c r="DR743" s="682"/>
      <c r="DS743" s="682"/>
      <c r="DT743" s="574">
        <f t="shared" si="299"/>
        <v>6.372479296737785</v>
      </c>
      <c r="DV743" s="481">
        <v>2001</v>
      </c>
      <c r="DW743" s="547">
        <v>1689.3</v>
      </c>
      <c r="DX743" s="55">
        <v>1117.655</v>
      </c>
      <c r="DY743" s="55">
        <f t="shared" si="302"/>
        <v>1117.655</v>
      </c>
      <c r="DZ743" s="55">
        <f t="shared" si="300"/>
        <v>1689.3</v>
      </c>
      <c r="EA743" s="66"/>
      <c r="ED743" s="682"/>
      <c r="EE743" s="682"/>
      <c r="EF743" s="682"/>
      <c r="EG743" s="682"/>
      <c r="EH743" s="682"/>
      <c r="EI743" s="682"/>
      <c r="EJ743" s="682"/>
      <c r="EK743" s="682"/>
      <c r="EL743" s="682"/>
      <c r="EM743" s="682"/>
      <c r="EN743" s="682"/>
      <c r="EP743" s="481">
        <v>2001</v>
      </c>
      <c r="EQ743" s="728">
        <f t="shared" si="292"/>
        <v>1689.3</v>
      </c>
      <c r="ER743" s="57">
        <f t="shared" si="301"/>
        <v>0.880365619553221</v>
      </c>
      <c r="ES743" s="66">
        <f t="shared" si="295"/>
        <v>265.0930542630073</v>
      </c>
    </row>
    <row r="744" ht="17.5" customHeight="1" spans="101:149" x14ac:dyDescent="0.25">
      <c r="CW744" s="668">
        <v>1939.3</v>
      </c>
      <c r="CX744" s="682"/>
      <c r="CY744" s="481">
        <v>2002</v>
      </c>
      <c r="CZ744" s="728">
        <f t="shared" si="296"/>
        <v>1.9393</v>
      </c>
      <c r="DA744" s="57">
        <v>0.9050158569007112</v>
      </c>
      <c r="DB744" s="57">
        <f t="shared" si="293"/>
        <v>7.116288295317442</v>
      </c>
      <c r="DC744" s="57">
        <f t="shared" si="297"/>
        <v>0</v>
      </c>
      <c r="DD744" s="326">
        <f t="shared" si="294"/>
        <v>0</v>
      </c>
      <c r="DE744" s="326">
        <f t="shared" si="298"/>
        <v>7.116288295317442</v>
      </c>
      <c r="DF744" s="576"/>
      <c r="DG744" s="682"/>
      <c r="DH744" s="682"/>
      <c r="DI744" s="682"/>
      <c r="DJ744" s="682"/>
      <c r="DK744" s="682"/>
      <c r="DL744" s="682"/>
      <c r="DM744" s="682"/>
      <c r="DN744" s="682"/>
      <c r="DO744" s="682"/>
      <c r="DP744" s="682"/>
      <c r="DQ744" s="682"/>
      <c r="DR744" s="682"/>
      <c r="DS744" s="682"/>
      <c r="DT744" s="574">
        <f t="shared" si="299"/>
        <v>7.116288295317442</v>
      </c>
      <c r="DV744" s="481">
        <v>2002</v>
      </c>
      <c r="DW744" s="547">
        <v>1939.3</v>
      </c>
      <c r="DX744" s="55">
        <v>1615.063</v>
      </c>
      <c r="DY744" s="55">
        <f t="shared" si="302"/>
        <v>1615.063</v>
      </c>
      <c r="DZ744" s="55">
        <f t="shared" si="300"/>
        <v>1939.3</v>
      </c>
      <c r="EA744" s="66"/>
      <c r="ED744" s="682"/>
      <c r="EE744" s="682"/>
      <c r="EF744" s="682"/>
      <c r="EG744" s="682"/>
      <c r="EH744" s="682"/>
      <c r="EI744" s="682"/>
      <c r="EJ744" s="682"/>
      <c r="EK744" s="682"/>
      <c r="EL744" s="682"/>
      <c r="EM744" s="682"/>
      <c r="EN744" s="682"/>
      <c r="EP744" s="481">
        <v>2002</v>
      </c>
      <c r="EQ744" s="728">
        <f t="shared" si="292"/>
        <v>1939.3</v>
      </c>
      <c r="ER744" s="57">
        <f t="shared" si="301"/>
        <v>0.9050158569007112</v>
      </c>
      <c r="ES744" s="66">
        <f t="shared" si="295"/>
        <v>272.5156597823715</v>
      </c>
    </row>
    <row r="745" ht="17.5" customHeight="1" spans="101:149" x14ac:dyDescent="0.25">
      <c r="CW745" s="668">
        <v>2432.2</v>
      </c>
      <c r="CX745" s="682"/>
      <c r="CY745" s="481">
        <v>2003</v>
      </c>
      <c r="CZ745" s="728">
        <f t="shared" si="296"/>
        <v>2.4322</v>
      </c>
      <c r="DA745" s="57">
        <v>1.03081306100991</v>
      </c>
      <c r="DB745" s="57">
        <f t="shared" si="293"/>
        <v>7.835813603023438</v>
      </c>
      <c r="DC745" s="57">
        <f t="shared" si="297"/>
        <v>0</v>
      </c>
      <c r="DD745" s="326">
        <f t="shared" si="294"/>
        <v>0</v>
      </c>
      <c r="DE745" s="326">
        <f t="shared" si="298"/>
        <v>7.835813603023438</v>
      </c>
      <c r="DF745" s="576"/>
      <c r="DG745" s="682"/>
      <c r="DH745" s="682"/>
      <c r="DI745" s="682"/>
      <c r="DJ745" s="682"/>
      <c r="DK745" s="682"/>
      <c r="DL745" s="682"/>
      <c r="DM745" s="682"/>
      <c r="DN745" s="682"/>
      <c r="DO745" s="682"/>
      <c r="DP745" s="682"/>
      <c r="DQ745" s="682"/>
      <c r="DR745" s="682"/>
      <c r="DS745" s="682"/>
      <c r="DT745" s="574">
        <f t="shared" si="299"/>
        <v>7.835813603023438</v>
      </c>
      <c r="DV745" s="481">
        <v>2003</v>
      </c>
      <c r="DW745" s="547">
        <v>2432.2</v>
      </c>
      <c r="DX745" s="55">
        <v>1815.658</v>
      </c>
      <c r="DY745" s="55">
        <f t="shared" si="302"/>
        <v>1815.658</v>
      </c>
      <c r="DZ745" s="55">
        <f t="shared" si="300"/>
        <v>2432.2</v>
      </c>
      <c r="EA745" s="66"/>
      <c r="ED745" s="682"/>
      <c r="EE745" s="682"/>
      <c r="EF745" s="682"/>
      <c r="EG745" s="682"/>
      <c r="EH745" s="682"/>
      <c r="EI745" s="682"/>
      <c r="EJ745" s="682"/>
      <c r="EK745" s="682"/>
      <c r="EL745" s="682"/>
      <c r="EM745" s="682"/>
      <c r="EN745" s="682"/>
      <c r="EP745" s="481">
        <v>2003</v>
      </c>
      <c r="EQ745" s="728">
        <f t="shared" si="292"/>
        <v>2432.2</v>
      </c>
      <c r="ER745" s="57">
        <f t="shared" si="301"/>
        <v>1.03081306100991</v>
      </c>
      <c r="ES745" s="66">
        <f t="shared" si="295"/>
        <v>310.3953364921211</v>
      </c>
    </row>
    <row r="746" ht="17.5" customHeight="1" spans="101:149" x14ac:dyDescent="0.25">
      <c r="CW746" s="668">
        <v>3130.524</v>
      </c>
      <c r="CX746" s="682"/>
      <c r="CY746" s="481">
        <v>2004</v>
      </c>
      <c r="CZ746" s="728">
        <f t="shared" si="296"/>
        <v>3.130524</v>
      </c>
      <c r="DA746" s="57">
        <v>1.1606955066971585</v>
      </c>
      <c r="DB746" s="57">
        <f t="shared" si="293"/>
        <v>8.957018258360831</v>
      </c>
      <c r="DC746" s="57">
        <f t="shared" si="297"/>
        <v>0</v>
      </c>
      <c r="DD746" s="326">
        <f t="shared" si="294"/>
        <v>0</v>
      </c>
      <c r="DE746" s="326">
        <f t="shared" si="298"/>
        <v>8.957018258360831</v>
      </c>
      <c r="DF746" s="576"/>
      <c r="DG746" s="682"/>
      <c r="DH746" s="682"/>
      <c r="DI746" s="682"/>
      <c r="DJ746" s="682"/>
      <c r="DK746" s="682"/>
      <c r="DL746" s="682"/>
      <c r="DM746" s="682"/>
      <c r="DN746" s="682"/>
      <c r="DO746" s="682"/>
      <c r="DP746" s="682"/>
      <c r="DQ746" s="682"/>
      <c r="DR746" s="682"/>
      <c r="DS746" s="682"/>
      <c r="DT746" s="574">
        <f t="shared" si="299"/>
        <v>8.957018258360831</v>
      </c>
      <c r="DV746" s="481">
        <v>2004</v>
      </c>
      <c r="DW746" s="547">
        <v>3130.524</v>
      </c>
      <c r="DX746" s="55">
        <v>1972.112</v>
      </c>
      <c r="DY746" s="55">
        <f t="shared" si="302"/>
        <v>1972.112</v>
      </c>
      <c r="DZ746" s="55">
        <f t="shared" si="300"/>
        <v>3130.524</v>
      </c>
      <c r="EA746" s="66"/>
      <c r="ED746" s="682"/>
      <c r="EE746" s="682"/>
      <c r="EF746" s="682"/>
      <c r="EG746" s="682"/>
      <c r="EH746" s="682"/>
      <c r="EI746" s="682"/>
      <c r="EJ746" s="682"/>
      <c r="EK746" s="682"/>
      <c r="EL746" s="682"/>
      <c r="EM746" s="682"/>
      <c r="EN746" s="682"/>
      <c r="EP746" s="481">
        <v>2004</v>
      </c>
      <c r="EQ746" s="728">
        <f t="shared" si="292"/>
        <v>3130.524</v>
      </c>
      <c r="ER746" s="57">
        <f t="shared" si="301"/>
        <v>1.1606955066971585</v>
      </c>
      <c r="ES746" s="66">
        <f t="shared" si="295"/>
        <v>349.5051488901283</v>
      </c>
    </row>
    <row r="747" ht="17.5" customHeight="1" spans="101:149" x14ac:dyDescent="0.25">
      <c r="CW747" s="668">
        <v>3836.896</v>
      </c>
      <c r="CX747" s="682"/>
      <c r="CY747" s="481">
        <v>2005</v>
      </c>
      <c r="CZ747" s="728">
        <f t="shared" si="296"/>
        <v>3.8368960000000003</v>
      </c>
      <c r="DA747" s="57">
        <v>1.2833622609573379</v>
      </c>
      <c r="DB747" s="57">
        <f t="shared" si="293"/>
        <v>9.928770875025874</v>
      </c>
      <c r="DC747" s="57">
        <f t="shared" si="297"/>
        <v>0</v>
      </c>
      <c r="DD747" s="326">
        <f t="shared" si="294"/>
        <v>0</v>
      </c>
      <c r="DE747" s="326">
        <f t="shared" si="298"/>
        <v>9.928770875025874</v>
      </c>
      <c r="DF747" s="576"/>
      <c r="DG747" s="682"/>
      <c r="DH747" s="682"/>
      <c r="DI747" s="682"/>
      <c r="DJ747" s="682"/>
      <c r="DK747" s="682"/>
      <c r="DL747" s="682"/>
      <c r="DM747" s="682"/>
      <c r="DN747" s="682"/>
      <c r="DO747" s="682"/>
      <c r="DP747" s="682"/>
      <c r="DQ747" s="682"/>
      <c r="DR747" s="682"/>
      <c r="DS747" s="682"/>
      <c r="DT747" s="574">
        <f t="shared" si="299"/>
        <v>9.928770875025874</v>
      </c>
      <c r="DV747" s="481">
        <v>2005</v>
      </c>
      <c r="DW747" s="547">
        <v>3836.896</v>
      </c>
      <c r="DX747" s="55">
        <v>2943.686</v>
      </c>
      <c r="DY747" s="55">
        <f t="shared" si="302"/>
        <v>2943.686</v>
      </c>
      <c r="DZ747" s="55">
        <f t="shared" si="300"/>
        <v>3836.896</v>
      </c>
      <c r="EA747" s="66"/>
      <c r="ED747" s="682"/>
      <c r="EE747" s="682"/>
      <c r="EF747" s="682"/>
      <c r="EG747" s="682"/>
      <c r="EH747" s="682"/>
      <c r="EI747" s="682"/>
      <c r="EJ747" s="682"/>
      <c r="EK747" s="682"/>
      <c r="EL747" s="682"/>
      <c r="EM747" s="682"/>
      <c r="EN747" s="682"/>
      <c r="EP747" s="481">
        <v>2005</v>
      </c>
      <c r="EQ747" s="728">
        <f t="shared" si="292"/>
        <v>3836.896</v>
      </c>
      <c r="ER747" s="57">
        <f t="shared" si="301"/>
        <v>1.2833622609573379</v>
      </c>
      <c r="ES747" s="66">
        <f t="shared" si="295"/>
        <v>386.4421939326907</v>
      </c>
    </row>
    <row r="748" ht="17.5" customHeight="1" spans="101:149" x14ac:dyDescent="0.25">
      <c r="CW748" s="668">
        <v>4980.573</v>
      </c>
      <c r="CX748" s="682"/>
      <c r="CY748" s="481">
        <v>2006</v>
      </c>
      <c r="CZ748" s="728">
        <f t="shared" si="296"/>
        <v>4.980573000000001</v>
      </c>
      <c r="DA748" s="57">
        <v>1.5143674679296586</v>
      </c>
      <c r="DB748" s="57">
        <f t="shared" si="293"/>
        <v>10.922266363611312</v>
      </c>
      <c r="DC748" s="57">
        <f t="shared" si="297"/>
        <v>0</v>
      </c>
      <c r="DD748" s="326">
        <f t="shared" si="294"/>
        <v>0</v>
      </c>
      <c r="DE748" s="326">
        <f t="shared" si="298"/>
        <v>10.922266363611312</v>
      </c>
      <c r="DF748" s="576"/>
      <c r="DG748" s="682"/>
      <c r="DH748" s="682"/>
      <c r="DI748" s="682"/>
      <c r="DJ748" s="682"/>
      <c r="DK748" s="682"/>
      <c r="DL748" s="682"/>
      <c r="DM748" s="682"/>
      <c r="DN748" s="682"/>
      <c r="DO748" s="682"/>
      <c r="DP748" s="682"/>
      <c r="DQ748" s="682"/>
      <c r="DR748" s="682"/>
      <c r="DS748" s="682"/>
      <c r="DT748" s="574">
        <f t="shared" si="299"/>
        <v>10.922266363611312</v>
      </c>
      <c r="DV748" s="481">
        <v>2006</v>
      </c>
      <c r="DW748" s="547">
        <v>4980.573</v>
      </c>
      <c r="DX748" s="55">
        <v>3252.436</v>
      </c>
      <c r="DY748" s="55">
        <f t="shared" si="302"/>
        <v>3252.436</v>
      </c>
      <c r="DZ748" s="55">
        <f t="shared" si="300"/>
        <v>4980.573</v>
      </c>
      <c r="EA748" s="66"/>
      <c r="ED748" s="682"/>
      <c r="EE748" s="682"/>
      <c r="EF748" s="682"/>
      <c r="EG748" s="682"/>
      <c r="EH748" s="682"/>
      <c r="EI748" s="682"/>
      <c r="EJ748" s="682"/>
      <c r="EK748" s="682"/>
      <c r="EL748" s="682"/>
      <c r="EM748" s="682"/>
      <c r="EN748" s="682"/>
      <c r="EP748" s="481">
        <v>2006</v>
      </c>
      <c r="EQ748" s="728">
        <f t="shared" si="292"/>
        <v>4980.573</v>
      </c>
      <c r="ER748" s="57">
        <f t="shared" si="301"/>
        <v>1.5143674679296586</v>
      </c>
      <c r="ES748" s="66">
        <f t="shared" si="295"/>
        <v>456.00178884057505</v>
      </c>
    </row>
    <row r="749" ht="17.5" customHeight="1" spans="101:149" x14ac:dyDescent="0.25">
      <c r="CW749" s="668">
        <v>6980.3591</v>
      </c>
      <c r="CX749" s="682"/>
      <c r="CY749" s="481">
        <v>2007</v>
      </c>
      <c r="CZ749" s="728">
        <f t="shared" si="296"/>
        <v>6.980359099999999</v>
      </c>
      <c r="DA749" s="57">
        <v>1.8323846361948868</v>
      </c>
      <c r="DB749" s="57">
        <f t="shared" si="293"/>
        <v>12.651028919973617</v>
      </c>
      <c r="DC749" s="57">
        <f t="shared" si="297"/>
        <v>0</v>
      </c>
      <c r="DD749" s="326">
        <f t="shared" si="294"/>
        <v>0</v>
      </c>
      <c r="DE749" s="326">
        <f t="shared" si="298"/>
        <v>12.651028919973617</v>
      </c>
      <c r="DF749" s="576"/>
      <c r="DG749" s="682"/>
      <c r="DH749" s="682"/>
      <c r="DI749" s="682"/>
      <c r="DJ749" s="682"/>
      <c r="DK749" s="682"/>
      <c r="DL749" s="682"/>
      <c r="DM749" s="682"/>
      <c r="DN749" s="682"/>
      <c r="DO749" s="682"/>
      <c r="DP749" s="682"/>
      <c r="DQ749" s="682"/>
      <c r="DR749" s="682"/>
      <c r="DS749" s="682"/>
      <c r="DT749" s="574">
        <f t="shared" si="299"/>
        <v>12.651028919973617</v>
      </c>
      <c r="DV749" s="481">
        <v>2007</v>
      </c>
      <c r="DW749" s="547">
        <v>6980.3591</v>
      </c>
      <c r="DX749" s="55">
        <v>4296.411</v>
      </c>
      <c r="DY749" s="55">
        <f t="shared" si="302"/>
        <v>4296.411</v>
      </c>
      <c r="DZ749" s="55">
        <f t="shared" si="300"/>
        <v>6980.3591</v>
      </c>
      <c r="EA749" s="66"/>
      <c r="ED749" s="682"/>
      <c r="EE749" s="682"/>
      <c r="EF749" s="682"/>
      <c r="EG749" s="682"/>
      <c r="EH749" s="682"/>
      <c r="EI749" s="682"/>
      <c r="EJ749" s="682"/>
      <c r="EK749" s="682"/>
      <c r="EL749" s="682"/>
      <c r="EM749" s="682"/>
      <c r="EN749" s="682"/>
      <c r="EP749" s="481">
        <v>2007</v>
      </c>
      <c r="EQ749" s="728">
        <f t="shared" si="292"/>
        <v>6980.3591</v>
      </c>
      <c r="ER749" s="57">
        <f t="shared" si="301"/>
        <v>1.8323846361948868</v>
      </c>
      <c r="ES749" s="66">
        <f t="shared" si="295"/>
        <v>551.7621644970958</v>
      </c>
    </row>
    <row r="750" ht="17.5" customHeight="1" spans="101:149" x14ac:dyDescent="0.25">
      <c r="CW750" s="668">
        <v>9200.7689</v>
      </c>
      <c r="CX750" s="682"/>
      <c r="CY750" s="481">
        <v>2008</v>
      </c>
      <c r="CZ750" s="728">
        <f t="shared" si="296"/>
        <v>9.2007689</v>
      </c>
      <c r="DA750" s="57">
        <v>2.026617407631545</v>
      </c>
      <c r="DB750" s="57">
        <f t="shared" si="293"/>
        <v>15.077074431164505</v>
      </c>
      <c r="DC750" s="57">
        <f t="shared" si="297"/>
        <v>0</v>
      </c>
      <c r="DD750" s="326">
        <f t="shared" si="294"/>
        <v>0</v>
      </c>
      <c r="DE750" s="326">
        <f t="shared" si="298"/>
        <v>15.077074431164505</v>
      </c>
      <c r="DF750" s="576"/>
      <c r="DG750" s="682"/>
      <c r="DH750" s="682"/>
      <c r="DI750" s="682"/>
      <c r="DJ750" s="682"/>
      <c r="DK750" s="682"/>
      <c r="DL750" s="682"/>
      <c r="DM750" s="682"/>
      <c r="DN750" s="682"/>
      <c r="DO750" s="682"/>
      <c r="DP750" s="682"/>
      <c r="DQ750" s="682"/>
      <c r="DR750" s="682"/>
      <c r="DS750" s="682"/>
      <c r="DT750" s="574">
        <f t="shared" si="299"/>
        <v>15.077074431164505</v>
      </c>
      <c r="DV750" s="481">
        <v>2008</v>
      </c>
      <c r="DW750" s="547">
        <v>9200.7689</v>
      </c>
      <c r="DX750" s="55">
        <v>5744.847</v>
      </c>
      <c r="DY750" s="55">
        <f t="shared" si="302"/>
        <v>5744.847</v>
      </c>
      <c r="DZ750" s="55">
        <f t="shared" si="300"/>
        <v>9200.7689</v>
      </c>
      <c r="EA750" s="66"/>
      <c r="ED750" s="682"/>
      <c r="EE750" s="682"/>
      <c r="EF750" s="682"/>
      <c r="EG750" s="682"/>
      <c r="EH750" s="682"/>
      <c r="EI750" s="682"/>
      <c r="EJ750" s="682"/>
      <c r="EK750" s="682"/>
      <c r="EL750" s="682"/>
      <c r="EM750" s="682"/>
      <c r="EN750" s="682"/>
      <c r="EP750" s="481">
        <v>2008</v>
      </c>
      <c r="EQ750" s="728">
        <f t="shared" si="292"/>
        <v>9200.7689</v>
      </c>
      <c r="ER750" s="57">
        <f t="shared" si="301"/>
        <v>2.026617407631545</v>
      </c>
      <c r="ES750" s="66">
        <f t="shared" si="295"/>
        <v>610.2489539337879</v>
      </c>
    </row>
    <row r="751" ht="17.5" customHeight="1" spans="101:149" x14ac:dyDescent="0.25">
      <c r="CW751" s="668">
        <v>8535.671</v>
      </c>
      <c r="CX751" s="682"/>
      <c r="CY751" s="481">
        <v>2009</v>
      </c>
      <c r="CZ751" s="728">
        <f t="shared" si="296"/>
        <v>8.535671</v>
      </c>
      <c r="DA751" s="57">
        <v>1.7347845009326024</v>
      </c>
      <c r="DB751" s="57">
        <f t="shared" si="293"/>
        <v>16.340180850371365</v>
      </c>
      <c r="DC751" s="57">
        <f t="shared" si="297"/>
        <v>0</v>
      </c>
      <c r="DD751" s="326">
        <f t="shared" si="294"/>
        <v>0</v>
      </c>
      <c r="DE751" s="326">
        <f t="shared" si="298"/>
        <v>16.340180850371365</v>
      </c>
      <c r="DF751" s="576"/>
      <c r="DG751" s="682"/>
      <c r="DH751" s="682"/>
      <c r="DI751" s="682"/>
      <c r="DJ751" s="682"/>
      <c r="DK751" s="682"/>
      <c r="DL751" s="682"/>
      <c r="DM751" s="682"/>
      <c r="DN751" s="682"/>
      <c r="DO751" s="682"/>
      <c r="DP751" s="682"/>
      <c r="DQ751" s="682"/>
      <c r="DR751" s="682"/>
      <c r="DS751" s="682"/>
      <c r="DT751" s="574">
        <f t="shared" si="299"/>
        <v>16.340180850371365</v>
      </c>
      <c r="DV751" s="481">
        <v>2009</v>
      </c>
      <c r="DW751" s="547">
        <v>8535.671</v>
      </c>
      <c r="DX751" s="55">
        <v>6356.223</v>
      </c>
      <c r="DY751" s="55">
        <f t="shared" si="302"/>
        <v>6356.223</v>
      </c>
      <c r="DZ751" s="55"/>
      <c r="EA751" s="66"/>
      <c r="ED751" s="682"/>
      <c r="EE751" s="682"/>
      <c r="EF751" s="682"/>
      <c r="EG751" s="682"/>
      <c r="EH751" s="682"/>
      <c r="EI751" s="682"/>
      <c r="EJ751" s="682"/>
      <c r="EK751" s="682"/>
      <c r="EL751" s="682"/>
      <c r="EM751" s="682"/>
      <c r="EN751" s="682"/>
      <c r="EP751" s="481">
        <v>2009</v>
      </c>
      <c r="EQ751" s="728">
        <f t="shared" si="292"/>
        <v>8535.671</v>
      </c>
      <c r="ER751" s="57">
        <f t="shared" si="301"/>
        <v>1.7347845009326024</v>
      </c>
      <c r="ES751" s="66">
        <f t="shared" si="295"/>
        <v>522.3731045673225</v>
      </c>
    </row>
    <row r="752" ht="17.5" customHeight="1" spans="101:149" x14ac:dyDescent="0.25">
      <c r="CW752" s="668">
        <v>10014.3401</v>
      </c>
      <c r="CX752" s="682"/>
      <c r="CY752" s="481">
        <v>2010</v>
      </c>
      <c r="CZ752" s="728">
        <f t="shared" si="296"/>
        <v>10.0143401</v>
      </c>
      <c r="DA752" s="57">
        <v>1.8371367864876262</v>
      </c>
      <c r="DB752" s="57">
        <f t="shared" si="293"/>
        <v>18.102792277984832</v>
      </c>
      <c r="DC752" s="57">
        <f t="shared" si="297"/>
        <v>0</v>
      </c>
      <c r="DD752" s="326">
        <f t="shared" si="294"/>
        <v>0</v>
      </c>
      <c r="DE752" s="114"/>
      <c r="DF752" s="75">
        <f>DB752</f>
        <v>18.102792277984832</v>
      </c>
      <c r="DG752" s="682"/>
      <c r="DH752" s="682"/>
      <c r="DI752" s="682"/>
      <c r="DJ752" s="682"/>
      <c r="DK752" s="682"/>
      <c r="DL752" s="682"/>
      <c r="DM752" s="682"/>
      <c r="DN752" s="682"/>
      <c r="DO752" s="682"/>
      <c r="DP752" s="682"/>
      <c r="DQ752" s="682"/>
      <c r="DR752" s="682"/>
      <c r="DS752" s="682"/>
      <c r="DT752" s="574">
        <f t="shared" si="299"/>
        <v>18.102792277984832</v>
      </c>
      <c r="DV752" s="481">
        <v>2010</v>
      </c>
      <c r="DW752" s="547">
        <v>10014.3401</v>
      </c>
      <c r="DX752" s="55">
        <v>6275.931</v>
      </c>
      <c r="DY752" s="55">
        <f t="shared" si="302"/>
        <v>6275.931</v>
      </c>
      <c r="DZ752" s="55">
        <f t="shared" si="300"/>
        <v>10014.3401</v>
      </c>
      <c r="EA752" s="66"/>
      <c r="ED752" s="682"/>
      <c r="EE752" s="682"/>
      <c r="EF752" s="682"/>
      <c r="EG752" s="682"/>
      <c r="EH752" s="682"/>
      <c r="EI752" s="682"/>
      <c r="EJ752" s="682"/>
      <c r="EK752" s="682"/>
      <c r="EL752" s="682"/>
      <c r="EM752" s="682"/>
      <c r="EN752" s="682"/>
      <c r="EP752" s="481">
        <v>2010</v>
      </c>
      <c r="EQ752" s="728">
        <f t="shared" si="292"/>
        <v>10014.3401</v>
      </c>
      <c r="ER752" s="57">
        <f t="shared" si="301"/>
        <v>1.8371367864876262</v>
      </c>
      <c r="ES752" s="66">
        <f t="shared" si="295"/>
        <v>553.1931177367945</v>
      </c>
    </row>
    <row r="753" ht="17.5" customHeight="1" spans="101:149" x14ac:dyDescent="0.25">
      <c r="CW753" s="668">
        <v>12952.9765</v>
      </c>
      <c r="CX753" s="682"/>
      <c r="CY753" s="481">
        <v>2011</v>
      </c>
      <c r="CZ753" s="728">
        <f t="shared" si="296"/>
        <v>12.9529765</v>
      </c>
      <c r="DA753" s="57">
        <v>2.0043162340580003</v>
      </c>
      <c r="DB753" s="57">
        <f t="shared" si="293"/>
        <v>21.461894643962896</v>
      </c>
      <c r="DC753" s="57">
        <f t="shared" si="297"/>
        <v>0</v>
      </c>
      <c r="DD753" s="326">
        <f t="shared" si="294"/>
        <v>0</v>
      </c>
      <c r="DE753" s="114"/>
      <c r="DF753" s="75">
        <f t="shared" ref="DF753:DF758" si="303">DB753</f>
        <v>21.461894643962896</v>
      </c>
      <c r="DG753" s="682"/>
      <c r="DH753" s="682"/>
      <c r="DI753" s="682"/>
      <c r="DJ753" s="682"/>
      <c r="DK753" s="682"/>
      <c r="DL753" s="682"/>
      <c r="DM753" s="682"/>
      <c r="DN753" s="682"/>
      <c r="DO753" s="682"/>
      <c r="DP753" s="682"/>
      <c r="DQ753" s="682"/>
      <c r="DR753" s="682"/>
      <c r="DS753" s="682"/>
      <c r="DT753" s="574">
        <f t="shared" si="299"/>
        <v>21.461894643962896</v>
      </c>
      <c r="DV753" s="481">
        <v>2011</v>
      </c>
      <c r="DW753" s="547">
        <v>12952.9765</v>
      </c>
      <c r="DX753" s="55">
        <v>8813.314</v>
      </c>
      <c r="DY753" s="55">
        <f t="shared" si="302"/>
        <v>8813.314</v>
      </c>
      <c r="DZ753" s="55">
        <f t="shared" si="300"/>
        <v>12952.9765</v>
      </c>
      <c r="EA753" s="66"/>
      <c r="ED753" s="682"/>
      <c r="EE753" s="682"/>
      <c r="EF753" s="682"/>
      <c r="EG753" s="682"/>
      <c r="EH753" s="682"/>
      <c r="EI753" s="682"/>
      <c r="EJ753" s="682"/>
      <c r="EK753" s="682"/>
      <c r="EL753" s="682"/>
      <c r="EM753" s="682"/>
      <c r="EN753" s="682"/>
      <c r="EP753" s="481">
        <v>2011</v>
      </c>
      <c r="EQ753" s="728">
        <f t="shared" si="292"/>
        <v>12952.9765</v>
      </c>
      <c r="ER753" s="57">
        <f t="shared" si="301"/>
        <v>2.0043162340580003</v>
      </c>
      <c r="ES753" s="66">
        <f t="shared" si="295"/>
        <v>603.5336914508429</v>
      </c>
    </row>
    <row r="754" ht="17.5" customHeight="1" spans="101:149" x14ac:dyDescent="0.25">
      <c r="CW754" s="668">
        <v>14689.247</v>
      </c>
      <c r="CX754" s="682"/>
      <c r="CY754" s="481">
        <v>2012</v>
      </c>
      <c r="CZ754" s="728">
        <f t="shared" si="296"/>
        <v>14.689247</v>
      </c>
      <c r="DA754" s="57">
        <v>2.1045320457609002</v>
      </c>
      <c r="DB754" s="57">
        <f t="shared" si="293"/>
        <v>23.179748282136284</v>
      </c>
      <c r="DC754" s="57">
        <f t="shared" si="297"/>
        <v>0</v>
      </c>
      <c r="DD754" s="326">
        <f t="shared" si="294"/>
        <v>0</v>
      </c>
      <c r="DE754" s="114"/>
      <c r="DF754" s="75">
        <f t="shared" si="303"/>
        <v>23.179748282136284</v>
      </c>
      <c r="DG754" s="682"/>
      <c r="DH754" s="682"/>
      <c r="DI754" s="682"/>
      <c r="DJ754" s="682"/>
      <c r="DK754" s="682"/>
      <c r="DL754" s="682"/>
      <c r="DM754" s="682"/>
      <c r="DN754" s="682"/>
      <c r="DO754" s="682"/>
      <c r="DP754" s="682"/>
      <c r="DQ754" s="682"/>
      <c r="DR754" s="682"/>
      <c r="DS754" s="682"/>
      <c r="DT754" s="574">
        <f t="shared" si="299"/>
        <v>23.179748282136284</v>
      </c>
      <c r="DV754" s="481">
        <v>2012</v>
      </c>
      <c r="DW754" s="547">
        <v>14689.247</v>
      </c>
      <c r="DX754" s="55">
        <v>10338.4</v>
      </c>
      <c r="DY754" s="55">
        <f t="shared" si="302"/>
        <v>10338.4</v>
      </c>
      <c r="DZ754" s="55">
        <f>DW754</f>
        <v>14689.247</v>
      </c>
      <c r="EA754" s="66"/>
      <c r="ED754" s="682"/>
      <c r="EE754" s="682"/>
      <c r="EF754" s="682"/>
      <c r="EG754" s="682"/>
      <c r="EH754" s="682"/>
      <c r="EI754" s="682"/>
      <c r="EJ754" s="682"/>
      <c r="EK754" s="682"/>
      <c r="EL754" s="682"/>
      <c r="EM754" s="682"/>
      <c r="EN754" s="682"/>
      <c r="EP754" s="481">
        <v>2012</v>
      </c>
      <c r="EQ754" s="728">
        <f t="shared" si="292"/>
        <v>14689.247</v>
      </c>
      <c r="ER754" s="57">
        <f t="shared" si="301"/>
        <v>2.1045320457609002</v>
      </c>
      <c r="ES754" s="66">
        <f t="shared" si="295"/>
        <v>633.710376023385</v>
      </c>
    </row>
    <row r="755" ht="17.5" customHeight="1" spans="101:149" x14ac:dyDescent="0.25">
      <c r="CW755" s="668">
        <v>15925.6152</v>
      </c>
      <c r="CX755" s="682"/>
      <c r="CY755" s="481">
        <v>2013</v>
      </c>
      <c r="CZ755" s="728">
        <f t="shared" si="296"/>
        <v>15.9256152</v>
      </c>
      <c r="DA755" s="57">
        <v>2.131890962355792</v>
      </c>
      <c r="DB755" s="57">
        <f t="shared" si="293"/>
        <v>24.80823998884054</v>
      </c>
      <c r="DC755" s="57">
        <f t="shared" si="297"/>
        <v>0</v>
      </c>
      <c r="DD755" s="326">
        <f t="shared" si="294"/>
        <v>0</v>
      </c>
      <c r="DE755" s="114"/>
      <c r="DF755" s="75">
        <f t="shared" si="303"/>
        <v>24.80823998884054</v>
      </c>
      <c r="DG755" s="682"/>
      <c r="DH755" s="682"/>
      <c r="DI755" s="682"/>
      <c r="DJ755" s="682"/>
      <c r="DK755" s="682"/>
      <c r="DL755" s="682"/>
      <c r="DM755" s="682"/>
      <c r="DN755" s="682"/>
      <c r="DO755" s="682"/>
      <c r="DP755" s="682"/>
      <c r="DQ755" s="682"/>
      <c r="DR755" s="682"/>
      <c r="DS755" s="682"/>
      <c r="DT755" s="574">
        <f t="shared" si="299"/>
        <v>24.80823998884054</v>
      </c>
      <c r="DV755" s="481">
        <v>2013</v>
      </c>
      <c r="DW755" s="547">
        <v>15925.6152</v>
      </c>
      <c r="DX755" s="55">
        <v>11160.485</v>
      </c>
      <c r="DY755" s="55">
        <f t="shared" si="302"/>
        <v>11160.485</v>
      </c>
      <c r="DZ755" s="55"/>
      <c r="EA755" s="66">
        <f>DW755</f>
        <v>15925.6152</v>
      </c>
      <c r="ED755" s="682"/>
      <c r="EE755" s="682"/>
      <c r="EF755" s="682"/>
      <c r="EG755" s="682"/>
      <c r="EH755" s="682"/>
      <c r="EI755" s="682"/>
      <c r="EJ755" s="682"/>
      <c r="EK755" s="682"/>
      <c r="EL755" s="682"/>
      <c r="EM755" s="682"/>
      <c r="EN755" s="682"/>
      <c r="EP755" s="481">
        <v>2013</v>
      </c>
      <c r="EQ755" s="728">
        <f t="shared" si="292"/>
        <v>15925.6152</v>
      </c>
      <c r="ER755" s="57">
        <f t="shared" si="301"/>
        <v>2.131890962355792</v>
      </c>
      <c r="ES755" s="66">
        <f t="shared" si="295"/>
        <v>641.948610911689</v>
      </c>
    </row>
    <row r="756" ht="17.5" customHeight="1" spans="101:149" x14ac:dyDescent="0.25">
      <c r="CW756" s="668">
        <v>17115.12</v>
      </c>
      <c r="CX756" s="682"/>
      <c r="CY756" s="481">
        <v>2014</v>
      </c>
      <c r="CZ756" s="728">
        <f t="shared" si="296"/>
        <v>17.115119999999997</v>
      </c>
      <c r="DA756" s="57">
        <v>2.0935169250333874</v>
      </c>
      <c r="DB756" s="57">
        <f t="shared" si="293"/>
        <v>27.14989768280266</v>
      </c>
      <c r="DC756" s="57">
        <f t="shared" si="297"/>
        <v>0</v>
      </c>
      <c r="DD756" s="326">
        <f t="shared" si="294"/>
        <v>0</v>
      </c>
      <c r="DE756" s="114"/>
      <c r="DF756" s="75">
        <f t="shared" si="303"/>
        <v>27.14989768280266</v>
      </c>
      <c r="DG756" s="682"/>
      <c r="DH756" s="682"/>
      <c r="DI756" s="682"/>
      <c r="DJ756" s="682"/>
      <c r="DK756" s="682"/>
      <c r="DL756" s="682"/>
      <c r="DM756" s="682"/>
      <c r="DN756" s="682"/>
      <c r="DO756" s="682"/>
      <c r="DP756" s="682"/>
      <c r="DQ756" s="682"/>
      <c r="DR756" s="682"/>
      <c r="DS756" s="682"/>
      <c r="DT756" s="574">
        <f t="shared" si="299"/>
        <v>27.14989768280266</v>
      </c>
      <c r="DV756" s="481">
        <v>2014</v>
      </c>
      <c r="DW756" s="547">
        <v>17115.12</v>
      </c>
      <c r="DX756" s="55">
        <v>10888</v>
      </c>
      <c r="DY756" s="55">
        <f t="shared" si="302"/>
        <v>10888</v>
      </c>
      <c r="DZ756" s="55"/>
      <c r="EA756" s="66">
        <f>DW756</f>
        <v>17115.12</v>
      </c>
      <c r="ED756" s="682"/>
      <c r="EE756" s="682"/>
      <c r="EF756" s="682"/>
      <c r="EG756" s="682"/>
      <c r="EH756" s="682"/>
      <c r="EI756" s="682"/>
      <c r="EJ756" s="682"/>
      <c r="EK756" s="682"/>
      <c r="EL756" s="682"/>
      <c r="EM756" s="682"/>
      <c r="EN756" s="682"/>
      <c r="EP756" s="481">
        <v>2014</v>
      </c>
      <c r="EQ756" s="728">
        <f t="shared" si="292"/>
        <v>17115.12</v>
      </c>
      <c r="ER756" s="57">
        <f t="shared" si="301"/>
        <v>2.0935169250333874</v>
      </c>
      <c r="ES756" s="66">
        <f t="shared" si="295"/>
        <v>630.3935359152786</v>
      </c>
    </row>
    <row r="757" ht="17.5" customHeight="1" spans="101:149" x14ac:dyDescent="0.25">
      <c r="CW757" s="668">
        <v>17325.84</v>
      </c>
      <c r="CX757" s="682"/>
      <c r="CY757" s="481">
        <v>2015</v>
      </c>
      <c r="CZ757" s="728">
        <f t="shared" si="296"/>
        <v>17.32584</v>
      </c>
      <c r="DA757" s="57">
        <v>1.869510614054815</v>
      </c>
      <c r="DB757" s="57">
        <f t="shared" si="293"/>
        <v>30.777340503641387</v>
      </c>
      <c r="DC757" s="57">
        <f t="shared" si="297"/>
        <v>25.408791247612854</v>
      </c>
      <c r="DD757" s="326">
        <f t="shared" si="294"/>
        <v>25.408791247612854</v>
      </c>
      <c r="DE757" s="114"/>
      <c r="DF757" s="75">
        <f t="shared" si="303"/>
        <v>30.777340503641387</v>
      </c>
      <c r="DG757" s="682"/>
      <c r="DH757" s="682"/>
      <c r="DI757" s="682"/>
      <c r="DJ757" s="682"/>
      <c r="DK757" s="682"/>
      <c r="DL757" s="682"/>
      <c r="DM757" s="682"/>
      <c r="DN757" s="682"/>
      <c r="DO757" s="682"/>
      <c r="DP757" s="682"/>
      <c r="DQ757" s="682"/>
      <c r="DR757" s="682"/>
      <c r="DS757" s="682"/>
      <c r="DT757" s="574">
        <f t="shared" si="299"/>
        <v>30.777340503641387</v>
      </c>
      <c r="DV757" s="481">
        <v>2015</v>
      </c>
      <c r="DW757" s="547">
        <v>17325.84</v>
      </c>
      <c r="DX757" s="55">
        <v>10721</v>
      </c>
      <c r="DY757" s="55">
        <f t="shared" si="302"/>
        <v>10721</v>
      </c>
      <c r="DZ757" s="55"/>
      <c r="EA757" s="66">
        <f>DW757</f>
        <v>17325.84</v>
      </c>
      <c r="ED757" s="682"/>
      <c r="EE757" s="682"/>
      <c r="EF757" s="682"/>
      <c r="EG757" s="682"/>
      <c r="EH757" s="682"/>
      <c r="EI757" s="682"/>
      <c r="EJ757" s="682"/>
      <c r="EK757" s="682"/>
      <c r="EL757" s="682"/>
      <c r="EM757" s="682"/>
      <c r="EN757" s="682"/>
      <c r="EP757" s="481">
        <v>2015</v>
      </c>
      <c r="EQ757" s="728">
        <f t="shared" si="292"/>
        <v>17325.84</v>
      </c>
      <c r="ER757" s="57">
        <f t="shared" si="301"/>
        <v>1.869510614054815</v>
      </c>
      <c r="ES757" s="66">
        <f t="shared" si="295"/>
        <v>562.9414275723437</v>
      </c>
    </row>
    <row r="758" ht="17.5" customHeight="1" spans="101:149" x14ac:dyDescent="0.25">
      <c r="CW758" s="668">
        <v>18910.54</v>
      </c>
      <c r="CX758" s="682"/>
      <c r="CY758" s="481">
        <v>2016</v>
      </c>
      <c r="CZ758" s="728">
        <f t="shared" si="296"/>
        <v>18.91054</v>
      </c>
      <c r="DA758" s="57">
        <v>1.8882057201953633</v>
      </c>
      <c r="DB758" s="57">
        <f t="shared" si="293"/>
        <v>33.25977804020638</v>
      </c>
      <c r="DC758" s="57">
        <f t="shared" si="297"/>
        <v>27.019844336572895</v>
      </c>
      <c r="DD758" s="326">
        <f t="shared" si="294"/>
        <v>27.019844336572895</v>
      </c>
      <c r="DE758" s="114"/>
      <c r="DF758" s="75">
        <f t="shared" si="303"/>
        <v>33.25977804020638</v>
      </c>
      <c r="DG758" s="682"/>
      <c r="DH758" s="682"/>
      <c r="DI758" s="682"/>
      <c r="DJ758" s="682"/>
      <c r="DK758" s="682"/>
      <c r="DL758" s="682"/>
      <c r="DM758" s="682"/>
      <c r="DN758" s="682"/>
      <c r="DO758" s="682"/>
      <c r="DP758" s="682"/>
      <c r="DQ758" s="682"/>
      <c r="DR758" s="682"/>
      <c r="DS758" s="682"/>
      <c r="DT758" s="574">
        <f t="shared" si="299"/>
        <v>33.25977804020638</v>
      </c>
      <c r="DV758" s="481">
        <v>2016</v>
      </c>
      <c r="DW758" s="547">
        <v>18910.54</v>
      </c>
      <c r="DX758" s="55">
        <v>13256</v>
      </c>
      <c r="DY758" s="55">
        <f t="shared" si="302"/>
        <v>13256</v>
      </c>
      <c r="DZ758" s="55"/>
      <c r="EA758" s="66">
        <f>DW758</f>
        <v>18910.54</v>
      </c>
      <c r="ED758" s="682"/>
      <c r="EE758" s="682"/>
      <c r="EF758" s="682"/>
      <c r="EG758" s="682"/>
      <c r="EH758" s="682"/>
      <c r="EI758" s="682"/>
      <c r="EJ758" s="682"/>
      <c r="EK758" s="682"/>
      <c r="EL758" s="682"/>
      <c r="EM758" s="682"/>
      <c r="EN758" s="682"/>
      <c r="EP758" s="481">
        <v>2016</v>
      </c>
      <c r="EQ758" s="728">
        <f t="shared" si="292"/>
        <v>18910.54</v>
      </c>
      <c r="ER758" s="57">
        <f t="shared" si="301"/>
        <v>1.8882057201953633</v>
      </c>
      <c r="ES758" s="66">
        <f t="shared" si="295"/>
        <v>568.5708418480673</v>
      </c>
    </row>
    <row r="759" ht="17.5" customHeight="1" spans="101:149" x14ac:dyDescent="0.25">
      <c r="CW759" s="682"/>
      <c r="CX759" s="682"/>
      <c r="CY759" s="481">
        <v>2017</v>
      </c>
      <c r="CZ759" s="487"/>
      <c r="DA759" s="46"/>
      <c r="DB759" s="326"/>
      <c r="DC759" s="57">
        <f t="shared" si="297"/>
        <v>28.017232863734257</v>
      </c>
      <c r="DD759" s="326">
        <f t="shared" si="294"/>
        <v>28.017232863734257</v>
      </c>
      <c r="DE759" s="114"/>
      <c r="DF759" s="576">
        <f>1.5083*DC759-7.9857</f>
        <v>34.272692328370375</v>
      </c>
      <c r="DG759" s="682"/>
      <c r="DH759" s="682"/>
      <c r="DI759" s="682"/>
      <c r="DJ759" s="682"/>
      <c r="DK759" s="682"/>
      <c r="DL759" s="682"/>
      <c r="DM759" s="682"/>
      <c r="DN759" s="682"/>
      <c r="DO759" s="682"/>
      <c r="DP759" s="682"/>
      <c r="DQ759" s="682"/>
      <c r="DR759" s="682"/>
      <c r="DS759" s="682"/>
      <c r="DT759" s="574">
        <f>DF759</f>
        <v>34.272692328370375</v>
      </c>
      <c r="DV759" s="481">
        <v>2017</v>
      </c>
      <c r="DW759" s="487"/>
      <c r="DX759" s="326"/>
      <c r="DY759" s="326"/>
      <c r="DZ759" s="272"/>
      <c r="EA759" s="576"/>
      <c r="ED759" s="682"/>
      <c r="EE759" s="682"/>
      <c r="EF759" s="682"/>
      <c r="EG759" s="682"/>
      <c r="EH759" s="682"/>
      <c r="EI759" s="682"/>
      <c r="EJ759" s="682"/>
      <c r="EK759" s="682"/>
      <c r="EL759" s="682"/>
      <c r="EM759" s="682"/>
      <c r="EN759" s="682"/>
      <c r="EP759" s="481">
        <v>2017</v>
      </c>
      <c r="EQ759" s="487"/>
      <c r="ER759" s="46"/>
      <c r="ES759" s="575"/>
    </row>
    <row r="760" ht="17.5" customHeight="1" spans="101:149" x14ac:dyDescent="0.25">
      <c r="CW760" s="682"/>
      <c r="CX760" s="682"/>
      <c r="CY760" s="481">
        <v>2018</v>
      </c>
      <c r="CZ760" s="487"/>
      <c r="DA760" s="46"/>
      <c r="DB760" s="326"/>
      <c r="DC760" s="57">
        <f t="shared" si="297"/>
        <v>29.48966481725577</v>
      </c>
      <c r="DD760" s="326">
        <f t="shared" si="294"/>
        <v>29.48966481725577</v>
      </c>
      <c r="DE760" s="114"/>
      <c r="DF760" s="576">
        <f t="shared" ref="DF760:DF772" si="304">1.5083*DC760-7.9857</f>
        <v>36.493561443866874</v>
      </c>
      <c r="DG760" s="682"/>
      <c r="DH760" s="682"/>
      <c r="DI760" s="682"/>
      <c r="DJ760" s="682"/>
      <c r="DK760" s="682"/>
      <c r="DL760" s="682"/>
      <c r="DM760" s="682"/>
      <c r="DN760" s="682"/>
      <c r="DO760" s="682"/>
      <c r="DP760" s="682"/>
      <c r="DQ760" s="682"/>
      <c r="DR760" s="682"/>
      <c r="DS760" s="682"/>
      <c r="DT760" s="574">
        <f t="shared" ref="DT760:DT772" si="305">DF760</f>
        <v>36.493561443866874</v>
      </c>
      <c r="DV760" s="481">
        <v>2018</v>
      </c>
      <c r="DW760" s="487"/>
      <c r="DX760" s="326"/>
      <c r="DY760" s="326"/>
      <c r="DZ760" s="272"/>
      <c r="EA760" s="576"/>
      <c r="ED760" s="682"/>
      <c r="EE760" s="682"/>
      <c r="EF760" s="682"/>
      <c r="EG760" s="682"/>
      <c r="EH760" s="682"/>
      <c r="EI760" s="682"/>
      <c r="EJ760" s="682"/>
      <c r="EK760" s="682"/>
      <c r="EL760" s="682"/>
      <c r="EM760" s="682"/>
      <c r="EN760" s="682"/>
      <c r="EP760" s="481">
        <v>2018</v>
      </c>
      <c r="EQ760" s="487"/>
      <c r="ER760" s="46"/>
      <c r="ES760" s="575"/>
    </row>
    <row r="761" ht="17.5" customHeight="1" spans="101:149" x14ac:dyDescent="0.25">
      <c r="CW761" s="682"/>
      <c r="CX761" s="682"/>
      <c r="CY761" s="481">
        <v>2019</v>
      </c>
      <c r="CZ761" s="714"/>
      <c r="DA761" s="272"/>
      <c r="DB761" s="272"/>
      <c r="DC761" s="57">
        <f t="shared" si="297"/>
        <v>0</v>
      </c>
      <c r="DD761" s="326">
        <f t="shared" si="294"/>
        <v>0</v>
      </c>
      <c r="DE761" s="114"/>
      <c r="DF761" s="576">
        <f t="shared" si="304"/>
        <v>-7.9857</v>
      </c>
      <c r="DG761" s="682"/>
      <c r="DH761" s="682"/>
      <c r="DI761" s="682"/>
      <c r="DJ761" s="682"/>
      <c r="DK761" s="682"/>
      <c r="DL761" s="682"/>
      <c r="DM761" s="682"/>
      <c r="DN761" s="682"/>
      <c r="DO761" s="682"/>
      <c r="DP761" s="682"/>
      <c r="DQ761" s="682"/>
      <c r="DR761" s="682"/>
      <c r="DS761" s="682"/>
      <c r="DT761" s="574">
        <f t="shared" si="305"/>
        <v>-7.9857</v>
      </c>
      <c r="DV761" s="481">
        <v>2019</v>
      </c>
      <c r="DW761" s="714"/>
      <c r="DX761" s="272"/>
      <c r="DY761" s="272"/>
      <c r="DZ761" s="272"/>
      <c r="EA761" s="576"/>
      <c r="ED761" s="682"/>
      <c r="EE761" s="682"/>
      <c r="EF761" s="682"/>
      <c r="EG761" s="682"/>
      <c r="EH761" s="682"/>
      <c r="EI761" s="682"/>
      <c r="EJ761" s="682"/>
      <c r="EK761" s="682"/>
      <c r="EL761" s="682"/>
      <c r="EM761" s="682"/>
      <c r="EN761" s="682"/>
      <c r="EP761" s="481">
        <v>2019</v>
      </c>
      <c r="EQ761" s="714"/>
      <c r="ER761" s="272"/>
      <c r="ES761" s="576"/>
    </row>
    <row r="762" ht="17.5" customHeight="1" spans="101:149" x14ac:dyDescent="0.25">
      <c r="CW762" s="682"/>
      <c r="CX762" s="682"/>
      <c r="CY762" s="481">
        <v>2020</v>
      </c>
      <c r="CZ762" s="714"/>
      <c r="DA762" s="272"/>
      <c r="DB762" s="272"/>
      <c r="DC762" s="57">
        <f t="shared" si="297"/>
        <v>0</v>
      </c>
      <c r="DD762" s="326">
        <f t="shared" si="294"/>
        <v>0</v>
      </c>
      <c r="DE762" s="114"/>
      <c r="DF762" s="576">
        <f t="shared" si="304"/>
        <v>-7.9857</v>
      </c>
      <c r="DG762" s="682"/>
      <c r="DH762" s="682"/>
      <c r="DI762" s="682"/>
      <c r="DJ762" s="682"/>
      <c r="DK762" s="682"/>
      <c r="DL762" s="682"/>
      <c r="DM762" s="682"/>
      <c r="DN762" s="682"/>
      <c r="DO762" s="682"/>
      <c r="DP762" s="682"/>
      <c r="DQ762" s="682"/>
      <c r="DR762" s="682"/>
      <c r="DS762" s="682"/>
      <c r="DT762" s="574">
        <f t="shared" si="305"/>
        <v>-7.9857</v>
      </c>
      <c r="DV762" s="481">
        <v>2020</v>
      </c>
      <c r="DW762" s="714"/>
      <c r="DX762" s="272"/>
      <c r="DY762" s="272"/>
      <c r="DZ762" s="272"/>
      <c r="EA762" s="576"/>
      <c r="ED762" s="682"/>
      <c r="EE762" s="682"/>
      <c r="EF762" s="682"/>
      <c r="EG762" s="682"/>
      <c r="EH762" s="682"/>
      <c r="EI762" s="682"/>
      <c r="EJ762" s="682"/>
      <c r="EK762" s="682"/>
      <c r="EL762" s="682"/>
      <c r="EM762" s="682"/>
      <c r="EN762" s="682"/>
      <c r="EP762" s="481">
        <v>2020</v>
      </c>
      <c r="EQ762" s="714"/>
      <c r="ER762" s="272"/>
      <c r="ES762" s="576"/>
    </row>
    <row r="763" ht="17.5" customHeight="1" spans="101:149" x14ac:dyDescent="0.25">
      <c r="CW763" s="682"/>
      <c r="CX763" s="682"/>
      <c r="CY763" s="481">
        <v>2021</v>
      </c>
      <c r="CZ763" s="714"/>
      <c r="DA763" s="272"/>
      <c r="DB763" s="272"/>
      <c r="DC763" s="57">
        <f t="shared" si="297"/>
        <v>0</v>
      </c>
      <c r="DD763" s="326">
        <f t="shared" si="294"/>
        <v>0</v>
      </c>
      <c r="DE763" s="114"/>
      <c r="DF763" s="576">
        <f t="shared" si="304"/>
        <v>-7.9857</v>
      </c>
      <c r="DG763" s="682"/>
      <c r="DH763" s="682"/>
      <c r="DI763" s="682"/>
      <c r="DJ763" s="682"/>
      <c r="DK763" s="682"/>
      <c r="DL763" s="682"/>
      <c r="DM763" s="682"/>
      <c r="DN763" s="682"/>
      <c r="DO763" s="682"/>
      <c r="DP763" s="682"/>
      <c r="DQ763" s="682"/>
      <c r="DR763" s="682"/>
      <c r="DS763" s="682"/>
      <c r="DT763" s="574">
        <f t="shared" si="305"/>
        <v>-7.9857</v>
      </c>
      <c r="DV763" s="481">
        <v>2021</v>
      </c>
      <c r="DW763" s="714"/>
      <c r="DX763" s="272"/>
      <c r="DY763" s="272"/>
      <c r="DZ763" s="272"/>
      <c r="EA763" s="576"/>
      <c r="ED763" s="682"/>
      <c r="EE763" s="682"/>
      <c r="EF763" s="682"/>
      <c r="EG763" s="682"/>
      <c r="EH763" s="682"/>
      <c r="EI763" s="682"/>
      <c r="EJ763" s="682"/>
      <c r="EK763" s="682"/>
      <c r="EL763" s="682"/>
      <c r="EM763" s="682"/>
      <c r="EN763" s="682"/>
      <c r="EP763" s="481">
        <v>2021</v>
      </c>
      <c r="EQ763" s="714"/>
      <c r="ER763" s="272"/>
      <c r="ES763" s="576"/>
    </row>
    <row r="764" ht="17.5" customHeight="1" spans="101:149" x14ac:dyDescent="0.25">
      <c r="CW764" s="682"/>
      <c r="CX764" s="682"/>
      <c r="CY764" s="481">
        <v>2022</v>
      </c>
      <c r="CZ764" s="714"/>
      <c r="DA764" s="272"/>
      <c r="DB764" s="272"/>
      <c r="DC764" s="57">
        <f t="shared" si="297"/>
        <v>0</v>
      </c>
      <c r="DD764" s="326">
        <f t="shared" si="294"/>
        <v>0</v>
      </c>
      <c r="DE764" s="114"/>
      <c r="DF764" s="576">
        <f t="shared" si="304"/>
        <v>-7.9857</v>
      </c>
      <c r="DG764" s="682"/>
      <c r="DH764" s="682"/>
      <c r="DI764" s="682"/>
      <c r="DJ764" s="682"/>
      <c r="DK764" s="682"/>
      <c r="DL764" s="682"/>
      <c r="DM764" s="682"/>
      <c r="DN764" s="682"/>
      <c r="DO764" s="682"/>
      <c r="DP764" s="682"/>
      <c r="DQ764" s="682"/>
      <c r="DR764" s="682"/>
      <c r="DS764" s="682"/>
      <c r="DT764" s="574">
        <f t="shared" si="305"/>
        <v>-7.9857</v>
      </c>
      <c r="DV764" s="481">
        <v>2022</v>
      </c>
      <c r="DW764" s="714"/>
      <c r="DX764" s="272"/>
      <c r="DY764" s="272"/>
      <c r="DZ764" s="272"/>
      <c r="EA764" s="576"/>
      <c r="ED764" s="682"/>
      <c r="EE764" s="682"/>
      <c r="EF764" s="682"/>
      <c r="EG764" s="682"/>
      <c r="EH764" s="682"/>
      <c r="EI764" s="682"/>
      <c r="EJ764" s="682"/>
      <c r="EK764" s="682"/>
      <c r="EL764" s="682"/>
      <c r="EM764" s="682"/>
      <c r="EN764" s="682"/>
      <c r="EP764" s="481">
        <v>2022</v>
      </c>
      <c r="EQ764" s="714"/>
      <c r="ER764" s="272"/>
      <c r="ES764" s="576"/>
    </row>
    <row r="765" ht="17.5" customHeight="1" spans="101:149" x14ac:dyDescent="0.25">
      <c r="CW765" s="682"/>
      <c r="CX765" s="682"/>
      <c r="CY765" s="481">
        <v>2023</v>
      </c>
      <c r="CZ765" s="714"/>
      <c r="DA765" s="272"/>
      <c r="DB765" s="272"/>
      <c r="DC765" s="57">
        <f t="shared" si="297"/>
        <v>0</v>
      </c>
      <c r="DD765" s="326">
        <f t="shared" si="294"/>
        <v>0</v>
      </c>
      <c r="DE765" s="114"/>
      <c r="DF765" s="576">
        <f t="shared" si="304"/>
        <v>-7.9857</v>
      </c>
      <c r="DG765" s="682"/>
      <c r="DH765" s="682"/>
      <c r="DI765" s="682"/>
      <c r="DJ765" s="682"/>
      <c r="DK765" s="682"/>
      <c r="DL765" s="682"/>
      <c r="DM765" s="682"/>
      <c r="DN765" s="682"/>
      <c r="DO765" s="682"/>
      <c r="DP765" s="682"/>
      <c r="DQ765" s="682"/>
      <c r="DR765" s="682"/>
      <c r="DS765" s="682"/>
      <c r="DT765" s="574">
        <f t="shared" si="305"/>
        <v>-7.9857</v>
      </c>
      <c r="DV765" s="481">
        <v>2023</v>
      </c>
      <c r="DW765" s="714"/>
      <c r="DX765" s="272"/>
      <c r="DY765" s="272"/>
      <c r="DZ765" s="272"/>
      <c r="EA765" s="576"/>
      <c r="ED765" s="682"/>
      <c r="EE765" s="682"/>
      <c r="EF765" s="682"/>
      <c r="EG765" s="682"/>
      <c r="EH765" s="682"/>
      <c r="EI765" s="682"/>
      <c r="EJ765" s="682"/>
      <c r="EK765" s="682"/>
      <c r="EL765" s="682"/>
      <c r="EM765" s="682"/>
      <c r="EN765" s="682"/>
      <c r="EP765" s="481">
        <v>2023</v>
      </c>
      <c r="EQ765" s="714"/>
      <c r="ER765" s="272"/>
      <c r="ES765" s="576"/>
    </row>
    <row r="766" ht="17.5" customHeight="1" spans="101:149" x14ac:dyDescent="0.25">
      <c r="CW766" s="682"/>
      <c r="CX766" s="682"/>
      <c r="CY766" s="481">
        <v>2024</v>
      </c>
      <c r="CZ766" s="714"/>
      <c r="DA766" s="272"/>
      <c r="DB766" s="272"/>
      <c r="DC766" s="57">
        <f t="shared" si="297"/>
        <v>0</v>
      </c>
      <c r="DD766" s="326">
        <f t="shared" si="294"/>
        <v>0</v>
      </c>
      <c r="DE766" s="114"/>
      <c r="DF766" s="75">
        <f t="shared" si="304"/>
        <v>-7.9857</v>
      </c>
      <c r="DG766" s="682"/>
      <c r="DH766" s="682"/>
      <c r="DI766" s="682"/>
      <c r="DJ766" s="682"/>
      <c r="DK766" s="682"/>
      <c r="DL766" s="682"/>
      <c r="DM766" s="682"/>
      <c r="DN766" s="682"/>
      <c r="DO766" s="682"/>
      <c r="DP766" s="682"/>
      <c r="DQ766" s="682"/>
      <c r="DR766" s="682"/>
      <c r="DS766" s="682"/>
      <c r="DT766" s="574">
        <f t="shared" si="305"/>
        <v>-7.9857</v>
      </c>
      <c r="DV766" s="481">
        <v>2024</v>
      </c>
      <c r="DW766" s="714"/>
      <c r="DX766" s="272"/>
      <c r="DY766" s="272"/>
      <c r="DZ766" s="272"/>
      <c r="EA766" s="576"/>
      <c r="ED766" s="682"/>
      <c r="EE766" s="682"/>
      <c r="EF766" s="682"/>
      <c r="EG766" s="682"/>
      <c r="EH766" s="682"/>
      <c r="EI766" s="682"/>
      <c r="EJ766" s="682"/>
      <c r="EK766" s="682"/>
      <c r="EL766" s="682"/>
      <c r="EM766" s="682"/>
      <c r="EN766" s="682"/>
      <c r="EP766" s="481">
        <v>2024</v>
      </c>
      <c r="EQ766" s="714"/>
      <c r="ER766" s="272"/>
      <c r="ES766" s="576"/>
    </row>
    <row r="767" ht="17.5" customHeight="1" spans="101:149" x14ac:dyDescent="0.25">
      <c r="CW767" s="682"/>
      <c r="CX767" s="682"/>
      <c r="CY767" s="481">
        <v>2025</v>
      </c>
      <c r="CZ767" s="714"/>
      <c r="DA767" s="272"/>
      <c r="DB767" s="272"/>
      <c r="DC767" s="57">
        <f t="shared" si="297"/>
        <v>0</v>
      </c>
      <c r="DD767" s="326">
        <f t="shared" si="294"/>
        <v>0</v>
      </c>
      <c r="DE767" s="114"/>
      <c r="DF767" s="576">
        <f t="shared" si="304"/>
        <v>-7.9857</v>
      </c>
      <c r="DG767" s="682"/>
      <c r="DH767" s="682"/>
      <c r="DI767" s="682"/>
      <c r="DJ767" s="682"/>
      <c r="DK767" s="682"/>
      <c r="DL767" s="682"/>
      <c r="DM767" s="682"/>
      <c r="DN767" s="682"/>
      <c r="DO767" s="682"/>
      <c r="DP767" s="682"/>
      <c r="DQ767" s="682"/>
      <c r="DR767" s="682"/>
      <c r="DS767" s="682"/>
      <c r="DT767" s="574">
        <f t="shared" si="305"/>
        <v>-7.9857</v>
      </c>
      <c r="DV767" s="481">
        <v>2025</v>
      </c>
      <c r="DW767" s="714"/>
      <c r="DX767" s="272"/>
      <c r="DY767" s="272"/>
      <c r="DZ767" s="272"/>
      <c r="EA767" s="576"/>
      <c r="ED767" s="682"/>
      <c r="EE767" s="682"/>
      <c r="EF767" s="682"/>
      <c r="EG767" s="682"/>
      <c r="EH767" s="682"/>
      <c r="EI767" s="682"/>
      <c r="EJ767" s="682"/>
      <c r="EK767" s="682"/>
      <c r="EL767" s="682"/>
      <c r="EM767" s="682"/>
      <c r="EN767" s="682"/>
      <c r="EP767" s="481">
        <v>2025</v>
      </c>
      <c r="EQ767" s="714"/>
      <c r="ER767" s="272"/>
      <c r="ES767" s="576"/>
    </row>
    <row r="768" ht="17.5" customHeight="1" spans="101:149" x14ac:dyDescent="0.25">
      <c r="CW768" s="682"/>
      <c r="CX768" s="682"/>
      <c r="CY768" s="481">
        <v>2026</v>
      </c>
      <c r="CZ768" s="714"/>
      <c r="DA768" s="272"/>
      <c r="DB768" s="272"/>
      <c r="DC768" s="57">
        <f t="shared" si="297"/>
        <v>0</v>
      </c>
      <c r="DD768" s="326">
        <f t="shared" si="294"/>
        <v>0</v>
      </c>
      <c r="DE768" s="114"/>
      <c r="DF768" s="576">
        <f t="shared" si="304"/>
        <v>-7.9857</v>
      </c>
      <c r="DG768" s="682"/>
      <c r="DH768" s="682"/>
      <c r="DI768" s="682"/>
      <c r="DJ768" s="682"/>
      <c r="DK768" s="682"/>
      <c r="DL768" s="682"/>
      <c r="DM768" s="682"/>
      <c r="DN768" s="682"/>
      <c r="DO768" s="682"/>
      <c r="DP768" s="682"/>
      <c r="DQ768" s="682"/>
      <c r="DR768" s="682"/>
      <c r="DS768" s="682"/>
      <c r="DT768" s="574">
        <f t="shared" si="305"/>
        <v>-7.9857</v>
      </c>
      <c r="DV768" s="481">
        <v>2026</v>
      </c>
      <c r="DW768" s="714"/>
      <c r="DX768" s="272"/>
      <c r="DY768" s="272"/>
      <c r="DZ768" s="272"/>
      <c r="EA768" s="576"/>
      <c r="ED768" s="682"/>
      <c r="EE768" s="682"/>
      <c r="EF768" s="682"/>
      <c r="EG768" s="682"/>
      <c r="EH768" s="682"/>
      <c r="EI768" s="682"/>
      <c r="EJ768" s="682"/>
      <c r="EK768" s="682"/>
      <c r="EL768" s="682"/>
      <c r="EM768" s="682"/>
      <c r="EN768" s="682"/>
      <c r="EP768" s="481">
        <v>2026</v>
      </c>
      <c r="EQ768" s="714"/>
      <c r="ER768" s="272"/>
      <c r="ES768" s="576"/>
    </row>
    <row r="769" ht="17.5" customHeight="1" spans="101:149" x14ac:dyDescent="0.25">
      <c r="CW769" s="682"/>
      <c r="CX769" s="682"/>
      <c r="CY769" s="481">
        <v>2027</v>
      </c>
      <c r="CZ769" s="714"/>
      <c r="DA769" s="272"/>
      <c r="DB769" s="272"/>
      <c r="DC769" s="57">
        <f t="shared" si="297"/>
        <v>0</v>
      </c>
      <c r="DD769" s="326">
        <f t="shared" si="294"/>
        <v>0</v>
      </c>
      <c r="DE769" s="114"/>
      <c r="DF769" s="576">
        <f t="shared" si="304"/>
        <v>-7.9857</v>
      </c>
      <c r="DG769" s="682"/>
      <c r="DH769" s="682"/>
      <c r="DI769" s="682"/>
      <c r="DJ769" s="682"/>
      <c r="DK769" s="682"/>
      <c r="DL769" s="682"/>
      <c r="DM769" s="682"/>
      <c r="DN769" s="682"/>
      <c r="DO769" s="682"/>
      <c r="DP769" s="682"/>
      <c r="DQ769" s="682"/>
      <c r="DR769" s="682"/>
      <c r="DS769" s="682"/>
      <c r="DT769" s="574">
        <f t="shared" si="305"/>
        <v>-7.9857</v>
      </c>
      <c r="DV769" s="481">
        <v>2027</v>
      </c>
      <c r="DW769" s="714"/>
      <c r="DX769" s="272"/>
      <c r="DY769" s="272"/>
      <c r="DZ769" s="272"/>
      <c r="EA769" s="576"/>
      <c r="ED769" s="682"/>
      <c r="EE769" s="682"/>
      <c r="EF769" s="682"/>
      <c r="EG769" s="682"/>
      <c r="EH769" s="682"/>
      <c r="EI769" s="682"/>
      <c r="EJ769" s="682"/>
      <c r="EK769" s="682"/>
      <c r="EL769" s="682"/>
      <c r="EM769" s="682"/>
      <c r="EN769" s="682"/>
      <c r="EP769" s="481">
        <v>2027</v>
      </c>
      <c r="EQ769" s="714"/>
      <c r="ER769" s="272"/>
      <c r="ES769" s="576"/>
    </row>
    <row r="770" ht="17.5" customHeight="1" spans="101:149" x14ac:dyDescent="0.25">
      <c r="CW770" s="682"/>
      <c r="CX770" s="682"/>
      <c r="CY770" s="481">
        <v>2028</v>
      </c>
      <c r="CZ770" s="714"/>
      <c r="DA770" s="272"/>
      <c r="DB770" s="272"/>
      <c r="DC770" s="57">
        <f t="shared" si="297"/>
        <v>0</v>
      </c>
      <c r="DD770" s="326">
        <f t="shared" si="294"/>
        <v>0</v>
      </c>
      <c r="DE770" s="114"/>
      <c r="DF770" s="576">
        <f t="shared" si="304"/>
        <v>-7.9857</v>
      </c>
      <c r="DG770" s="682"/>
      <c r="DH770" s="682"/>
      <c r="DI770" s="682"/>
      <c r="DJ770" s="682"/>
      <c r="DK770" s="682"/>
      <c r="DL770" s="682"/>
      <c r="DM770" s="682"/>
      <c r="DN770" s="682"/>
      <c r="DO770" s="682"/>
      <c r="DP770" s="682"/>
      <c r="DQ770" s="682"/>
      <c r="DR770" s="682"/>
      <c r="DS770" s="682"/>
      <c r="DT770" s="574">
        <f t="shared" si="305"/>
        <v>-7.9857</v>
      </c>
      <c r="DV770" s="481">
        <v>2028</v>
      </c>
      <c r="DW770" s="714"/>
      <c r="DX770" s="272"/>
      <c r="DY770" s="272"/>
      <c r="DZ770" s="272"/>
      <c r="EA770" s="576"/>
      <c r="ED770" s="682"/>
      <c r="EE770" s="682"/>
      <c r="EF770" s="682"/>
      <c r="EG770" s="682"/>
      <c r="EH770" s="682"/>
      <c r="EI770" s="682"/>
      <c r="EJ770" s="682"/>
      <c r="EK770" s="682"/>
      <c r="EL770" s="682"/>
      <c r="EM770" s="682"/>
      <c r="EN770" s="682"/>
      <c r="EP770" s="481">
        <v>2028</v>
      </c>
      <c r="EQ770" s="714"/>
      <c r="ER770" s="272"/>
      <c r="ES770" s="576"/>
    </row>
    <row r="771" ht="17.5" customHeight="1" spans="101:149" x14ac:dyDescent="0.25">
      <c r="CW771" s="682"/>
      <c r="CX771" s="682"/>
      <c r="CY771" s="481">
        <v>2029</v>
      </c>
      <c r="CZ771" s="714"/>
      <c r="DA771" s="272"/>
      <c r="DB771" s="272"/>
      <c r="DC771" s="57">
        <f t="shared" si="297"/>
        <v>0</v>
      </c>
      <c r="DD771" s="326">
        <f t="shared" si="294"/>
        <v>0</v>
      </c>
      <c r="DE771" s="114"/>
      <c r="DF771" s="576">
        <f t="shared" si="304"/>
        <v>-7.9857</v>
      </c>
      <c r="DG771" s="682"/>
      <c r="DH771" s="682"/>
      <c r="DI771" s="682"/>
      <c r="DJ771" s="682"/>
      <c r="DK771" s="682"/>
      <c r="DL771" s="682"/>
      <c r="DM771" s="682"/>
      <c r="DN771" s="682"/>
      <c r="DO771" s="682"/>
      <c r="DP771" s="682"/>
      <c r="DQ771" s="682"/>
      <c r="DR771" s="682"/>
      <c r="DS771" s="682"/>
      <c r="DT771" s="574">
        <f t="shared" si="305"/>
        <v>-7.9857</v>
      </c>
      <c r="DV771" s="481">
        <v>2029</v>
      </c>
      <c r="DW771" s="714"/>
      <c r="DX771" s="272"/>
      <c r="DY771" s="272"/>
      <c r="DZ771" s="272"/>
      <c r="EA771" s="576"/>
      <c r="ED771" s="682"/>
      <c r="EE771" s="682"/>
      <c r="EF771" s="682"/>
      <c r="EG771" s="682"/>
      <c r="EH771" s="682"/>
      <c r="EI771" s="682"/>
      <c r="EJ771" s="682"/>
      <c r="EK771" s="682"/>
      <c r="EL771" s="682"/>
      <c r="EM771" s="682"/>
      <c r="EN771" s="682"/>
      <c r="EP771" s="481">
        <v>2029</v>
      </c>
      <c r="EQ771" s="714"/>
      <c r="ER771" s="272"/>
      <c r="ES771" s="576"/>
    </row>
    <row r="772" ht="17.5" customHeight="1" spans="101:149" x14ac:dyDescent="0.25">
      <c r="CW772" s="682"/>
      <c r="CX772" s="682"/>
      <c r="CY772" s="512">
        <v>2030</v>
      </c>
      <c r="CZ772" s="716"/>
      <c r="DA772" s="297"/>
      <c r="DB772" s="297"/>
      <c r="DC772" s="94">
        <f t="shared" si="297"/>
        <v>0</v>
      </c>
      <c r="DD772" s="326">
        <f t="shared" si="294"/>
        <v>0</v>
      </c>
      <c r="DE772" s="173"/>
      <c r="DF772" s="581">
        <f t="shared" si="304"/>
        <v>-7.9857</v>
      </c>
      <c r="DG772" s="682"/>
      <c r="DH772" s="682"/>
      <c r="DI772" s="682"/>
      <c r="DJ772" s="682"/>
      <c r="DK772" s="682"/>
      <c r="DL772" s="682"/>
      <c r="DM772" s="682"/>
      <c r="DN772" s="682"/>
      <c r="DO772" s="682"/>
      <c r="DP772" s="682"/>
      <c r="DQ772" s="682"/>
      <c r="DR772" s="682"/>
      <c r="DS772" s="682"/>
      <c r="DT772" s="386">
        <f t="shared" si="305"/>
        <v>-7.9857</v>
      </c>
      <c r="DV772" s="512">
        <v>2030</v>
      </c>
      <c r="DW772" s="716"/>
      <c r="DX772" s="297"/>
      <c r="DY772" s="297"/>
      <c r="DZ772" s="297"/>
      <c r="EA772" s="581"/>
      <c r="ED772" s="682"/>
      <c r="EE772" s="682"/>
      <c r="EF772" s="682"/>
      <c r="EG772" s="682"/>
      <c r="EH772" s="682"/>
      <c r="EI772" s="682"/>
      <c r="EJ772" s="682"/>
      <c r="EK772" s="682"/>
      <c r="EL772" s="682"/>
      <c r="EM772" s="682"/>
      <c r="EN772" s="682"/>
      <c r="EP772" s="512">
        <v>2030</v>
      </c>
      <c r="EQ772" s="716"/>
      <c r="ER772" s="297"/>
      <c r="ES772" s="581"/>
    </row>
    <row r="775" ht="18" customHeight="1" spans="103:133" x14ac:dyDescent="0.25">
      <c r="CY775" s="682"/>
      <c r="CZ775" s="682"/>
      <c r="DA775" s="682"/>
      <c r="DB775" s="682"/>
      <c r="DC775" s="682"/>
      <c r="DD775" s="682"/>
      <c r="DE775" s="682"/>
      <c r="DF775" s="682"/>
      <c r="DH775" s="682"/>
      <c r="DI775" s="682"/>
      <c r="DJ775" s="682"/>
      <c r="DK775" s="682"/>
      <c r="DL775" s="682"/>
      <c r="DN775" s="682"/>
      <c r="DO775" s="682"/>
      <c r="DP775" s="682"/>
      <c r="DQ775" s="682"/>
      <c r="DR775" s="682"/>
      <c r="DS775" s="682"/>
      <c r="DT775" s="682"/>
      <c r="DU775" s="682"/>
      <c r="DV775" s="682"/>
      <c r="DW775" s="682"/>
      <c r="EC775" s="749">
        <f>0.1</f>
        <v>0.1</v>
      </c>
    </row>
    <row r="776" ht="21.5" customHeight="1" spans="100:150" x14ac:dyDescent="0.25">
      <c r="CV776" s="682"/>
      <c r="CW776" s="682"/>
      <c r="CZ776" s="530" t="s">
        <v>13</v>
      </c>
      <c r="DA776" s="719" t="s">
        <v>810</v>
      </c>
      <c r="DB776" s="470" t="s">
        <v>811</v>
      </c>
      <c r="DC776" s="470" t="s">
        <v>812</v>
      </c>
      <c r="DD776" s="470" t="s">
        <v>812</v>
      </c>
      <c r="DE776" s="470" t="s">
        <v>812</v>
      </c>
      <c r="DF776" s="470" t="s">
        <v>41</v>
      </c>
      <c r="DG776" s="682"/>
      <c r="DH776" s="682"/>
      <c r="DI776" s="682"/>
      <c r="DJ776" s="682"/>
      <c r="DK776" s="682"/>
      <c r="DL776" s="682"/>
      <c r="DM776" s="682"/>
      <c r="DN776" s="682"/>
      <c r="DO776" s="682"/>
      <c r="DP776" s="682"/>
      <c r="DQ776" s="682"/>
      <c r="DR776" s="682"/>
      <c r="DS776" s="682"/>
      <c r="DT776" s="29" t="s">
        <v>812</v>
      </c>
      <c r="DV776" s="718" t="s">
        <v>13</v>
      </c>
      <c r="DW776" s="735" t="s">
        <v>347</v>
      </c>
      <c r="DX776" s="735" t="s">
        <v>281</v>
      </c>
      <c r="DY776" s="750" t="s">
        <v>626</v>
      </c>
      <c r="DZ776" s="720" t="s">
        <v>813</v>
      </c>
      <c r="EA776" s="735" t="s">
        <v>347</v>
      </c>
      <c r="EB776" s="735" t="s">
        <v>347</v>
      </c>
      <c r="EE776" s="682"/>
      <c r="EF776" s="682"/>
      <c r="EG776" s="682"/>
      <c r="EH776" s="682"/>
      <c r="EI776" s="682"/>
      <c r="EJ776" s="682"/>
      <c r="EK776" s="682"/>
      <c r="EL776" s="682"/>
      <c r="EM776" s="682"/>
      <c r="EN776" s="682"/>
      <c r="EO776" s="682"/>
      <c r="ER776" s="718" t="s">
        <v>13</v>
      </c>
      <c r="ES776" s="751" t="s">
        <v>658</v>
      </c>
      <c r="ET776" s="751" t="s">
        <v>814</v>
      </c>
    </row>
    <row r="777" ht="18" customHeight="1" spans="100:150" x14ac:dyDescent="0.25">
      <c r="CV777" s="682"/>
      <c r="CW777" s="682"/>
      <c r="CZ777" s="129">
        <v>43694</v>
      </c>
      <c r="DA777" s="723" t="s">
        <v>721</v>
      </c>
      <c r="DB777" s="724" t="s">
        <v>55</v>
      </c>
      <c r="DC777" s="570" t="s">
        <v>55</v>
      </c>
      <c r="DD777" s="656" t="s">
        <v>815</v>
      </c>
      <c r="DE777" s="656" t="s">
        <v>816</v>
      </c>
      <c r="DF777" s="724" t="s">
        <v>55</v>
      </c>
      <c r="DG777" s="682"/>
      <c r="DH777" s="682"/>
      <c r="DI777" s="682"/>
      <c r="DJ777" s="682"/>
      <c r="DK777" s="682"/>
      <c r="DL777" s="682"/>
      <c r="DM777" s="682"/>
      <c r="DN777" s="682"/>
      <c r="DO777" s="682"/>
      <c r="DP777" s="682"/>
      <c r="DQ777" s="682"/>
      <c r="DR777" s="682"/>
      <c r="DS777" s="682"/>
      <c r="DT777" s="570" t="s">
        <v>55</v>
      </c>
      <c r="DV777" s="129">
        <v>43666</v>
      </c>
      <c r="DW777" s="130" t="s">
        <v>56</v>
      </c>
      <c r="DX777" s="130" t="s">
        <v>56</v>
      </c>
      <c r="DY777" s="476" t="s">
        <v>56</v>
      </c>
      <c r="DZ777" s="130" t="s">
        <v>56</v>
      </c>
      <c r="EA777" s="130" t="s">
        <v>117</v>
      </c>
      <c r="EB777" s="40" t="s">
        <v>118</v>
      </c>
      <c r="EE777" s="682"/>
      <c r="EF777" s="682"/>
      <c r="EG777" s="682"/>
      <c r="EH777" s="682"/>
      <c r="EI777" s="682"/>
      <c r="EJ777" s="682"/>
      <c r="EK777" s="682"/>
      <c r="EL777" s="682"/>
      <c r="EM777" s="682"/>
      <c r="EN777" s="682"/>
      <c r="EO777" s="682"/>
      <c r="ER777" s="324">
        <v>43666</v>
      </c>
      <c r="ES777" s="39" t="s">
        <v>56</v>
      </c>
      <c r="ET777" s="39" t="s">
        <v>817</v>
      </c>
    </row>
    <row r="778" ht="17.5" customHeight="1" spans="101:150" x14ac:dyDescent="0.25">
      <c r="CW778" s="682">
        <f t="array" ref="CW778:CW799">TRANSPOSE(U82:AP82)</f>
        <v>5306</v>
      </c>
      <c r="CZ778" s="481">
        <v>1995</v>
      </c>
      <c r="DA778" s="404">
        <v>5.306</v>
      </c>
      <c r="DB778" s="321">
        <f t="array" ref="DB778:DB799">TRANSPOSE(U165:AP165)</f>
        <v>1</v>
      </c>
      <c r="DC778" s="322">
        <v>1</v>
      </c>
      <c r="DD778" s="322"/>
      <c r="DE778" s="322"/>
      <c r="DF778" s="322">
        <v>0.9642240000000001</v>
      </c>
      <c r="DG778" s="682"/>
      <c r="DH778" s="682"/>
      <c r="DI778" s="682"/>
      <c r="DJ778" s="682"/>
      <c r="DK778" s="682"/>
      <c r="DL778" s="682"/>
      <c r="DM778" s="682"/>
      <c r="DN778" s="682"/>
      <c r="DO778" s="682"/>
      <c r="DP778" s="682"/>
      <c r="DQ778" s="682"/>
      <c r="DR778" s="682"/>
      <c r="DS778" s="682"/>
      <c r="DT778" s="594">
        <v>1</v>
      </c>
      <c r="DV778" s="481">
        <v>1995</v>
      </c>
      <c r="DW778" s="138">
        <f t="array" ref="DW778:DW799">TRANSPOSE(U82:AP82)</f>
        <v>5306</v>
      </c>
      <c r="DX778" s="140">
        <f t="array" ref="DX778:DX799">TRANSPOSE(U51:AP51)</f>
        <v>2767.6205</v>
      </c>
      <c r="DY778" s="140">
        <f t="array" ref="DY778:DY799">TRANSPOSE(U79:AP79)</f>
        <v>266.974</v>
      </c>
      <c r="DZ778" s="140">
        <f>EC775*DY778+(1-EC775)*DX778</f>
        <v>2517.55585</v>
      </c>
      <c r="EA778" s="140">
        <f>DW778</f>
        <v>5306</v>
      </c>
      <c r="EB778" s="56"/>
      <c r="EE778" s="682"/>
      <c r="EF778" s="682"/>
      <c r="EG778" s="682"/>
      <c r="EH778" s="682"/>
      <c r="EI778" s="682"/>
      <c r="EJ778" s="682"/>
      <c r="EK778" s="682"/>
      <c r="EL778" s="682"/>
      <c r="EM778" s="682"/>
      <c r="EN778" s="682"/>
      <c r="EO778" s="682"/>
      <c r="ER778" s="481">
        <v>1995</v>
      </c>
      <c r="ES778" s="58">
        <f t="shared" ref="ES778:ES799" si="306">EA818</f>
        <v>5306</v>
      </c>
      <c r="ET778" s="752">
        <f t="array" ref="ET778:ET799">TRANSPOSE(U165:AP165)</f>
        <v>1</v>
      </c>
    </row>
    <row r="779" ht="17.5" customHeight="1" spans="101:150" x14ac:dyDescent="0.25">
      <c r="CW779" s="682">
        <v>13072.378</v>
      </c>
      <c r="CZ779" s="481">
        <v>1996</v>
      </c>
      <c r="DA779" s="728">
        <f t="shared" ref="DA779:DA799" si="307">CW779/1000</f>
        <v>13.072378</v>
      </c>
      <c r="DB779" s="57">
        <v>0.9990000000000001</v>
      </c>
      <c r="DC779" s="57">
        <f t="shared" ref="DC779:DC799" si="308">DA779/(DA$778*DB779)</f>
        <v>2.4661634872716665</v>
      </c>
      <c r="DD779" s="326"/>
      <c r="DE779" s="326"/>
      <c r="DF779" s="326">
        <f>НАСТРОЙКА!DR137</f>
        <v>1.218</v>
      </c>
      <c r="DG779" s="682"/>
      <c r="DH779" s="682"/>
      <c r="DI779" s="682"/>
      <c r="DJ779" s="682"/>
      <c r="DK779" s="682"/>
      <c r="DL779" s="682"/>
      <c r="DM779" s="682"/>
      <c r="DN779" s="682"/>
      <c r="DO779" s="682"/>
      <c r="DP779" s="682"/>
      <c r="DQ779" s="682"/>
      <c r="DR779" s="682"/>
      <c r="DS779" s="682"/>
      <c r="DT779" s="574">
        <f t="shared" ref="DT779:DT799" si="309">DC779</f>
        <v>2.4661634872716665</v>
      </c>
      <c r="DV779" s="481">
        <v>1996</v>
      </c>
      <c r="DW779" s="547">
        <v>13072.378</v>
      </c>
      <c r="DX779" s="55">
        <v>3799.126</v>
      </c>
      <c r="DY779" s="55">
        <v>375.958</v>
      </c>
      <c r="DZ779" s="55">
        <f t="shared" ref="DZ779:DZ799" si="310">EC$775*DY779+(1-EC$775)*DX779</f>
        <v>3456.8092</v>
      </c>
      <c r="EA779" s="55">
        <f>DW779</f>
        <v>13072.378</v>
      </c>
      <c r="EB779" s="66"/>
      <c r="EE779" s="682"/>
      <c r="EF779" s="682"/>
      <c r="EG779" s="682"/>
      <c r="EH779" s="682"/>
      <c r="EI779" s="682"/>
      <c r="EJ779" s="682"/>
      <c r="EK779" s="682"/>
      <c r="EL779" s="682"/>
      <c r="EM779" s="682"/>
      <c r="EN779" s="682"/>
      <c r="EO779" s="682"/>
      <c r="ER779" s="481">
        <v>1996</v>
      </c>
      <c r="ES779" s="753">
        <f t="shared" si="306"/>
        <v>5300.694</v>
      </c>
      <c r="ET779" s="711">
        <v>0.9990000000000001</v>
      </c>
    </row>
    <row r="780" ht="17.5" customHeight="1" spans="101:150" x14ac:dyDescent="0.25">
      <c r="CW780" s="682">
        <v>13286.272</v>
      </c>
      <c r="CZ780" s="481">
        <v>1997</v>
      </c>
      <c r="DA780" s="728">
        <f t="shared" si="307"/>
        <v>13.286272</v>
      </c>
      <c r="DB780" s="57">
        <v>0.9950040000000001</v>
      </c>
      <c r="DC780" s="57">
        <f t="shared" si="308"/>
        <v>2.5165818894824623</v>
      </c>
      <c r="DD780" s="326"/>
      <c r="DE780" s="326"/>
      <c r="DF780" s="326">
        <f>НАСТРОЙКА!DR138</f>
        <v>1.3519800000000002</v>
      </c>
      <c r="DG780" s="682"/>
      <c r="DH780" s="682"/>
      <c r="DI780" s="682"/>
      <c r="DJ780" s="682"/>
      <c r="DK780" s="682"/>
      <c r="DL780" s="682"/>
      <c r="DM780" s="682"/>
      <c r="DN780" s="682"/>
      <c r="DO780" s="682"/>
      <c r="DP780" s="682"/>
      <c r="DQ780" s="682"/>
      <c r="DR780" s="682"/>
      <c r="DS780" s="682"/>
      <c r="DT780" s="574">
        <f t="shared" si="309"/>
        <v>2.5165818894824623</v>
      </c>
      <c r="DV780" s="481">
        <v>1997</v>
      </c>
      <c r="DW780" s="547">
        <v>13286.272</v>
      </c>
      <c r="DX780" s="55">
        <v>4327.531</v>
      </c>
      <c r="DY780" s="55">
        <v>408.797</v>
      </c>
      <c r="DZ780" s="55">
        <f t="shared" si="310"/>
        <v>3935.6576</v>
      </c>
      <c r="EA780" s="55">
        <f t="shared" ref="EA780:EA791" si="311">DW780</f>
        <v>13286.272</v>
      </c>
      <c r="EB780" s="66"/>
      <c r="EE780" s="682"/>
      <c r="EF780" s="682"/>
      <c r="EG780" s="682"/>
      <c r="EH780" s="682"/>
      <c r="EI780" s="682"/>
      <c r="EJ780" s="682"/>
      <c r="EK780" s="682"/>
      <c r="EL780" s="682"/>
      <c r="EM780" s="682"/>
      <c r="EN780" s="682"/>
      <c r="EO780" s="682"/>
      <c r="ER780" s="481">
        <v>1997</v>
      </c>
      <c r="ES780" s="753">
        <f t="shared" si="306"/>
        <v>5279.491224</v>
      </c>
      <c r="ET780" s="711">
        <v>0.9950040000000001</v>
      </c>
    </row>
    <row r="781" ht="17.5" customHeight="1" spans="101:150" x14ac:dyDescent="0.25">
      <c r="CW781" s="682">
        <v>14125.67</v>
      </c>
      <c r="CZ781" s="481">
        <v>1998</v>
      </c>
      <c r="DA781" s="728">
        <f t="shared" si="307"/>
        <v>14.12567</v>
      </c>
      <c r="DB781" s="57">
        <v>0.9920189880000001</v>
      </c>
      <c r="DC781" s="57">
        <f t="shared" si="308"/>
        <v>2.6836249787031963</v>
      </c>
      <c r="DD781" s="326"/>
      <c r="DE781" s="326"/>
      <c r="DF781" s="326">
        <f>НАСТРОЙКА!DR139</f>
        <v>2.4930511200000005</v>
      </c>
      <c r="DG781" s="682"/>
      <c r="DH781" s="682"/>
      <c r="DI781" s="682"/>
      <c r="DJ781" s="682"/>
      <c r="DK781" s="682"/>
      <c r="DL781" s="682"/>
      <c r="DM781" s="682"/>
      <c r="DN781" s="682"/>
      <c r="DO781" s="682"/>
      <c r="DP781" s="682"/>
      <c r="DQ781" s="682"/>
      <c r="DR781" s="682"/>
      <c r="DS781" s="682"/>
      <c r="DT781" s="574">
        <f t="shared" si="309"/>
        <v>2.6836249787031963</v>
      </c>
      <c r="DV781" s="481">
        <v>1998</v>
      </c>
      <c r="DW781" s="547">
        <v>14125.67</v>
      </c>
      <c r="DX781" s="55">
        <v>4573.977</v>
      </c>
      <c r="DY781" s="55">
        <v>407.086</v>
      </c>
      <c r="DZ781" s="55">
        <f t="shared" si="310"/>
        <v>4157.2879</v>
      </c>
      <c r="EA781" s="55">
        <f t="shared" si="311"/>
        <v>14125.67</v>
      </c>
      <c r="EB781" s="66"/>
      <c r="EE781" s="682"/>
      <c r="EF781" s="682"/>
      <c r="EG781" s="682"/>
      <c r="EH781" s="682"/>
      <c r="EI781" s="682"/>
      <c r="EJ781" s="682"/>
      <c r="EK781" s="682"/>
      <c r="EL781" s="682"/>
      <c r="EM781" s="682"/>
      <c r="EN781" s="682"/>
      <c r="EO781" s="682"/>
      <c r="ER781" s="481">
        <v>1998</v>
      </c>
      <c r="ES781" s="753">
        <f t="shared" si="306"/>
        <v>5263.652750328</v>
      </c>
      <c r="ET781" s="711">
        <v>0.9920189880000001</v>
      </c>
    </row>
    <row r="782" ht="17.5" customHeight="1" spans="101:150" x14ac:dyDescent="0.25">
      <c r="CW782" s="682">
        <v>14246.427</v>
      </c>
      <c r="CZ782" s="481">
        <v>1999</v>
      </c>
      <c r="DA782" s="728">
        <f t="shared" si="307"/>
        <v>14.246426999999999</v>
      </c>
      <c r="DB782" s="57">
        <v>0.9940030259760001</v>
      </c>
      <c r="DC782" s="57">
        <f t="shared" si="308"/>
        <v>2.701164323022275</v>
      </c>
      <c r="DD782" s="326"/>
      <c r="DE782" s="326"/>
      <c r="DF782" s="326">
        <f>НАСТРОЙКА!DR140</f>
        <v>3.4030147788000007</v>
      </c>
      <c r="DG782" s="682"/>
      <c r="DH782" s="682"/>
      <c r="DI782" s="682"/>
      <c r="DJ782" s="682"/>
      <c r="DK782" s="682"/>
      <c r="DL782" s="682"/>
      <c r="DM782" s="682"/>
      <c r="DN782" s="682"/>
      <c r="DO782" s="682"/>
      <c r="DP782" s="682"/>
      <c r="DQ782" s="682"/>
      <c r="DR782" s="682"/>
      <c r="DS782" s="682"/>
      <c r="DT782" s="574">
        <f t="shared" si="309"/>
        <v>2.701164323022275</v>
      </c>
      <c r="DV782" s="481">
        <v>1999</v>
      </c>
      <c r="DW782" s="547">
        <v>14246.427</v>
      </c>
      <c r="DX782" s="55">
        <v>8303.202</v>
      </c>
      <c r="DY782" s="55">
        <v>670.439</v>
      </c>
      <c r="DZ782" s="55">
        <f t="shared" si="310"/>
        <v>7539.925699999999</v>
      </c>
      <c r="EA782" s="55">
        <f t="shared" si="311"/>
        <v>14246.427</v>
      </c>
      <c r="EB782" s="66"/>
      <c r="EE782" s="682"/>
      <c r="EF782" s="682"/>
      <c r="EG782" s="682"/>
      <c r="EH782" s="682"/>
      <c r="EI782" s="682"/>
      <c r="EJ782" s="682"/>
      <c r="EK782" s="682"/>
      <c r="EL782" s="682"/>
      <c r="EM782" s="682"/>
      <c r="EN782" s="682"/>
      <c r="EO782" s="682"/>
      <c r="ER782" s="481">
        <v>1999</v>
      </c>
      <c r="ES782" s="753">
        <f t="shared" si="306"/>
        <v>5274.180055828657</v>
      </c>
      <c r="ET782" s="711">
        <v>0.9940030259760001</v>
      </c>
    </row>
    <row r="783" ht="17.5" customHeight="1" spans="101:150" x14ac:dyDescent="0.25">
      <c r="CW783" s="682">
        <v>17464</v>
      </c>
      <c r="CZ783" s="481">
        <v>2000</v>
      </c>
      <c r="DA783" s="728">
        <f t="shared" si="307"/>
        <v>17.464</v>
      </c>
      <c r="DB783" s="57">
        <v>0.99897304110588</v>
      </c>
      <c r="DC783" s="57">
        <f t="shared" si="308"/>
        <v>3.2947518370474893</v>
      </c>
      <c r="DD783" s="326"/>
      <c r="DE783" s="326"/>
      <c r="DF783" s="326">
        <f>НАСТРОЙКА!DR141</f>
        <v>4.090423764117601</v>
      </c>
      <c r="DG783" s="682"/>
      <c r="DH783" s="682"/>
      <c r="DI783" s="682"/>
      <c r="DJ783" s="682"/>
      <c r="DK783" s="682"/>
      <c r="DL783" s="682"/>
      <c r="DM783" s="682"/>
      <c r="DN783" s="682"/>
      <c r="DO783" s="682"/>
      <c r="DP783" s="682"/>
      <c r="DQ783" s="682"/>
      <c r="DR783" s="682"/>
      <c r="DS783" s="682"/>
      <c r="DT783" s="574">
        <f t="shared" si="309"/>
        <v>3.2947518370474893</v>
      </c>
      <c r="DV783" s="481">
        <v>2000</v>
      </c>
      <c r="DW783" s="547">
        <v>17464</v>
      </c>
      <c r="DX783" s="55">
        <v>12552.212</v>
      </c>
      <c r="DY783" s="55">
        <v>1165.234</v>
      </c>
      <c r="DZ783" s="55">
        <f t="shared" si="310"/>
        <v>11413.5142</v>
      </c>
      <c r="EA783" s="55">
        <f t="shared" si="311"/>
        <v>17464</v>
      </c>
      <c r="EB783" s="66"/>
      <c r="EE783" s="682"/>
      <c r="EF783" s="682"/>
      <c r="EG783" s="682"/>
      <c r="EH783" s="682"/>
      <c r="EI783" s="682"/>
      <c r="EJ783" s="682"/>
      <c r="EK783" s="682"/>
      <c r="EL783" s="682"/>
      <c r="EM783" s="682"/>
      <c r="EN783" s="682"/>
      <c r="EO783" s="682"/>
      <c r="ER783" s="481">
        <v>2000</v>
      </c>
      <c r="ES783" s="753">
        <f t="shared" si="306"/>
        <v>5300.5509561078</v>
      </c>
      <c r="ET783" s="711">
        <v>0.99897304110588</v>
      </c>
    </row>
    <row r="784" ht="17.5" customHeight="1" spans="101:150" x14ac:dyDescent="0.25">
      <c r="CW784" s="682">
        <v>20241.428</v>
      </c>
      <c r="CZ784" s="481">
        <v>2001</v>
      </c>
      <c r="DA784" s="728">
        <f t="shared" si="307"/>
        <v>20.241428</v>
      </c>
      <c r="DB784" s="57">
        <v>1.0079637984758332</v>
      </c>
      <c r="DC784" s="57">
        <f t="shared" si="308"/>
        <v>3.784678280692757</v>
      </c>
      <c r="DD784" s="326"/>
      <c r="DE784" s="326"/>
      <c r="DF784" s="326">
        <f>НАСТРОЙКА!DR142</f>
        <v>4.851242584243474</v>
      </c>
      <c r="DG784" s="682"/>
      <c r="DH784" s="682"/>
      <c r="DI784" s="682"/>
      <c r="DJ784" s="682"/>
      <c r="DK784" s="682"/>
      <c r="DL784" s="682"/>
      <c r="DM784" s="682"/>
      <c r="DN784" s="682"/>
      <c r="DO784" s="682"/>
      <c r="DP784" s="682"/>
      <c r="DQ784" s="682"/>
      <c r="DR784" s="682"/>
      <c r="DS784" s="682"/>
      <c r="DT784" s="574">
        <f t="shared" si="309"/>
        <v>3.784678280692757</v>
      </c>
      <c r="DV784" s="481">
        <v>2001</v>
      </c>
      <c r="DW784" s="547">
        <v>20241.428</v>
      </c>
      <c r="DX784" s="55">
        <v>15922.788</v>
      </c>
      <c r="DY784" s="55">
        <v>1504.7</v>
      </c>
      <c r="DZ784" s="55">
        <f t="shared" si="310"/>
        <v>14480.9792</v>
      </c>
      <c r="EA784" s="55">
        <f t="shared" si="311"/>
        <v>20241.428</v>
      </c>
      <c r="EB784" s="66"/>
      <c r="EE784" s="682"/>
      <c r="EF784" s="682"/>
      <c r="EG784" s="682"/>
      <c r="EH784" s="682"/>
      <c r="EI784" s="682"/>
      <c r="EJ784" s="682"/>
      <c r="EK784" s="682"/>
      <c r="EL784" s="682"/>
      <c r="EM784" s="682"/>
      <c r="EN784" s="682"/>
      <c r="EO784" s="682"/>
      <c r="ER784" s="481">
        <v>2001</v>
      </c>
      <c r="ES784" s="753">
        <f t="shared" si="306"/>
        <v>5348.25591471277</v>
      </c>
      <c r="ET784" s="711">
        <v>1.0079637984758332</v>
      </c>
    </row>
    <row r="785" ht="17.5" customHeight="1" spans="101:150" x14ac:dyDescent="0.25">
      <c r="CW785" s="682">
        <v>24431</v>
      </c>
      <c r="CZ785" s="481">
        <v>2002</v>
      </c>
      <c r="DA785" s="728">
        <f t="shared" si="307"/>
        <v>24.431</v>
      </c>
      <c r="DB785" s="57">
        <v>1.0180434364605915</v>
      </c>
      <c r="DC785" s="57">
        <f t="shared" si="308"/>
        <v>4.522803189792793</v>
      </c>
      <c r="DD785" s="326">
        <v>4.522803189792793</v>
      </c>
      <c r="DE785" s="326"/>
      <c r="DF785" s="326">
        <f>НАСТРОЙКА!DR143</f>
        <v>5.583780214464239</v>
      </c>
      <c r="DG785" s="682"/>
      <c r="DH785" s="682"/>
      <c r="DI785" s="682"/>
      <c r="DJ785" s="682"/>
      <c r="DK785" s="682"/>
      <c r="DL785" s="682"/>
      <c r="DM785" s="682"/>
      <c r="DN785" s="682"/>
      <c r="DO785" s="682"/>
      <c r="DP785" s="682"/>
      <c r="DQ785" s="682"/>
      <c r="DR785" s="682"/>
      <c r="DS785" s="682"/>
      <c r="DT785" s="574">
        <f t="shared" si="309"/>
        <v>4.522803189792793</v>
      </c>
      <c r="DV785" s="481">
        <v>2002</v>
      </c>
      <c r="DW785" s="547">
        <v>24431</v>
      </c>
      <c r="DX785" s="55">
        <v>18973.6736</v>
      </c>
      <c r="DY785" s="55">
        <v>1762.4</v>
      </c>
      <c r="DZ785" s="55">
        <f t="shared" si="310"/>
        <v>17252.54624</v>
      </c>
      <c r="EA785" s="55">
        <f t="shared" si="311"/>
        <v>24431</v>
      </c>
      <c r="EB785" s="66"/>
      <c r="EE785" s="682"/>
      <c r="EF785" s="682"/>
      <c r="EG785" s="682"/>
      <c r="EH785" s="682"/>
      <c r="EI785" s="682"/>
      <c r="EJ785" s="682"/>
      <c r="EK785" s="682"/>
      <c r="EL785" s="682"/>
      <c r="EM785" s="682"/>
      <c r="EN785" s="682"/>
      <c r="EO785" s="682"/>
      <c r="ER785" s="481">
        <v>2002</v>
      </c>
      <c r="ES785" s="753">
        <f t="shared" si="306"/>
        <v>5401.7384738598985</v>
      </c>
      <c r="ET785" s="711">
        <v>1.0180434364605915</v>
      </c>
    </row>
    <row r="786" ht="17.5" customHeight="1" spans="101:150" x14ac:dyDescent="0.25">
      <c r="CW786" s="682">
        <v>30329.1</v>
      </c>
      <c r="CZ786" s="481">
        <v>2003</v>
      </c>
      <c r="DA786" s="728">
        <f t="shared" si="307"/>
        <v>30.329099999999997</v>
      </c>
      <c r="DB786" s="57">
        <v>1.031278001134579</v>
      </c>
      <c r="DC786" s="57">
        <f t="shared" si="308"/>
        <v>5.542638112686384</v>
      </c>
      <c r="DD786" s="326">
        <v>5.542638112686384</v>
      </c>
      <c r="DE786" s="326"/>
      <c r="DF786" s="326">
        <f>НАСТРОЙКА!DR144</f>
        <v>6.253833840199949</v>
      </c>
      <c r="DG786" s="682"/>
      <c r="DH786" s="682"/>
      <c r="DI786" s="682"/>
      <c r="DJ786" s="682"/>
      <c r="DK786" s="682"/>
      <c r="DL786" s="682"/>
      <c r="DM786" s="682"/>
      <c r="DN786" s="682"/>
      <c r="DO786" s="682"/>
      <c r="DP786" s="682"/>
      <c r="DQ786" s="682"/>
      <c r="DR786" s="682"/>
      <c r="DS786" s="682"/>
      <c r="DT786" s="574">
        <f t="shared" si="309"/>
        <v>5.542638112686384</v>
      </c>
      <c r="DV786" s="481">
        <v>2003</v>
      </c>
      <c r="DW786" s="547">
        <v>30329.1</v>
      </c>
      <c r="DX786" s="55">
        <v>23273.0895</v>
      </c>
      <c r="DY786" s="55">
        <v>2186.4</v>
      </c>
      <c r="DZ786" s="55">
        <f t="shared" si="310"/>
        <v>21164.42055</v>
      </c>
      <c r="EA786" s="55">
        <f t="shared" si="311"/>
        <v>30329.1</v>
      </c>
      <c r="EB786" s="66"/>
      <c r="EE786" s="682"/>
      <c r="EF786" s="682"/>
      <c r="EG786" s="682"/>
      <c r="EH786" s="682"/>
      <c r="EI786" s="682"/>
      <c r="EJ786" s="682"/>
      <c r="EK786" s="682"/>
      <c r="EL786" s="682"/>
      <c r="EM786" s="682"/>
      <c r="EN786" s="682"/>
      <c r="EO786" s="682"/>
      <c r="ER786" s="481">
        <v>2003</v>
      </c>
      <c r="ES786" s="753">
        <f t="shared" si="306"/>
        <v>5471.961074020076</v>
      </c>
      <c r="ET786" s="711">
        <v>1.031278001134579</v>
      </c>
    </row>
    <row r="787" ht="17.5" customHeight="1" spans="101:150" x14ac:dyDescent="0.25">
      <c r="CW787" s="682">
        <v>34874</v>
      </c>
      <c r="CZ787" s="481">
        <v>2004</v>
      </c>
      <c r="DA787" s="728">
        <f t="shared" si="307"/>
        <v>34.874</v>
      </c>
      <c r="DB787" s="57">
        <v>1.0477784491527322</v>
      </c>
      <c r="DC787" s="57">
        <f t="shared" si="308"/>
        <v>6.272852216104849</v>
      </c>
      <c r="DD787" s="326">
        <v>6.272852216104849</v>
      </c>
      <c r="DE787" s="326"/>
      <c r="DF787" s="326">
        <f>НАСТРОЙКА!DR145</f>
        <v>6.9855323995033425</v>
      </c>
      <c r="DG787" s="682"/>
      <c r="DH787" s="682"/>
      <c r="DI787" s="682"/>
      <c r="DJ787" s="682"/>
      <c r="DK787" s="682"/>
      <c r="DL787" s="682"/>
      <c r="DM787" s="682"/>
      <c r="DN787" s="682"/>
      <c r="DO787" s="682"/>
      <c r="DP787" s="682"/>
      <c r="DQ787" s="682"/>
      <c r="DR787" s="682"/>
      <c r="DS787" s="682"/>
      <c r="DT787" s="574">
        <f t="shared" si="309"/>
        <v>6.272852216104849</v>
      </c>
      <c r="DV787" s="481">
        <v>2004</v>
      </c>
      <c r="DW787" s="547">
        <v>34874</v>
      </c>
      <c r="DX787" s="55">
        <v>29490.6226</v>
      </c>
      <c r="DY787" s="55">
        <v>2865</v>
      </c>
      <c r="DZ787" s="55">
        <f t="shared" si="310"/>
        <v>26828.06034</v>
      </c>
      <c r="EA787" s="55">
        <f t="shared" si="311"/>
        <v>34874</v>
      </c>
      <c r="EB787" s="66"/>
      <c r="EE787" s="682"/>
      <c r="EF787" s="682"/>
      <c r="EG787" s="682"/>
      <c r="EH787" s="682"/>
      <c r="EI787" s="682"/>
      <c r="EJ787" s="682"/>
      <c r="EK787" s="682"/>
      <c r="EL787" s="682"/>
      <c r="EM787" s="682"/>
      <c r="EN787" s="682"/>
      <c r="EO787" s="682"/>
      <c r="ER787" s="481">
        <v>2004</v>
      </c>
      <c r="ES787" s="753">
        <f t="shared" si="306"/>
        <v>5559.512451204397</v>
      </c>
      <c r="ET787" s="711">
        <v>1.0477784491527322</v>
      </c>
    </row>
    <row r="788" ht="22.75" customHeight="1" spans="101:150" x14ac:dyDescent="0.25">
      <c r="CW788" s="682">
        <v>41494</v>
      </c>
      <c r="CZ788" s="481">
        <v>2005</v>
      </c>
      <c r="DA788" s="728">
        <f t="shared" si="307"/>
        <v>41.494</v>
      </c>
      <c r="DB788" s="57">
        <v>1.0676862396866342</v>
      </c>
      <c r="DC788" s="57">
        <f t="shared" si="308"/>
        <v>7.324439758120247</v>
      </c>
      <c r="DD788" s="326">
        <v>7.324439758120247</v>
      </c>
      <c r="DE788" s="326"/>
      <c r="DF788" s="326">
        <f>НАСТРОЙКА!DR146</f>
        <v>7.746955431049207</v>
      </c>
      <c r="DG788" s="682"/>
      <c r="DH788" s="682"/>
      <c r="DI788" s="682"/>
      <c r="DJ788" s="682"/>
      <c r="DK788" s="682"/>
      <c r="DL788" s="682"/>
      <c r="DM788" s="682"/>
      <c r="DN788" s="682"/>
      <c r="DO788" s="682"/>
      <c r="DP788" s="682"/>
      <c r="DQ788" s="682"/>
      <c r="DR788" s="682"/>
      <c r="DS788" s="682"/>
      <c r="DT788" s="574">
        <f t="shared" si="309"/>
        <v>7.324439758120247</v>
      </c>
      <c r="DV788" s="481">
        <v>2005</v>
      </c>
      <c r="DW788" s="547">
        <v>41494</v>
      </c>
      <c r="DX788" s="55">
        <v>37020.602</v>
      </c>
      <c r="DY788" s="55">
        <v>3611.1</v>
      </c>
      <c r="DZ788" s="55">
        <f t="shared" si="310"/>
        <v>33679.6518</v>
      </c>
      <c r="EA788" s="55">
        <f t="shared" si="311"/>
        <v>41494</v>
      </c>
      <c r="EB788" s="66"/>
      <c r="EE788" s="682"/>
      <c r="EF788" s="682"/>
      <c r="EG788" s="682"/>
      <c r="EH788" s="682"/>
      <c r="EI788" s="682"/>
      <c r="EJ788" s="682"/>
      <c r="EK788" s="682"/>
      <c r="EL788" s="682"/>
      <c r="EM788" s="754" t="s">
        <v>815</v>
      </c>
      <c r="EN788" s="682"/>
      <c r="EO788" s="682"/>
      <c r="ER788" s="481">
        <v>2005</v>
      </c>
      <c r="ES788" s="753">
        <f t="shared" si="306"/>
        <v>5665.143187777281</v>
      </c>
      <c r="ET788" s="711">
        <v>1.0676862396866342</v>
      </c>
    </row>
    <row r="789" ht="17.5" customHeight="1" spans="101:150" x14ac:dyDescent="0.25">
      <c r="CW789" s="682">
        <v>47489</v>
      </c>
      <c r="CZ789" s="481">
        <v>2006</v>
      </c>
      <c r="DA789" s="728">
        <f t="shared" si="307"/>
        <v>47.489</v>
      </c>
      <c r="DB789" s="57">
        <v>1.0933107094391135</v>
      </c>
      <c r="DC789" s="57">
        <f t="shared" si="308"/>
        <v>8.186196716538</v>
      </c>
      <c r="DD789" s="326">
        <v>8.186196716538</v>
      </c>
      <c r="DE789" s="326"/>
      <c r="DF789" s="326">
        <f>НАСТРОЙКА!DR147</f>
        <v>8.444181419843636</v>
      </c>
      <c r="DG789" s="682"/>
      <c r="DH789" s="682"/>
      <c r="DI789" s="682"/>
      <c r="DJ789" s="682"/>
      <c r="DK789" s="682"/>
      <c r="DL789" s="682"/>
      <c r="DM789" s="682"/>
      <c r="DN789" s="682"/>
      <c r="DO789" s="682"/>
      <c r="DP789" s="682"/>
      <c r="DQ789" s="682"/>
      <c r="DR789" s="682"/>
      <c r="DS789" s="682"/>
      <c r="DT789" s="574">
        <f t="shared" si="309"/>
        <v>8.186196716538</v>
      </c>
      <c r="DV789" s="481">
        <v>2006</v>
      </c>
      <c r="DW789" s="547">
        <v>47489</v>
      </c>
      <c r="DX789" s="55">
        <v>46223.8665</v>
      </c>
      <c r="DY789" s="55">
        <v>4730</v>
      </c>
      <c r="DZ789" s="55">
        <f t="shared" si="310"/>
        <v>42074.479849999996</v>
      </c>
      <c r="EA789" s="55">
        <f t="shared" si="311"/>
        <v>47489</v>
      </c>
      <c r="EB789" s="66"/>
      <c r="EE789" s="682"/>
      <c r="EF789" s="682"/>
      <c r="EG789" s="682"/>
      <c r="EH789" s="682"/>
      <c r="EI789" s="682"/>
      <c r="EJ789" s="682"/>
      <c r="EK789" s="682"/>
      <c r="EL789" s="682"/>
      <c r="EM789" s="682"/>
      <c r="EN789" s="682"/>
      <c r="EO789" s="682"/>
      <c r="ER789" s="481">
        <v>2006</v>
      </c>
      <c r="ES789" s="753">
        <f t="shared" si="306"/>
        <v>5801.106624283936</v>
      </c>
      <c r="ET789" s="711">
        <v>1.0933107094391135</v>
      </c>
    </row>
    <row r="790" ht="17.5" customHeight="1" spans="101:150" x14ac:dyDescent="0.25">
      <c r="CW790" s="682">
        <v>60391</v>
      </c>
      <c r="CZ790" s="481">
        <v>2007</v>
      </c>
      <c r="DA790" s="728">
        <f t="shared" si="307"/>
        <v>60.391</v>
      </c>
      <c r="DB790" s="57">
        <v>1.127203341431726</v>
      </c>
      <c r="DC790" s="57">
        <f t="shared" si="308"/>
        <v>10.097240670067603</v>
      </c>
      <c r="DD790" s="326">
        <v>10.097240670067603</v>
      </c>
      <c r="DE790" s="326"/>
      <c r="DF790" s="326">
        <f>НАСТРОЙКА!DR148</f>
        <v>9.446505754379075</v>
      </c>
      <c r="DG790" s="682"/>
      <c r="DH790" s="682"/>
      <c r="DI790" s="682"/>
      <c r="DJ790" s="682"/>
      <c r="DK790" s="682"/>
      <c r="DL790" s="682"/>
      <c r="DM790" s="682"/>
      <c r="DN790" s="682"/>
      <c r="DO790" s="682"/>
      <c r="DP790" s="682"/>
      <c r="DQ790" s="682"/>
      <c r="DR790" s="682"/>
      <c r="DS790" s="682"/>
      <c r="DT790" s="574">
        <f t="shared" si="309"/>
        <v>10.097240670067603</v>
      </c>
      <c r="DV790" s="481">
        <v>2007</v>
      </c>
      <c r="DW790" s="547">
        <v>60391</v>
      </c>
      <c r="DX790" s="55">
        <v>57752.1325</v>
      </c>
      <c r="DY790" s="55">
        <v>6716.222</v>
      </c>
      <c r="DZ790" s="55">
        <f t="shared" si="310"/>
        <v>52648.54145</v>
      </c>
      <c r="EA790" s="55">
        <f t="shared" si="311"/>
        <v>60391</v>
      </c>
      <c r="EB790" s="66"/>
      <c r="EE790" s="682"/>
      <c r="EF790" s="682"/>
      <c r="EG790" s="682"/>
      <c r="EH790" s="682"/>
      <c r="EI790" s="682"/>
      <c r="EJ790" s="682"/>
      <c r="EK790" s="682"/>
      <c r="EL790" s="682"/>
      <c r="EM790" s="682"/>
      <c r="EN790" s="682"/>
      <c r="EO790" s="682"/>
      <c r="ER790" s="481">
        <v>2007</v>
      </c>
      <c r="ES790" s="753">
        <f t="shared" si="306"/>
        <v>5980.940929636738</v>
      </c>
      <c r="ET790" s="711">
        <v>1.127203341431726</v>
      </c>
    </row>
    <row r="791" ht="17.5" customHeight="1" spans="101:150" x14ac:dyDescent="0.25">
      <c r="CW791" s="682">
        <v>74447</v>
      </c>
      <c r="CZ791" s="481">
        <v>2008</v>
      </c>
      <c r="DA791" s="728">
        <f t="shared" si="307"/>
        <v>74.447</v>
      </c>
      <c r="DB791" s="57">
        <v>1.167782661723268</v>
      </c>
      <c r="DC791" s="57">
        <f t="shared" si="308"/>
        <v>12.014838376677154</v>
      </c>
      <c r="DD791" s="326">
        <v>12.014838376677154</v>
      </c>
      <c r="DE791" s="326"/>
      <c r="DF791" s="326">
        <f>НАСТРОЙКА!DR149</f>
        <v>10.701001718560617</v>
      </c>
      <c r="DG791" s="682"/>
      <c r="DH791" s="682"/>
      <c r="DI791" s="682"/>
      <c r="DJ791" s="682"/>
      <c r="DK791" s="682"/>
      <c r="DL791" s="682"/>
      <c r="DM791" s="682"/>
      <c r="DN791" s="682"/>
      <c r="DO791" s="682"/>
      <c r="DP791" s="682"/>
      <c r="DQ791" s="682"/>
      <c r="DR791" s="682"/>
      <c r="DS791" s="682"/>
      <c r="DT791" s="574">
        <f t="shared" si="309"/>
        <v>12.014838376677154</v>
      </c>
      <c r="DV791" s="481">
        <v>2008</v>
      </c>
      <c r="DW791" s="547">
        <v>74447</v>
      </c>
      <c r="DX791" s="55">
        <v>71601.658</v>
      </c>
      <c r="DY791" s="55">
        <v>8781.616</v>
      </c>
      <c r="DZ791" s="55">
        <f t="shared" si="310"/>
        <v>65319.6538</v>
      </c>
      <c r="EA791" s="55">
        <f t="shared" si="311"/>
        <v>74447</v>
      </c>
      <c r="EB791" s="66"/>
      <c r="EE791" s="682"/>
      <c r="EF791" s="682"/>
      <c r="EG791" s="682"/>
      <c r="EH791" s="682"/>
      <c r="EI791" s="682"/>
      <c r="EJ791" s="682"/>
      <c r="EK791" s="682"/>
      <c r="EL791" s="682"/>
      <c r="EM791" s="682"/>
      <c r="EN791" s="682"/>
      <c r="EO791" s="682"/>
      <c r="ER791" s="481">
        <v>2008</v>
      </c>
      <c r="ES791" s="753">
        <f t="shared" si="306"/>
        <v>6196.25480310366</v>
      </c>
      <c r="ET791" s="711">
        <v>1.167782661723268</v>
      </c>
    </row>
    <row r="792" ht="17.5" customHeight="1" spans="101:150" x14ac:dyDescent="0.25">
      <c r="CW792" s="682">
        <v>82302.969</v>
      </c>
      <c r="CZ792" s="481">
        <v>2009</v>
      </c>
      <c r="DA792" s="728">
        <f t="shared" si="307"/>
        <v>82.30296899999999</v>
      </c>
      <c r="DB792" s="57">
        <v>1.2051517068984128</v>
      </c>
      <c r="DC792" s="57">
        <f t="shared" si="308"/>
        <v>12.87082947485337</v>
      </c>
      <c r="DD792" s="326">
        <v>12.87082947485337</v>
      </c>
      <c r="DE792" s="326"/>
      <c r="DF792" s="326">
        <f>НАСТРОЙКА!DR150</f>
        <v>11.642689869793951</v>
      </c>
      <c r="DG792" s="682"/>
      <c r="DH792" s="682"/>
      <c r="DI792" s="682"/>
      <c r="DJ792" s="682"/>
      <c r="DK792" s="682"/>
      <c r="DL792" s="682"/>
      <c r="DM792" s="682"/>
      <c r="DN792" s="682"/>
      <c r="DO792" s="682"/>
      <c r="DP792" s="682"/>
      <c r="DQ792" s="682"/>
      <c r="DR792" s="682"/>
      <c r="DS792" s="682"/>
      <c r="DT792" s="574">
        <f t="shared" si="309"/>
        <v>12.87082947485337</v>
      </c>
      <c r="DV792" s="481">
        <v>2009</v>
      </c>
      <c r="DW792" s="547">
        <v>82302.969</v>
      </c>
      <c r="DX792" s="55">
        <v>68116.5</v>
      </c>
      <c r="DY792" s="55">
        <v>7976.013</v>
      </c>
      <c r="DZ792" s="55">
        <f t="shared" si="310"/>
        <v>62102.4513</v>
      </c>
      <c r="EA792" s="55"/>
      <c r="EB792" s="66">
        <f>DW792</f>
        <v>82302.969</v>
      </c>
      <c r="EE792" s="682"/>
      <c r="EF792" s="682"/>
      <c r="EG792" s="682"/>
      <c r="EH792" s="682"/>
      <c r="EI792" s="682"/>
      <c r="EJ792" s="682"/>
      <c r="EK792" s="682"/>
      <c r="EL792" s="682"/>
      <c r="EM792" s="682"/>
      <c r="EN792" s="682"/>
      <c r="EO792" s="682"/>
      <c r="ER792" s="481">
        <v>2009</v>
      </c>
      <c r="ES792" s="753">
        <f t="shared" si="306"/>
        <v>6394.534956802978</v>
      </c>
      <c r="ET792" s="711">
        <v>1.2051517068984128</v>
      </c>
    </row>
    <row r="793" ht="17.5" customHeight="1" spans="101:150" x14ac:dyDescent="0.25">
      <c r="CW793" s="682">
        <v>93186</v>
      </c>
      <c r="CZ793" s="481">
        <v>2010</v>
      </c>
      <c r="DA793" s="728">
        <f t="shared" si="307"/>
        <v>93.186</v>
      </c>
      <c r="DB793" s="57">
        <v>1.241306258105365</v>
      </c>
      <c r="DC793" s="57">
        <f t="shared" si="308"/>
        <v>14.148307151553462</v>
      </c>
      <c r="DD793" s="326">
        <v>14.148307151553462</v>
      </c>
      <c r="DE793" s="326"/>
      <c r="DF793" s="326">
        <f>НАСТРОЙКА!DR151</f>
        <v>12.664918040361862</v>
      </c>
      <c r="DG793" s="682"/>
      <c r="DH793" s="682"/>
      <c r="DI793" s="682"/>
      <c r="DJ793" s="682"/>
      <c r="DK793" s="682"/>
      <c r="DL793" s="682"/>
      <c r="DM793" s="682"/>
      <c r="DN793" s="682"/>
      <c r="DO793" s="682"/>
      <c r="DP793" s="682"/>
      <c r="DQ793" s="682"/>
      <c r="DR793" s="682"/>
      <c r="DS793" s="682"/>
      <c r="DT793" s="574">
        <f t="shared" si="309"/>
        <v>14.148307151553462</v>
      </c>
      <c r="DV793" s="481">
        <v>2010</v>
      </c>
      <c r="DW793" s="547">
        <v>93186</v>
      </c>
      <c r="DX793" s="55">
        <v>82054.6</v>
      </c>
      <c r="DY793" s="55">
        <v>9152.1</v>
      </c>
      <c r="DZ793" s="55">
        <f t="shared" si="310"/>
        <v>74764.35000000002</v>
      </c>
      <c r="EA793" s="55"/>
      <c r="EB793" s="66">
        <f>DW793</f>
        <v>93186</v>
      </c>
      <c r="EE793" s="682"/>
      <c r="EF793" s="682"/>
      <c r="EG793" s="682"/>
      <c r="EH793" s="682"/>
      <c r="EI793" s="682"/>
      <c r="EJ793" s="682"/>
      <c r="EK793" s="682"/>
      <c r="EL793" s="682"/>
      <c r="EM793" s="682"/>
      <c r="EN793" s="682"/>
      <c r="EO793" s="682"/>
      <c r="ER793" s="481">
        <v>2010</v>
      </c>
      <c r="ES793" s="753">
        <f t="shared" si="306"/>
        <v>6586.371005507067</v>
      </c>
      <c r="ET793" s="711">
        <v>1.241306258105365</v>
      </c>
    </row>
    <row r="794" ht="17.5" customHeight="1" spans="101:150" x14ac:dyDescent="0.25">
      <c r="CW794" s="682">
        <v>108001</v>
      </c>
      <c r="CZ794" s="481">
        <v>2011</v>
      </c>
      <c r="DA794" s="728">
        <f t="shared" si="307"/>
        <v>108.001</v>
      </c>
      <c r="DB794" s="57">
        <v>1.2909585084295798</v>
      </c>
      <c r="DC794" s="57">
        <f t="shared" si="308"/>
        <v>15.766970202222987</v>
      </c>
      <c r="DD794" s="326">
        <v>15.766970202222987</v>
      </c>
      <c r="DE794" s="326"/>
      <c r="DF794" s="326">
        <f>НАСТРОЙКА!DR152</f>
        <v>13.437478040823935</v>
      </c>
      <c r="DG794" s="682"/>
      <c r="DH794" s="682"/>
      <c r="DI794" s="682"/>
      <c r="DJ794" s="682"/>
      <c r="DK794" s="682"/>
      <c r="DL794" s="682"/>
      <c r="DM794" s="682"/>
      <c r="DN794" s="682"/>
      <c r="DO794" s="682"/>
      <c r="DP794" s="682"/>
      <c r="DQ794" s="682"/>
      <c r="DR794" s="682"/>
      <c r="DS794" s="682"/>
      <c r="DT794" s="574">
        <f t="shared" si="309"/>
        <v>15.766970202222987</v>
      </c>
      <c r="DV794" s="481">
        <v>2011</v>
      </c>
      <c r="DW794" s="547">
        <v>108001</v>
      </c>
      <c r="DX794" s="55">
        <v>100960.3907</v>
      </c>
      <c r="DY794" s="55">
        <v>11035.652</v>
      </c>
      <c r="DZ794" s="55">
        <f t="shared" si="310"/>
        <v>91967.91683</v>
      </c>
      <c r="EA794" s="55"/>
      <c r="EB794" s="66">
        <f t="shared" ref="EB794:EB799" si="312">DW794</f>
        <v>108001</v>
      </c>
      <c r="EE794" s="682"/>
      <c r="EF794" s="682"/>
      <c r="EG794" s="682"/>
      <c r="EH794" s="682"/>
      <c r="EI794" s="682"/>
      <c r="EJ794" s="682"/>
      <c r="EK794" s="682"/>
      <c r="EL794" s="682"/>
      <c r="EM794" s="682"/>
      <c r="EN794" s="682"/>
      <c r="EO794" s="682"/>
      <c r="ER794" s="481">
        <v>2011</v>
      </c>
      <c r="ES794" s="753">
        <f t="shared" si="306"/>
        <v>6849.8258457273505</v>
      </c>
      <c r="ET794" s="711">
        <v>1.2909585084295798</v>
      </c>
    </row>
    <row r="795" ht="17.5" customHeight="1" spans="101:150" x14ac:dyDescent="0.25">
      <c r="CW795" s="682">
        <v>121269</v>
      </c>
      <c r="CZ795" s="481">
        <v>2012</v>
      </c>
      <c r="DA795" s="728">
        <f t="shared" si="307"/>
        <v>121.269</v>
      </c>
      <c r="DB795" s="57">
        <v>1.3464697242920516</v>
      </c>
      <c r="DC795" s="57">
        <f t="shared" si="308"/>
        <v>16.974068796381744</v>
      </c>
      <c r="DD795" s="326">
        <v>16.974068796381744</v>
      </c>
      <c r="DE795" s="326">
        <f>DC795</f>
        <v>16.974068796381744</v>
      </c>
      <c r="DF795" s="326">
        <f>НАСТРОЙКА!DR153</f>
        <v>14.321664095910151</v>
      </c>
      <c r="DG795" s="682"/>
      <c r="DH795" s="682"/>
      <c r="DI795" s="682"/>
      <c r="DJ795" s="682"/>
      <c r="DK795" s="682"/>
      <c r="DL795" s="682"/>
      <c r="DM795" s="682"/>
      <c r="DN795" s="682"/>
      <c r="DO795" s="682"/>
      <c r="DP795" s="682"/>
      <c r="DQ795" s="682"/>
      <c r="DR795" s="682"/>
      <c r="DS795" s="682"/>
      <c r="DT795" s="574">
        <f t="shared" si="309"/>
        <v>16.974068796381744</v>
      </c>
      <c r="DV795" s="481">
        <v>2012</v>
      </c>
      <c r="DW795" s="547">
        <v>121269</v>
      </c>
      <c r="DX795" s="55">
        <v>113092.1725</v>
      </c>
      <c r="DY795" s="55">
        <v>12586.090400000001</v>
      </c>
      <c r="DZ795" s="55">
        <f t="shared" si="310"/>
        <v>103041.56429</v>
      </c>
      <c r="EA795" s="55"/>
      <c r="EB795" s="66">
        <f t="shared" si="312"/>
        <v>121269</v>
      </c>
      <c r="EE795" s="682"/>
      <c r="EF795" s="682"/>
      <c r="EG795" s="682"/>
      <c r="EH795" s="682"/>
      <c r="EI795" s="682"/>
      <c r="EJ795" s="682"/>
      <c r="EK795" s="682"/>
      <c r="EL795" s="682"/>
      <c r="EM795" s="682"/>
      <c r="EN795" s="682"/>
      <c r="EO795" s="682"/>
      <c r="ER795" s="481">
        <v>2012</v>
      </c>
      <c r="ES795" s="753">
        <f t="shared" si="306"/>
        <v>7144.3683570936255</v>
      </c>
      <c r="ET795" s="711">
        <v>1.3464697242920516</v>
      </c>
    </row>
    <row r="796" ht="17.5" customHeight="1" spans="101:150" x14ac:dyDescent="0.25">
      <c r="CW796" s="682">
        <v>133522.8</v>
      </c>
      <c r="CZ796" s="481">
        <v>2013</v>
      </c>
      <c r="DA796" s="728">
        <f t="shared" si="307"/>
        <v>133.5228</v>
      </c>
      <c r="DB796" s="57">
        <v>1.4016749829880255</v>
      </c>
      <c r="DC796" s="57">
        <f t="shared" si="308"/>
        <v>17.95315842273054</v>
      </c>
      <c r="DD796" s="326"/>
      <c r="DE796" s="326">
        <f>DC796</f>
        <v>17.95315842273054</v>
      </c>
      <c r="DF796" s="326">
        <f>НАСТРОЙКА!DR154</f>
        <v>15.245411430096356</v>
      </c>
      <c r="DG796" s="682"/>
      <c r="DH796" s="682"/>
      <c r="DI796" s="682"/>
      <c r="DJ796" s="682"/>
      <c r="DK796" s="682"/>
      <c r="DL796" s="682"/>
      <c r="DM796" s="682"/>
      <c r="DN796" s="682"/>
      <c r="DO796" s="682"/>
      <c r="DP796" s="682"/>
      <c r="DQ796" s="682"/>
      <c r="DR796" s="682"/>
      <c r="DS796" s="682"/>
      <c r="DT796" s="574">
        <f t="shared" si="309"/>
        <v>17.95315842273054</v>
      </c>
      <c r="DV796" s="481">
        <v>2013</v>
      </c>
      <c r="DW796" s="547">
        <v>133522.8</v>
      </c>
      <c r="DX796" s="55">
        <v>123165.48509999999</v>
      </c>
      <c r="DY796" s="55">
        <v>13450.2382</v>
      </c>
      <c r="DZ796" s="55">
        <f t="shared" si="310"/>
        <v>112193.96041</v>
      </c>
      <c r="EA796" s="55"/>
      <c r="EB796" s="66">
        <f t="shared" si="312"/>
        <v>133522.8</v>
      </c>
      <c r="EE796" s="682"/>
      <c r="EF796" s="682"/>
      <c r="EG796" s="682"/>
      <c r="EH796" s="682"/>
      <c r="EI796" s="682"/>
      <c r="EJ796" s="682"/>
      <c r="EK796" s="682"/>
      <c r="EL796" s="682"/>
      <c r="EM796" s="682"/>
      <c r="EN796" s="682"/>
      <c r="EO796" s="682"/>
      <c r="ER796" s="481">
        <v>2013</v>
      </c>
      <c r="ES796" s="753">
        <f t="shared" si="306"/>
        <v>7437.2874597344635</v>
      </c>
      <c r="ET796" s="711">
        <v>1.4016749829880255</v>
      </c>
    </row>
    <row r="797" ht="17.5" customHeight="1" spans="101:150" x14ac:dyDescent="0.25">
      <c r="CW797" s="682">
        <v>147430</v>
      </c>
      <c r="CZ797" s="481">
        <v>2014</v>
      </c>
      <c r="DA797" s="728">
        <f t="shared" si="307"/>
        <v>147.43</v>
      </c>
      <c r="DB797" s="57">
        <v>1.4535369573585823</v>
      </c>
      <c r="DC797" s="57">
        <f t="shared" si="308"/>
        <v>19.115802786548635</v>
      </c>
      <c r="DD797" s="326"/>
      <c r="DE797" s="326">
        <f>DC797</f>
        <v>19.115802786548635</v>
      </c>
      <c r="DF797" s="326">
        <f>НАСТРОЙКА!DR155</f>
        <v>17.31878738458946</v>
      </c>
      <c r="DG797" s="682"/>
      <c r="DH797" s="682"/>
      <c r="DI797" s="682"/>
      <c r="DJ797" s="682"/>
      <c r="DK797" s="682"/>
      <c r="DL797" s="682"/>
      <c r="DM797" s="682"/>
      <c r="DN797" s="682"/>
      <c r="DO797" s="682"/>
      <c r="DP797" s="682"/>
      <c r="DQ797" s="682"/>
      <c r="DR797" s="682"/>
      <c r="DS797" s="682"/>
      <c r="DT797" s="574">
        <f t="shared" si="309"/>
        <v>19.115802786548635</v>
      </c>
      <c r="DV797" s="481">
        <v>2014</v>
      </c>
      <c r="DW797" s="547">
        <v>147430</v>
      </c>
      <c r="DX797" s="55">
        <v>132844.9</v>
      </c>
      <c r="DY797" s="55">
        <v>13902.6453</v>
      </c>
      <c r="DZ797" s="55">
        <f t="shared" si="310"/>
        <v>120950.67453</v>
      </c>
      <c r="EA797" s="55"/>
      <c r="EB797" s="66">
        <f t="shared" si="312"/>
        <v>147430</v>
      </c>
      <c r="EE797" s="682"/>
      <c r="EF797" s="682"/>
      <c r="EG797" s="682"/>
      <c r="EH797" s="682"/>
      <c r="EI797" s="682"/>
      <c r="EJ797" s="682"/>
      <c r="EK797" s="682"/>
      <c r="EL797" s="682"/>
      <c r="EM797" s="682"/>
      <c r="EN797" s="682"/>
      <c r="EO797" s="682"/>
      <c r="ER797" s="481">
        <v>2014</v>
      </c>
      <c r="ES797" s="753">
        <f t="shared" si="306"/>
        <v>7712.467095744638</v>
      </c>
      <c r="ET797" s="711">
        <v>1.4535369573585823</v>
      </c>
    </row>
    <row r="798" ht="17.5" customHeight="1" spans="101:150" x14ac:dyDescent="0.25">
      <c r="CW798" s="682">
        <v>160725</v>
      </c>
      <c r="CZ798" s="481">
        <v>2015</v>
      </c>
      <c r="DA798" s="728">
        <f t="shared" si="307"/>
        <v>160.725</v>
      </c>
      <c r="DB798" s="57">
        <v>1.5000501399940571</v>
      </c>
      <c r="DC798" s="57">
        <f t="shared" si="308"/>
        <v>20.193444864834216</v>
      </c>
      <c r="DD798" s="326"/>
      <c r="DE798" s="326">
        <f>DC798</f>
        <v>20.193444864834216</v>
      </c>
      <c r="DF798" s="326">
        <f>НАСТРОЙКА!DR156</f>
        <v>19.5529109572015</v>
      </c>
      <c r="DG798" s="682"/>
      <c r="DH798" s="682"/>
      <c r="DI798" s="682"/>
      <c r="DJ798" s="682"/>
      <c r="DK798" s="682"/>
      <c r="DL798" s="682"/>
      <c r="DM798" s="682"/>
      <c r="DN798" s="682"/>
      <c r="DO798" s="682"/>
      <c r="DP798" s="682"/>
      <c r="DQ798" s="682"/>
      <c r="DR798" s="682"/>
      <c r="DS798" s="682"/>
      <c r="DT798" s="574">
        <f t="shared" si="309"/>
        <v>20.193444864834216</v>
      </c>
      <c r="DV798" s="481">
        <v>2015</v>
      </c>
      <c r="DW798" s="547">
        <v>160725</v>
      </c>
      <c r="DX798" s="55">
        <v>145956.1</v>
      </c>
      <c r="DY798" s="55">
        <v>13897.2</v>
      </c>
      <c r="DZ798" s="55">
        <f t="shared" si="310"/>
        <v>132750.21000000002</v>
      </c>
      <c r="EA798" s="55"/>
      <c r="EB798" s="66">
        <f t="shared" si="312"/>
        <v>160725</v>
      </c>
      <c r="EE798" s="682"/>
      <c r="EF798" s="682"/>
      <c r="EG798" s="682"/>
      <c r="EH798" s="682"/>
      <c r="EI798" s="682"/>
      <c r="EJ798" s="682"/>
      <c r="EK798" s="682"/>
      <c r="EL798" s="682"/>
      <c r="EM798" s="682"/>
      <c r="EN798" s="682"/>
      <c r="EO798" s="682"/>
      <c r="ER798" s="481">
        <v>2015</v>
      </c>
      <c r="ES798" s="753">
        <f t="shared" si="306"/>
        <v>7959.266042808467</v>
      </c>
      <c r="ET798" s="711">
        <v>1.5000501399940571</v>
      </c>
    </row>
    <row r="799" ht="17.5" customHeight="1" spans="101:150" x14ac:dyDescent="0.25">
      <c r="CW799" s="682">
        <v>183404</v>
      </c>
      <c r="CZ799" s="481">
        <v>2016</v>
      </c>
      <c r="DA799" s="728">
        <f t="shared" si="307"/>
        <v>183.404</v>
      </c>
      <c r="DB799" s="57">
        <v>1.5585520954538252</v>
      </c>
      <c r="DC799" s="57">
        <f t="shared" si="308"/>
        <v>22.177890468882982</v>
      </c>
      <c r="DD799" s="326"/>
      <c r="DE799" s="326">
        <f>DC799</f>
        <v>22.177890468882982</v>
      </c>
      <c r="DF799" s="326">
        <f>НАСТРОЙКА!DR157</f>
        <v>20.60681285779466</v>
      </c>
      <c r="DG799" s="682"/>
      <c r="DH799" s="682"/>
      <c r="DI799" s="682"/>
      <c r="DJ799" s="682"/>
      <c r="DK799" s="682"/>
      <c r="DL799" s="682"/>
      <c r="DM799" s="682"/>
      <c r="DN799" s="682"/>
      <c r="DO799" s="682"/>
      <c r="DP799" s="682"/>
      <c r="DQ799" s="682"/>
      <c r="DR799" s="682"/>
      <c r="DS799" s="682"/>
      <c r="DT799" s="574">
        <f t="shared" si="309"/>
        <v>22.177890468882982</v>
      </c>
      <c r="DV799" s="481">
        <v>2016</v>
      </c>
      <c r="DW799" s="547">
        <v>183404</v>
      </c>
      <c r="DX799" s="55">
        <v>153856.5</v>
      </c>
      <c r="DY799" s="55">
        <v>14748.8</v>
      </c>
      <c r="DZ799" s="55">
        <f t="shared" si="310"/>
        <v>139945.73</v>
      </c>
      <c r="EA799" s="55"/>
      <c r="EB799" s="66">
        <f t="shared" si="312"/>
        <v>183404</v>
      </c>
      <c r="EE799" s="682"/>
      <c r="EF799" s="682"/>
      <c r="EG799" s="682"/>
      <c r="EH799" s="682"/>
      <c r="EI799" s="682"/>
      <c r="EJ799" s="682"/>
      <c r="EK799" s="682"/>
      <c r="EL799" s="682"/>
      <c r="EM799" s="682"/>
      <c r="EN799" s="682"/>
      <c r="EO799" s="682"/>
      <c r="ER799" s="481">
        <v>2016</v>
      </c>
      <c r="ES799" s="753">
        <f t="shared" si="306"/>
        <v>8269.677418477997</v>
      </c>
      <c r="ET799" s="711">
        <v>1.5585520954538252</v>
      </c>
    </row>
    <row r="800" ht="17.5" customHeight="1" spans="100:150" x14ac:dyDescent="0.25">
      <c r="CV800" s="682"/>
      <c r="CW800" s="682"/>
      <c r="CZ800" s="481">
        <v>2017</v>
      </c>
      <c r="DA800" s="487"/>
      <c r="DB800" s="46"/>
      <c r="DC800" s="326"/>
      <c r="DD800" s="326"/>
      <c r="DE800" s="326"/>
      <c r="DF800" s="326">
        <f>НАСТРОЙКА!DR158</f>
        <v>21.124043860525305</v>
      </c>
      <c r="DG800" s="682"/>
      <c r="DH800" s="682"/>
      <c r="DI800" s="682"/>
      <c r="DJ800" s="682"/>
      <c r="DK800" s="682"/>
      <c r="DL800" s="682"/>
      <c r="DM800" s="682"/>
      <c r="DN800" s="682"/>
      <c r="DO800" s="682"/>
      <c r="DP800" s="682"/>
      <c r="DQ800" s="682"/>
      <c r="DR800" s="682"/>
      <c r="DS800" s="682"/>
      <c r="DT800" s="574">
        <f>DE800</f>
        <v>0</v>
      </c>
      <c r="DV800" s="481">
        <v>2017</v>
      </c>
      <c r="DW800" s="487"/>
      <c r="DX800" s="326"/>
      <c r="DY800" s="326"/>
      <c r="DZ800" s="326"/>
      <c r="EA800" s="272"/>
      <c r="EB800" s="576"/>
      <c r="EE800" s="682"/>
      <c r="EF800" s="682"/>
      <c r="EG800" s="682"/>
      <c r="EH800" s="682"/>
      <c r="EI800" s="682"/>
      <c r="EJ800" s="682"/>
      <c r="EK800" s="682"/>
      <c r="EL800" s="682"/>
      <c r="EM800" s="682"/>
      <c r="EN800" s="682"/>
      <c r="EO800" s="682"/>
      <c r="ER800" s="481">
        <v>2017</v>
      </c>
      <c r="ES800" s="711"/>
      <c r="ET800" s="711"/>
    </row>
    <row r="801" ht="17.5" customHeight="1" spans="100:150" x14ac:dyDescent="0.25">
      <c r="CV801" s="682"/>
      <c r="CW801" s="682"/>
      <c r="CZ801" s="481">
        <v>2018</v>
      </c>
      <c r="DA801" s="487"/>
      <c r="DB801" s="46"/>
      <c r="DC801" s="326"/>
      <c r="DD801" s="326"/>
      <c r="DE801" s="326"/>
      <c r="DF801" s="326">
        <f>НАСТРОЙКА!DR159</f>
        <v>22.02392812898368</v>
      </c>
      <c r="DG801" s="682"/>
      <c r="DH801" s="682"/>
      <c r="DI801" s="682"/>
      <c r="DJ801" s="682"/>
      <c r="DK801" s="682"/>
      <c r="DL801" s="682"/>
      <c r="DM801" s="682"/>
      <c r="DN801" s="682"/>
      <c r="DO801" s="682"/>
      <c r="DP801" s="682"/>
      <c r="DQ801" s="682"/>
      <c r="DR801" s="682"/>
      <c r="DS801" s="682"/>
      <c r="DT801" s="574">
        <f t="shared" ref="DT801:DT813" si="313">DE801</f>
        <v>0</v>
      </c>
      <c r="DV801" s="481">
        <v>2018</v>
      </c>
      <c r="DW801" s="487"/>
      <c r="DX801" s="326"/>
      <c r="DY801" s="326"/>
      <c r="DZ801" s="326"/>
      <c r="EA801" s="272"/>
      <c r="EB801" s="576"/>
      <c r="EE801" s="682"/>
      <c r="EF801" s="682"/>
      <c r="EG801" s="682"/>
      <c r="EH801" s="682"/>
      <c r="EI801" s="682"/>
      <c r="EJ801" s="682"/>
      <c r="EK801" s="682"/>
      <c r="EL801" s="682"/>
      <c r="EM801" s="682"/>
      <c r="EN801" s="682"/>
      <c r="EO801" s="682"/>
      <c r="ER801" s="481">
        <v>2018</v>
      </c>
      <c r="ES801" s="711"/>
      <c r="ET801" s="711"/>
    </row>
    <row r="802" ht="17.5" customHeight="1" spans="100:150" x14ac:dyDescent="0.25">
      <c r="CV802" s="682"/>
      <c r="CW802" s="682"/>
      <c r="CZ802" s="481">
        <v>2019</v>
      </c>
      <c r="DA802" s="714"/>
      <c r="DB802" s="272"/>
      <c r="DC802" s="272"/>
      <c r="DD802" s="272"/>
      <c r="DE802" s="326"/>
      <c r="DF802" s="326">
        <f>НАСТРОЙКА!DR160</f>
        <v>22.693455544104783</v>
      </c>
      <c r="DG802" s="682"/>
      <c r="DH802" s="682"/>
      <c r="DI802" s="682"/>
      <c r="DJ802" s="682"/>
      <c r="DK802" s="682"/>
      <c r="DL802" s="682"/>
      <c r="DM802" s="682"/>
      <c r="DN802" s="682"/>
      <c r="DO802" s="682"/>
      <c r="DP802" s="682"/>
      <c r="DQ802" s="682"/>
      <c r="DR802" s="682"/>
      <c r="DS802" s="682"/>
      <c r="DT802" s="574">
        <f t="shared" si="313"/>
        <v>0</v>
      </c>
      <c r="DV802" s="481">
        <v>2019</v>
      </c>
      <c r="DW802" s="714"/>
      <c r="DX802" s="272"/>
      <c r="DY802" s="272"/>
      <c r="DZ802" s="272"/>
      <c r="EA802" s="272"/>
      <c r="EB802" s="576"/>
      <c r="EE802" s="682"/>
      <c r="EF802" s="682"/>
      <c r="EG802" s="682"/>
      <c r="EH802" s="682"/>
      <c r="EI802" s="682"/>
      <c r="EJ802" s="682"/>
      <c r="EK802" s="682"/>
      <c r="EL802" s="682"/>
      <c r="EM802" s="682"/>
      <c r="EN802" s="682"/>
      <c r="EO802" s="682"/>
      <c r="ER802" s="481">
        <v>2019</v>
      </c>
      <c r="ES802" s="755"/>
      <c r="ET802" s="755"/>
    </row>
    <row r="803" ht="17.5" customHeight="1" spans="100:150" x14ac:dyDescent="0.25">
      <c r="CV803" s="682"/>
      <c r="CW803" s="682"/>
      <c r="CZ803" s="481">
        <v>2020</v>
      </c>
      <c r="DA803" s="714"/>
      <c r="DB803" s="272"/>
      <c r="DC803" s="272"/>
      <c r="DD803" s="272"/>
      <c r="DE803" s="326"/>
      <c r="DF803" s="326">
        <f>НАСТРОЙКА!DR161</f>
        <v>23.807704211320324</v>
      </c>
      <c r="DG803" s="682"/>
      <c r="DH803" s="682"/>
      <c r="DI803" s="682"/>
      <c r="DJ803" s="682"/>
      <c r="DK803" s="682"/>
      <c r="DL803" s="682"/>
      <c r="DM803" s="682"/>
      <c r="DN803" s="682"/>
      <c r="DO803" s="682"/>
      <c r="DP803" s="682"/>
      <c r="DQ803" s="682"/>
      <c r="DR803" s="682"/>
      <c r="DS803" s="682"/>
      <c r="DT803" s="574">
        <f t="shared" si="313"/>
        <v>0</v>
      </c>
      <c r="DV803" s="481">
        <v>2020</v>
      </c>
      <c r="DW803" s="714"/>
      <c r="DX803" s="272"/>
      <c r="DY803" s="272"/>
      <c r="DZ803" s="272"/>
      <c r="EA803" s="272"/>
      <c r="EB803" s="576"/>
      <c r="EE803" s="682"/>
      <c r="EF803" s="682"/>
      <c r="EG803" s="682"/>
      <c r="EH803" s="682"/>
      <c r="EI803" s="682"/>
      <c r="EJ803" s="682"/>
      <c r="EK803" s="682"/>
      <c r="EL803" s="682"/>
      <c r="EM803" s="682"/>
      <c r="EN803" s="682"/>
      <c r="EO803" s="682"/>
      <c r="ER803" s="481">
        <v>2020</v>
      </c>
      <c r="ES803" s="755"/>
      <c r="ET803" s="755"/>
    </row>
    <row r="804" ht="17.5" customHeight="1" spans="100:150" x14ac:dyDescent="0.25">
      <c r="CV804" s="682"/>
      <c r="CW804" s="682"/>
      <c r="CZ804" s="481">
        <v>2021</v>
      </c>
      <c r="DA804" s="714"/>
      <c r="DB804" s="272"/>
      <c r="DC804" s="272"/>
      <c r="DD804" s="272"/>
      <c r="DE804" s="326"/>
      <c r="DF804" s="326">
        <f>НАСТРОЙКА!DR162</f>
        <v>24.99808942188634</v>
      </c>
      <c r="DG804" s="682"/>
      <c r="DH804" s="682"/>
      <c r="DI804" s="682"/>
      <c r="DJ804" s="682"/>
      <c r="DK804" s="682"/>
      <c r="DL804" s="682"/>
      <c r="DM804" s="682"/>
      <c r="DN804" s="682"/>
      <c r="DO804" s="682"/>
      <c r="DP804" s="682"/>
      <c r="DQ804" s="682"/>
      <c r="DR804" s="682"/>
      <c r="DS804" s="682"/>
      <c r="DT804" s="574">
        <f t="shared" si="313"/>
        <v>0</v>
      </c>
      <c r="DV804" s="481">
        <v>2021</v>
      </c>
      <c r="DW804" s="714"/>
      <c r="DX804" s="272"/>
      <c r="DY804" s="272"/>
      <c r="DZ804" s="272"/>
      <c r="EA804" s="272"/>
      <c r="EB804" s="576"/>
      <c r="EE804" s="682"/>
      <c r="EF804" s="682"/>
      <c r="EG804" s="682"/>
      <c r="EH804" s="682"/>
      <c r="EI804" s="682"/>
      <c r="EJ804" s="682"/>
      <c r="EK804" s="682"/>
      <c r="EL804" s="682"/>
      <c r="EM804" s="682"/>
      <c r="EN804" s="682"/>
      <c r="EO804" s="682"/>
      <c r="ER804" s="481">
        <v>2021</v>
      </c>
      <c r="ES804" s="755"/>
      <c r="ET804" s="755"/>
    </row>
    <row r="805" ht="17.5" customHeight="1" spans="100:150" x14ac:dyDescent="0.25">
      <c r="CV805" s="682"/>
      <c r="CW805" s="682"/>
      <c r="CZ805" s="481">
        <v>2022</v>
      </c>
      <c r="DA805" s="714"/>
      <c r="DB805" s="272"/>
      <c r="DC805" s="272"/>
      <c r="DD805" s="272"/>
      <c r="DE805" s="326"/>
      <c r="DF805" s="326">
        <f>НАСТРОЙКА!DR163</f>
        <v>26.24799389298066</v>
      </c>
      <c r="DG805" s="682"/>
      <c r="DH805" s="682"/>
      <c r="DI805" s="682"/>
      <c r="DJ805" s="682"/>
      <c r="DK805" s="682"/>
      <c r="DL805" s="682"/>
      <c r="DM805" s="682"/>
      <c r="DN805" s="682"/>
      <c r="DO805" s="682"/>
      <c r="DP805" s="682"/>
      <c r="DQ805" s="682"/>
      <c r="DR805" s="682"/>
      <c r="DS805" s="682"/>
      <c r="DT805" s="574">
        <f t="shared" si="313"/>
        <v>0</v>
      </c>
      <c r="DV805" s="481">
        <v>2022</v>
      </c>
      <c r="DW805" s="714"/>
      <c r="DX805" s="272"/>
      <c r="DY805" s="272"/>
      <c r="DZ805" s="272"/>
      <c r="EA805" s="272"/>
      <c r="EB805" s="576"/>
      <c r="EE805" s="682"/>
      <c r="EF805" s="682"/>
      <c r="EG805" s="682"/>
      <c r="EH805" s="682"/>
      <c r="EI805" s="682"/>
      <c r="EJ805" s="682"/>
      <c r="EK805" s="682"/>
      <c r="EL805" s="682"/>
      <c r="EM805" s="682"/>
      <c r="EN805" s="682"/>
      <c r="EO805" s="682"/>
      <c r="ER805" s="481">
        <v>2022</v>
      </c>
      <c r="ES805" s="755"/>
      <c r="ET805" s="755"/>
    </row>
    <row r="806" ht="17.5" customHeight="1" spans="100:150" x14ac:dyDescent="0.25">
      <c r="CV806" s="682"/>
      <c r="CW806" s="682"/>
      <c r="CZ806" s="481">
        <v>2023</v>
      </c>
      <c r="DA806" s="714"/>
      <c r="DB806" s="272"/>
      <c r="DC806" s="272"/>
      <c r="DD806" s="272"/>
      <c r="DE806" s="326"/>
      <c r="DF806" s="326">
        <f>НАСТРОЙКА!DR164</f>
        <v>27.560393587629694</v>
      </c>
      <c r="DG806" s="682"/>
      <c r="DH806" s="682"/>
      <c r="DI806" s="682"/>
      <c r="DJ806" s="682"/>
      <c r="DK806" s="682"/>
      <c r="DL806" s="682"/>
      <c r="DM806" s="682"/>
      <c r="DN806" s="682"/>
      <c r="DO806" s="682"/>
      <c r="DP806" s="682"/>
      <c r="DQ806" s="682"/>
      <c r="DR806" s="682"/>
      <c r="DS806" s="682"/>
      <c r="DT806" s="574">
        <f t="shared" si="313"/>
        <v>0</v>
      </c>
      <c r="DV806" s="481">
        <v>2023</v>
      </c>
      <c r="DW806" s="714"/>
      <c r="DX806" s="272"/>
      <c r="DY806" s="272"/>
      <c r="DZ806" s="272"/>
      <c r="EA806" s="272"/>
      <c r="EB806" s="576"/>
      <c r="EE806" s="682"/>
      <c r="EF806" s="682"/>
      <c r="EG806" s="682"/>
      <c r="EH806" s="682"/>
      <c r="EI806" s="682"/>
      <c r="EJ806" s="682"/>
      <c r="EK806" s="682"/>
      <c r="EL806" s="682"/>
      <c r="EM806" s="682"/>
      <c r="EN806" s="682"/>
      <c r="EO806" s="682"/>
      <c r="ER806" s="481">
        <v>2023</v>
      </c>
      <c r="ES806" s="755"/>
      <c r="ET806" s="755"/>
    </row>
    <row r="807" ht="17.5" customHeight="1" spans="100:150" x14ac:dyDescent="0.25">
      <c r="CV807" s="682"/>
      <c r="CW807" s="682"/>
      <c r="CZ807" s="481">
        <v>2024</v>
      </c>
      <c r="DA807" s="714"/>
      <c r="DB807" s="272"/>
      <c r="DC807" s="272"/>
      <c r="DD807" s="272"/>
      <c r="DE807" s="326"/>
      <c r="DF807" s="326">
        <f>НАСТРОЙКА!DR165</f>
        <v>28.938413267011178</v>
      </c>
      <c r="DG807" s="682"/>
      <c r="DH807" s="682"/>
      <c r="DI807" s="682"/>
      <c r="DJ807" s="682"/>
      <c r="DK807" s="682"/>
      <c r="DL807" s="682"/>
      <c r="DM807" s="682"/>
      <c r="DN807" s="682"/>
      <c r="DO807" s="682"/>
      <c r="DP807" s="682"/>
      <c r="DQ807" s="682"/>
      <c r="DR807" s="682"/>
      <c r="DS807" s="682"/>
      <c r="DT807" s="574">
        <f t="shared" si="313"/>
        <v>0</v>
      </c>
      <c r="DV807" s="481">
        <v>2024</v>
      </c>
      <c r="DW807" s="714"/>
      <c r="DX807" s="272"/>
      <c r="DY807" s="272"/>
      <c r="DZ807" s="272"/>
      <c r="EA807" s="272"/>
      <c r="EB807" s="576"/>
      <c r="EE807" s="682"/>
      <c r="EF807" s="682"/>
      <c r="EG807" s="682"/>
      <c r="EH807" s="682"/>
      <c r="EI807" s="682"/>
      <c r="EJ807" s="682"/>
      <c r="EK807" s="682"/>
      <c r="EL807" s="682"/>
      <c r="EM807" s="682"/>
      <c r="EN807" s="682"/>
      <c r="EO807" s="682"/>
      <c r="ER807" s="481">
        <v>2024</v>
      </c>
      <c r="ES807" s="755"/>
      <c r="ET807" s="755"/>
    </row>
    <row r="808" ht="17.5" customHeight="1" spans="100:150" x14ac:dyDescent="0.25">
      <c r="CV808" s="682"/>
      <c r="CW808" s="682"/>
      <c r="CZ808" s="481">
        <v>2025</v>
      </c>
      <c r="DA808" s="714"/>
      <c r="DB808" s="272"/>
      <c r="DC808" s="272"/>
      <c r="DD808" s="272"/>
      <c r="DE808" s="326"/>
      <c r="DF808" s="326">
        <f>НАСТРОЙКА!DR166</f>
        <v>30.38533393036174</v>
      </c>
      <c r="DG808" s="682"/>
      <c r="DH808" s="682"/>
      <c r="DI808" s="682"/>
      <c r="DJ808" s="682"/>
      <c r="DK808" s="682"/>
      <c r="DL808" s="682"/>
      <c r="DM808" s="682"/>
      <c r="DN808" s="682"/>
      <c r="DO808" s="682"/>
      <c r="DP808" s="682"/>
      <c r="DQ808" s="682"/>
      <c r="DR808" s="682"/>
      <c r="DS808" s="682"/>
      <c r="DT808" s="574">
        <f t="shared" si="313"/>
        <v>0</v>
      </c>
      <c r="DV808" s="481">
        <v>2025</v>
      </c>
      <c r="DW808" s="714"/>
      <c r="DX808" s="272"/>
      <c r="DY808" s="272"/>
      <c r="DZ808" s="272"/>
      <c r="EA808" s="272"/>
      <c r="EB808" s="576"/>
      <c r="EE808" s="682"/>
      <c r="EF808" s="682"/>
      <c r="EG808" s="682"/>
      <c r="EH808" s="682"/>
      <c r="EI808" s="682"/>
      <c r="EJ808" s="682"/>
      <c r="EK808" s="682"/>
      <c r="EL808" s="682"/>
      <c r="EM808" s="682"/>
      <c r="EN808" s="682"/>
      <c r="EO808" s="682"/>
      <c r="ER808" s="481">
        <v>2025</v>
      </c>
      <c r="ES808" s="755"/>
      <c r="ET808" s="755"/>
    </row>
    <row r="809" ht="17.5" customHeight="1" spans="100:150" x14ac:dyDescent="0.25">
      <c r="CV809" s="682"/>
      <c r="CW809" s="682"/>
      <c r="CZ809" s="481">
        <v>2026</v>
      </c>
      <c r="DA809" s="714"/>
      <c r="DB809" s="272"/>
      <c r="DC809" s="272"/>
      <c r="DD809" s="272"/>
      <c r="DE809" s="326"/>
      <c r="DF809" s="326">
        <f>НАСТРОЙКА!DR167</f>
        <v>31.904600626879827</v>
      </c>
      <c r="DG809" s="682"/>
      <c r="DH809" s="682"/>
      <c r="DI809" s="682"/>
      <c r="DJ809" s="682"/>
      <c r="DK809" s="682"/>
      <c r="DL809" s="682"/>
      <c r="DM809" s="682"/>
      <c r="DN809" s="682"/>
      <c r="DO809" s="682"/>
      <c r="DP809" s="682"/>
      <c r="DQ809" s="682"/>
      <c r="DR809" s="682"/>
      <c r="DS809" s="682"/>
      <c r="DT809" s="574">
        <f t="shared" si="313"/>
        <v>0</v>
      </c>
      <c r="DV809" s="481">
        <v>2026</v>
      </c>
      <c r="DW809" s="714"/>
      <c r="DX809" s="272"/>
      <c r="DY809" s="272"/>
      <c r="DZ809" s="272"/>
      <c r="EA809" s="272"/>
      <c r="EB809" s="576"/>
      <c r="EE809" s="682"/>
      <c r="EF809" s="682"/>
      <c r="EG809" s="682"/>
      <c r="EH809" s="682"/>
      <c r="EI809" s="682"/>
      <c r="EJ809" s="682"/>
      <c r="EK809" s="682"/>
      <c r="EL809" s="682"/>
      <c r="EM809" s="682"/>
      <c r="EN809" s="682"/>
      <c r="EO809" s="682"/>
      <c r="ER809" s="481">
        <v>2026</v>
      </c>
      <c r="ES809" s="755"/>
      <c r="ET809" s="755"/>
    </row>
    <row r="810" ht="17.5" customHeight="1" spans="100:150" x14ac:dyDescent="0.25">
      <c r="CV810" s="682"/>
      <c r="CW810" s="682"/>
      <c r="CZ810" s="481">
        <v>2027</v>
      </c>
      <c r="DA810" s="714"/>
      <c r="DB810" s="272"/>
      <c r="DC810" s="272"/>
      <c r="DD810" s="272"/>
      <c r="DE810" s="326"/>
      <c r="DF810" s="326">
        <f>НАСТРОЙКА!DR168</f>
        <v>33.49983065822382</v>
      </c>
      <c r="DG810" s="682"/>
      <c r="DH810" s="682"/>
      <c r="DI810" s="682"/>
      <c r="DJ810" s="682"/>
      <c r="DK810" s="682"/>
      <c r="DL810" s="682"/>
      <c r="DM810" s="682"/>
      <c r="DN810" s="682"/>
      <c r="DO810" s="682"/>
      <c r="DP810" s="682"/>
      <c r="DQ810" s="682"/>
      <c r="DR810" s="682"/>
      <c r="DS810" s="682"/>
      <c r="DT810" s="574">
        <f t="shared" si="313"/>
        <v>0</v>
      </c>
      <c r="DV810" s="481">
        <v>2027</v>
      </c>
      <c r="DW810" s="714"/>
      <c r="DX810" s="272"/>
      <c r="DY810" s="272"/>
      <c r="DZ810" s="272"/>
      <c r="EA810" s="272"/>
      <c r="EB810" s="576"/>
      <c r="EE810" s="682"/>
      <c r="EF810" s="682"/>
      <c r="EG810" s="682"/>
      <c r="EH810" s="682"/>
      <c r="EI810" s="682"/>
      <c r="EJ810" s="682"/>
      <c r="EK810" s="682"/>
      <c r="EL810" s="682"/>
      <c r="EM810" s="682"/>
      <c r="EN810" s="682"/>
      <c r="EO810" s="682"/>
      <c r="ER810" s="481">
        <v>2027</v>
      </c>
      <c r="ES810" s="755"/>
      <c r="ET810" s="755"/>
    </row>
    <row r="811" ht="17.5" customHeight="1" spans="100:150" x14ac:dyDescent="0.25">
      <c r="CV811" s="682"/>
      <c r="CW811" s="682"/>
      <c r="CZ811" s="481">
        <v>2028</v>
      </c>
      <c r="DA811" s="714"/>
      <c r="DB811" s="272"/>
      <c r="DC811" s="272"/>
      <c r="DD811" s="272"/>
      <c r="DE811" s="326"/>
      <c r="DF811" s="326">
        <f>НАСТРОЙКА!DR169</f>
        <v>35.174822191135014</v>
      </c>
      <c r="DG811" s="682"/>
      <c r="DH811" s="682"/>
      <c r="DI811" s="682"/>
      <c r="DJ811" s="682"/>
      <c r="DK811" s="682"/>
      <c r="DL811" s="682"/>
      <c r="DM811" s="682"/>
      <c r="DN811" s="682"/>
      <c r="DO811" s="682"/>
      <c r="DP811" s="682"/>
      <c r="DQ811" s="682"/>
      <c r="DR811" s="682"/>
      <c r="DS811" s="682"/>
      <c r="DT811" s="574">
        <f t="shared" si="313"/>
        <v>0</v>
      </c>
      <c r="DV811" s="481">
        <v>2028</v>
      </c>
      <c r="DW811" s="714"/>
      <c r="DX811" s="272"/>
      <c r="DY811" s="272"/>
      <c r="DZ811" s="272"/>
      <c r="EA811" s="272"/>
      <c r="EB811" s="576"/>
      <c r="EE811" s="682"/>
      <c r="EF811" s="682"/>
      <c r="EG811" s="682"/>
      <c r="EH811" s="682"/>
      <c r="EI811" s="682"/>
      <c r="EJ811" s="682"/>
      <c r="EK811" s="682"/>
      <c r="EL811" s="682"/>
      <c r="EM811" s="682"/>
      <c r="EN811" s="682"/>
      <c r="EO811" s="682"/>
      <c r="ER811" s="481">
        <v>2028</v>
      </c>
      <c r="ES811" s="755"/>
      <c r="ET811" s="755"/>
    </row>
    <row r="812" ht="17.5" customHeight="1" spans="100:150" x14ac:dyDescent="0.25">
      <c r="CV812" s="682"/>
      <c r="CW812" s="682"/>
      <c r="CZ812" s="481">
        <v>2029</v>
      </c>
      <c r="DA812" s="714"/>
      <c r="DB812" s="272"/>
      <c r="DC812" s="272"/>
      <c r="DD812" s="272"/>
      <c r="DE812" s="326"/>
      <c r="DF812" s="326">
        <f>НАСТРОЙКА!DR170</f>
        <v>36.933563300691766</v>
      </c>
      <c r="DG812" s="682"/>
      <c r="DH812" s="682"/>
      <c r="DI812" s="682"/>
      <c r="DJ812" s="682"/>
      <c r="DK812" s="682"/>
      <c r="DL812" s="682"/>
      <c r="DM812" s="682"/>
      <c r="DN812" s="682"/>
      <c r="DO812" s="682"/>
      <c r="DP812" s="682"/>
      <c r="DQ812" s="682"/>
      <c r="DR812" s="682"/>
      <c r="DS812" s="682"/>
      <c r="DT812" s="574">
        <f t="shared" si="313"/>
        <v>0</v>
      </c>
      <c r="DV812" s="481">
        <v>2029</v>
      </c>
      <c r="DW812" s="714"/>
      <c r="DX812" s="272"/>
      <c r="DY812" s="272"/>
      <c r="DZ812" s="272"/>
      <c r="EA812" s="272"/>
      <c r="EB812" s="576"/>
      <c r="EE812" s="682"/>
      <c r="EF812" s="682"/>
      <c r="EG812" s="682"/>
      <c r="EH812" s="682"/>
      <c r="EI812" s="682"/>
      <c r="EJ812" s="682"/>
      <c r="EK812" s="682"/>
      <c r="EL812" s="682"/>
      <c r="EM812" s="682"/>
      <c r="EN812" s="682"/>
      <c r="EO812" s="682"/>
      <c r="ER812" s="481">
        <v>2029</v>
      </c>
      <c r="ES812" s="755"/>
      <c r="ET812" s="755"/>
    </row>
    <row r="813" ht="17.5" customHeight="1" spans="100:150" x14ac:dyDescent="0.25">
      <c r="CV813" s="682"/>
      <c r="CW813" s="682"/>
      <c r="CZ813" s="512">
        <v>2030</v>
      </c>
      <c r="DA813" s="716"/>
      <c r="DB813" s="297"/>
      <c r="DC813" s="297"/>
      <c r="DD813" s="297"/>
      <c r="DE813" s="388"/>
      <c r="DF813" s="326">
        <f>НАСТРОЙКА!DR171</f>
        <v>38.780241465726355</v>
      </c>
      <c r="DG813" s="682"/>
      <c r="DH813" s="682"/>
      <c r="DI813" s="682"/>
      <c r="DJ813" s="682"/>
      <c r="DK813" s="682"/>
      <c r="DL813" s="682"/>
      <c r="DM813" s="682"/>
      <c r="DN813" s="682"/>
      <c r="DO813" s="682"/>
      <c r="DP813" s="682"/>
      <c r="DQ813" s="682"/>
      <c r="DR813" s="682"/>
      <c r="DS813" s="682"/>
      <c r="DT813" s="386">
        <f t="shared" si="313"/>
        <v>0</v>
      </c>
      <c r="DV813" s="512">
        <v>2030</v>
      </c>
      <c r="DW813" s="716"/>
      <c r="DX813" s="297"/>
      <c r="DY813" s="297"/>
      <c r="DZ813" s="297"/>
      <c r="EA813" s="297"/>
      <c r="EB813" s="581"/>
      <c r="EE813" s="682"/>
      <c r="EF813" s="682"/>
      <c r="EG813" s="682"/>
      <c r="EH813" s="682"/>
      <c r="EI813" s="682"/>
      <c r="EJ813" s="682"/>
      <c r="EK813" s="682"/>
      <c r="EL813" s="682"/>
      <c r="EM813" s="682"/>
      <c r="EN813" s="682"/>
      <c r="EO813" s="682"/>
      <c r="ER813" s="512">
        <v>2030</v>
      </c>
      <c r="ES813" s="756"/>
      <c r="ET813" s="756"/>
    </row>
    <row r="814" ht="17.5" customHeight="1" spans="114:114" x14ac:dyDescent="0.25">
      <c r="DJ814" s="682"/>
    </row>
    <row r="815" ht="16.25" customHeight="1" x14ac:dyDescent="0.25"/>
    <row r="816" ht="21" customHeight="1" spans="107:148" x14ac:dyDescent="0.25">
      <c r="DC816" s="530" t="s">
        <v>13</v>
      </c>
      <c r="DD816" s="29" t="s">
        <v>818</v>
      </c>
      <c r="DE816" s="300" t="s">
        <v>777</v>
      </c>
      <c r="DF816" s="128" t="s">
        <v>818</v>
      </c>
      <c r="DZ816" s="718" t="s">
        <v>13</v>
      </c>
      <c r="EA816" s="735" t="s">
        <v>658</v>
      </c>
      <c r="EB816" s="735" t="s">
        <v>819</v>
      </c>
      <c r="EC816" s="735" t="s">
        <v>589</v>
      </c>
      <c r="ED816" s="750" t="s">
        <v>820</v>
      </c>
      <c r="EE816" s="750" t="s">
        <v>821</v>
      </c>
      <c r="EH816" s="682"/>
      <c r="EI816" s="682"/>
      <c r="EJ816" s="682"/>
      <c r="EK816" s="682"/>
      <c r="EL816" s="682"/>
      <c r="EM816" s="682"/>
      <c r="EN816" s="682"/>
      <c r="EO816" s="682"/>
      <c r="EP816" s="682"/>
      <c r="EQ816" s="682"/>
      <c r="ER816" s="682"/>
    </row>
    <row r="817" ht="18" customHeight="1" spans="107:148" x14ac:dyDescent="0.25">
      <c r="DC817" s="324">
        <v>43687</v>
      </c>
      <c r="DD817" s="570" t="s">
        <v>55</v>
      </c>
      <c r="DE817" s="656" t="s">
        <v>55</v>
      </c>
      <c r="DF817" s="655" t="s">
        <v>816</v>
      </c>
      <c r="DZ817" s="129">
        <v>43666</v>
      </c>
      <c r="EA817" s="39" t="s">
        <v>56</v>
      </c>
      <c r="EB817" s="130" t="s">
        <v>55</v>
      </c>
      <c r="EC817" s="130" t="s">
        <v>56</v>
      </c>
      <c r="ED817" s="130" t="s">
        <v>55</v>
      </c>
      <c r="EE817" s="130" t="s">
        <v>118</v>
      </c>
      <c r="EH817" s="682"/>
      <c r="EI817" s="682"/>
      <c r="EJ817" s="682"/>
      <c r="EK817" s="682"/>
      <c r="EL817" s="682"/>
      <c r="EM817" s="682"/>
      <c r="EN817" s="682"/>
      <c r="EO817" s="682"/>
      <c r="EP817" s="682"/>
      <c r="EQ817" s="682"/>
      <c r="ER817" s="682"/>
    </row>
    <row r="818" ht="20.5" customHeight="1" spans="107:148" x14ac:dyDescent="0.25">
      <c r="DC818" s="726">
        <v>1995</v>
      </c>
      <c r="DD818" s="473">
        <v>1</v>
      </c>
      <c r="DE818" s="53">
        <v>1</v>
      </c>
      <c r="DF818" s="757"/>
      <c r="DZ818" s="481">
        <v>1995</v>
      </c>
      <c r="EA818" s="547">
        <f>DW778</f>
        <v>5306</v>
      </c>
      <c r="EB818" s="315">
        <f t="array" ref="EB818:EB839">TRANSPOSE(U154:AP154)</f>
        <v>1</v>
      </c>
      <c r="EC818" s="55">
        <f>DX778</f>
        <v>2767.6205</v>
      </c>
      <c r="ED818" s="57">
        <f t="shared" ref="ED818:ED839" si="314">EC818/EA818</f>
        <v>0.5216020542781756</v>
      </c>
      <c r="EE818" s="75">
        <f t="shared" ref="EE818:EE839" si="315">DX778/DW778</f>
        <v>0.5216020542781756</v>
      </c>
      <c r="EH818" s="682"/>
      <c r="EI818" s="682"/>
      <c r="EJ818" s="682"/>
      <c r="EK818" s="682"/>
      <c r="EL818" s="682"/>
      <c r="EM818" s="682"/>
      <c r="EN818" s="682"/>
      <c r="EO818" s="682"/>
      <c r="EP818" s="682"/>
      <c r="EQ818" s="682"/>
      <c r="ER818" s="682"/>
    </row>
    <row r="819" ht="20.5" customHeight="1" spans="107:148" x14ac:dyDescent="0.25">
      <c r="DC819" s="726">
        <v>1996</v>
      </c>
      <c r="DD819" s="53">
        <v>1.3890656660960248</v>
      </c>
      <c r="DE819" s="53">
        <v>1.4580159268698065</v>
      </c>
      <c r="DF819" s="758"/>
      <c r="DZ819" s="481">
        <v>1996</v>
      </c>
      <c r="EA819" s="547">
        <f t="shared" ref="EA819:EA839" si="316">EA$818*DB779</f>
        <v>5300.694</v>
      </c>
      <c r="EB819" s="57">
        <v>0.972</v>
      </c>
      <c r="EC819" s="55">
        <f t="shared" ref="EC819:EC839" si="317">EC$818*EB819</f>
        <v>2690.127126</v>
      </c>
      <c r="ED819" s="57">
        <f t="shared" si="314"/>
        <v>0.5075047014598465</v>
      </c>
      <c r="EE819" s="75">
        <f t="shared" si="315"/>
        <v>0.2906224100924866</v>
      </c>
      <c r="EH819" s="682"/>
      <c r="EI819" s="682"/>
      <c r="EJ819" s="682"/>
      <c r="EK819" s="682"/>
      <c r="EL819" s="682"/>
      <c r="EM819" s="682"/>
      <c r="EN819" s="682"/>
      <c r="EO819" s="682"/>
      <c r="EP819" s="682"/>
      <c r="EQ819" s="682"/>
      <c r="ER819" s="682"/>
    </row>
    <row r="820" ht="20.5" customHeight="1" spans="107:148" x14ac:dyDescent="0.25">
      <c r="DC820" s="726">
        <v>1997</v>
      </c>
      <c r="DD820" s="53">
        <v>1.5288420201321875</v>
      </c>
      <c r="DE820" s="53">
        <v>1.6775696170093488</v>
      </c>
      <c r="DF820" s="758"/>
      <c r="DZ820" s="481">
        <v>1997</v>
      </c>
      <c r="EA820" s="547">
        <f t="shared" si="316"/>
        <v>5279.491224</v>
      </c>
      <c r="EB820" s="57">
        <v>0.985608</v>
      </c>
      <c r="EC820" s="55">
        <f t="shared" si="317"/>
        <v>2727.788905764</v>
      </c>
      <c r="ED820" s="57">
        <f t="shared" si="314"/>
        <v>0.5166764731729763</v>
      </c>
      <c r="EE820" s="75">
        <f t="shared" si="315"/>
        <v>0.32571446678195354</v>
      </c>
      <c r="EH820" s="682"/>
      <c r="EI820" s="682"/>
      <c r="EJ820" s="682"/>
      <c r="EK820" s="682"/>
      <c r="EL820" s="682"/>
      <c r="EM820" s="682"/>
      <c r="EN820" s="682"/>
      <c r="EO820" s="682"/>
      <c r="EP820" s="682"/>
      <c r="EQ820" s="682"/>
      <c r="ER820" s="682"/>
    </row>
    <row r="821" ht="20.5" customHeight="1" spans="107:148" x14ac:dyDescent="0.25">
      <c r="DC821" s="726">
        <v>1998</v>
      </c>
      <c r="DD821" s="53">
        <v>1.6012135978440234</v>
      </c>
      <c r="DE821" s="53">
        <v>1.988574685283935</v>
      </c>
      <c r="DF821" s="758"/>
      <c r="DZ821" s="481">
        <v>1998</v>
      </c>
      <c r="EA821" s="547">
        <f t="shared" si="316"/>
        <v>5263.652750328</v>
      </c>
      <c r="EB821" s="57">
        <v>0.935341992</v>
      </c>
      <c r="EC821" s="55">
        <f t="shared" si="317"/>
        <v>2588.671671570036</v>
      </c>
      <c r="ED821" s="57">
        <f t="shared" si="314"/>
        <v>0.4918013771726725</v>
      </c>
      <c r="EE821" s="75">
        <f t="shared" si="315"/>
        <v>0.3238060212365148</v>
      </c>
      <c r="EH821" s="682"/>
      <c r="EI821" s="682"/>
      <c r="EJ821" s="682"/>
      <c r="EK821" s="682"/>
      <c r="EL821" s="682"/>
      <c r="EM821" s="682"/>
      <c r="EN821" s="682"/>
      <c r="EO821" s="682"/>
      <c r="EP821" s="682"/>
      <c r="EQ821" s="682"/>
      <c r="ER821" s="682"/>
    </row>
    <row r="822" ht="20.5" customHeight="1" spans="107:148" x14ac:dyDescent="0.25">
      <c r="DC822" s="726">
        <v>1999</v>
      </c>
      <c r="DD822" s="53">
        <v>2.761451251183235</v>
      </c>
      <c r="DE822" s="53">
        <v>3.4280333525379536</v>
      </c>
      <c r="DF822" s="758"/>
      <c r="DZ822" s="481">
        <v>1999</v>
      </c>
      <c r="EA822" s="547">
        <f t="shared" si="316"/>
        <v>5274.180055828657</v>
      </c>
      <c r="EB822" s="57">
        <v>0.9895918275360001</v>
      </c>
      <c r="EC822" s="55">
        <f t="shared" si="317"/>
        <v>2738.8146285210983</v>
      </c>
      <c r="ED822" s="57">
        <f t="shared" si="314"/>
        <v>0.5192872824837201</v>
      </c>
      <c r="EE822" s="75">
        <f t="shared" si="315"/>
        <v>0.5828269783012962</v>
      </c>
      <c r="EH822" s="682"/>
      <c r="EI822" s="682"/>
      <c r="EJ822" s="682"/>
      <c r="EK822" s="682"/>
      <c r="EL822" s="682"/>
      <c r="EM822" s="682"/>
      <c r="EN822" s="682"/>
      <c r="EO822" s="682"/>
      <c r="EP822" s="682"/>
      <c r="EQ822" s="682"/>
      <c r="ER822" s="682"/>
    </row>
    <row r="823" ht="20.5" customHeight="1" spans="107:148" x14ac:dyDescent="0.25">
      <c r="DC823" s="726">
        <v>2000</v>
      </c>
      <c r="DD823" s="53">
        <v>3.8813756116757316</v>
      </c>
      <c r="DE823" s="53">
        <v>4.720334553021763</v>
      </c>
      <c r="DF823" s="758"/>
      <c r="DZ823" s="481">
        <v>2000</v>
      </c>
      <c r="EA823" s="547">
        <f t="shared" si="316"/>
        <v>5300.5509561078</v>
      </c>
      <c r="EB823" s="57">
        <v>1.0826134593243841</v>
      </c>
      <c r="EC823" s="55">
        <f t="shared" si="317"/>
        <v>2996.263203602082</v>
      </c>
      <c r="ED823" s="57">
        <f t="shared" si="314"/>
        <v>0.5652739174499402</v>
      </c>
      <c r="EE823" s="75">
        <f t="shared" si="315"/>
        <v>0.7187478240952817</v>
      </c>
      <c r="EH823" s="682"/>
      <c r="EI823" s="682"/>
      <c r="EJ823" s="682"/>
      <c r="EK823" s="682"/>
      <c r="EL823" s="682"/>
      <c r="EM823" s="682"/>
      <c r="EN823" s="682"/>
      <c r="EO823" s="682"/>
      <c r="EP823" s="682"/>
      <c r="EQ823" s="682"/>
      <c r="ER823" s="682"/>
    </row>
    <row r="824" ht="20.5" customHeight="1" spans="107:148" x14ac:dyDescent="0.25">
      <c r="DC824" s="726">
        <v>2001</v>
      </c>
      <c r="DD824" s="53">
        <v>4.924455543275788</v>
      </c>
      <c r="DE824" s="53">
        <v>5.4982302967459225</v>
      </c>
      <c r="DF824" s="758"/>
      <c r="DZ824" s="481">
        <v>2001</v>
      </c>
      <c r="EA824" s="547">
        <f t="shared" si="316"/>
        <v>5348.25591471277</v>
      </c>
      <c r="EB824" s="57">
        <v>1.1356615188312789</v>
      </c>
      <c r="EC824" s="55">
        <f t="shared" si="317"/>
        <v>3143.0801005785834</v>
      </c>
      <c r="ED824" s="57">
        <f t="shared" si="314"/>
        <v>0.587683190688788</v>
      </c>
      <c r="EE824" s="75">
        <f t="shared" si="315"/>
        <v>0.7866435115150967</v>
      </c>
      <c r="EH824" s="682"/>
      <c r="EI824" s="682"/>
      <c r="EJ824" s="682"/>
      <c r="EK824" s="682"/>
      <c r="EL824" s="682"/>
      <c r="EM824" s="682"/>
      <c r="EN824" s="682"/>
      <c r="EO824" s="682"/>
      <c r="EP824" s="682"/>
      <c r="EQ824" s="682"/>
      <c r="ER824" s="682"/>
    </row>
    <row r="825" ht="20.5" customHeight="1" spans="107:148" x14ac:dyDescent="0.25">
      <c r="DC825" s="726">
        <v>2002</v>
      </c>
      <c r="DD825" s="53">
        <v>5.507600378283486</v>
      </c>
      <c r="DE825" s="53">
        <v>6.352763936872314</v>
      </c>
      <c r="DF825" s="758"/>
      <c r="DZ825" s="481">
        <v>2002</v>
      </c>
      <c r="EA825" s="547">
        <f t="shared" si="316"/>
        <v>5401.7384738598985</v>
      </c>
      <c r="EB825" s="57">
        <v>1.1856306256598552</v>
      </c>
      <c r="EC825" s="55">
        <f t="shared" si="317"/>
        <v>3281.3756250040415</v>
      </c>
      <c r="ED825" s="57">
        <f t="shared" si="314"/>
        <v>0.6074665852268265</v>
      </c>
      <c r="EE825" s="75">
        <f t="shared" si="315"/>
        <v>0.7766228807662395</v>
      </c>
      <c r="EH825" s="682"/>
      <c r="EI825" s="682"/>
      <c r="EJ825" s="682"/>
      <c r="EK825" s="682"/>
      <c r="EL825" s="682"/>
      <c r="EM825" s="682"/>
      <c r="EN825" s="682"/>
      <c r="EO825" s="682"/>
      <c r="EP825" s="682"/>
      <c r="EQ825" s="682"/>
      <c r="ER825" s="682"/>
    </row>
    <row r="826" ht="20.5" customHeight="1" spans="107:148" x14ac:dyDescent="0.25">
      <c r="DC826" s="726">
        <v>2003</v>
      </c>
      <c r="DD826" s="53">
        <v>6.325509783187269</v>
      </c>
      <c r="DE826" s="53">
        <v>7.227869303576128</v>
      </c>
      <c r="DF826" s="758"/>
      <c r="DZ826" s="481">
        <v>2003</v>
      </c>
      <c r="EA826" s="547">
        <f t="shared" si="316"/>
        <v>5471.961074020076</v>
      </c>
      <c r="EB826" s="57">
        <v>1.2757385532100043</v>
      </c>
      <c r="EC826" s="55">
        <f t="shared" si="317"/>
        <v>3530.7601725043487</v>
      </c>
      <c r="ED826" s="57">
        <f t="shared" si="314"/>
        <v>0.6452458496585048</v>
      </c>
      <c r="EE826" s="75">
        <f t="shared" si="315"/>
        <v>0.7673518007458183</v>
      </c>
      <c r="EH826" s="682"/>
      <c r="EI826" s="682"/>
      <c r="EJ826" s="682"/>
      <c r="EK826" s="682"/>
      <c r="EL826" s="682"/>
      <c r="EM826" s="682"/>
      <c r="EN826" s="682"/>
      <c r="EO826" s="682"/>
      <c r="EP826" s="682"/>
      <c r="EQ826" s="682"/>
      <c r="ER826" s="682"/>
    </row>
    <row r="827" ht="20.5" customHeight="1" spans="107:148" x14ac:dyDescent="0.25">
      <c r="DC827" s="726">
        <v>2004</v>
      </c>
      <c r="DD827" s="53">
        <v>7.300312186990133</v>
      </c>
      <c r="DE827" s="53">
        <v>8.69185776379466</v>
      </c>
      <c r="DF827" s="758"/>
      <c r="DZ827" s="481">
        <v>2004</v>
      </c>
      <c r="EA827" s="547">
        <f t="shared" si="316"/>
        <v>5559.512451204397</v>
      </c>
      <c r="EB827" s="57">
        <v>1.3777976374668046</v>
      </c>
      <c r="EC827" s="55">
        <f t="shared" si="317"/>
        <v>3813.2209863046965</v>
      </c>
      <c r="ED827" s="57">
        <f t="shared" si="314"/>
        <v>0.6858912575110091</v>
      </c>
      <c r="EE827" s="75">
        <f t="shared" si="315"/>
        <v>0.8456334977347021</v>
      </c>
      <c r="EH827" s="682"/>
      <c r="EI827" s="682"/>
      <c r="EJ827" s="682"/>
      <c r="EK827" s="682"/>
      <c r="EL827" s="682"/>
      <c r="EM827" s="682"/>
      <c r="EN827" s="682"/>
      <c r="EO827" s="682"/>
      <c r="EP827" s="682"/>
      <c r="EQ827" s="682"/>
      <c r="ER827" s="682"/>
    </row>
    <row r="828" ht="22.75" customHeight="1" spans="107:148" x14ac:dyDescent="0.25">
      <c r="DC828" s="726">
        <v>2005</v>
      </c>
      <c r="DD828" s="53">
        <v>8.79079082161258</v>
      </c>
      <c r="DE828" s="53">
        <v>10.367609893058376</v>
      </c>
      <c r="DF828" s="758"/>
      <c r="DZ828" s="481">
        <v>2005</v>
      </c>
      <c r="EA828" s="547">
        <f t="shared" si="316"/>
        <v>5665.143187777281</v>
      </c>
      <c r="EB828" s="57">
        <v>1.4563321028024123</v>
      </c>
      <c r="EC828" s="55">
        <f t="shared" si="317"/>
        <v>4030.5745825240638</v>
      </c>
      <c r="ED828" s="57">
        <f t="shared" si="314"/>
        <v>0.7114691454260417</v>
      </c>
      <c r="EE828" s="75">
        <f t="shared" si="315"/>
        <v>0.892191690364872</v>
      </c>
      <c r="EH828" s="682"/>
      <c r="EI828" s="682"/>
      <c r="EJ828" s="682"/>
      <c r="EK828" s="682"/>
      <c r="EL828" s="682"/>
      <c r="EM828" s="682"/>
      <c r="EN828" s="682"/>
      <c r="EO828" s="682"/>
      <c r="EP828" s="754" t="s">
        <v>815</v>
      </c>
      <c r="EQ828" s="682"/>
      <c r="ER828" s="682"/>
    </row>
    <row r="829" ht="20.5" customHeight="1" spans="107:148" x14ac:dyDescent="0.25">
      <c r="DC829" s="726">
        <v>2006</v>
      </c>
      <c r="DD829" s="53">
        <v>10.077706332186347</v>
      </c>
      <c r="DE829" s="53">
        <v>11.93524305499237</v>
      </c>
      <c r="DF829" s="758"/>
      <c r="DZ829" s="481">
        <v>2006</v>
      </c>
      <c r="EA829" s="547">
        <f t="shared" si="316"/>
        <v>5801.106624283936</v>
      </c>
      <c r="EB829" s="57">
        <v>1.585945659951827</v>
      </c>
      <c r="EC829" s="55">
        <f t="shared" si="317"/>
        <v>4389.295720368706</v>
      </c>
      <c r="ED829" s="57">
        <f t="shared" si="314"/>
        <v>0.7566307611024994</v>
      </c>
      <c r="EE829" s="75">
        <f t="shared" si="315"/>
        <v>0.9733594411337362</v>
      </c>
      <c r="EH829" s="682"/>
      <c r="EI829" s="682"/>
      <c r="EJ829" s="682"/>
      <c r="EK829" s="682"/>
      <c r="EL829" s="682"/>
      <c r="EM829" s="682"/>
      <c r="EN829" s="682"/>
      <c r="EO829" s="682"/>
      <c r="EP829" s="682"/>
      <c r="EQ829" s="682"/>
      <c r="ER829" s="682"/>
    </row>
    <row r="830" ht="20.5" customHeight="1" spans="107:148" x14ac:dyDescent="0.25">
      <c r="DC830" s="726">
        <v>2007</v>
      </c>
      <c r="DD830" s="53">
        <v>11.630372067549995</v>
      </c>
      <c r="DE830" s="53">
        <v>13.58722463070583</v>
      </c>
      <c r="DF830" s="758"/>
      <c r="DZ830" s="481">
        <v>2007</v>
      </c>
      <c r="EA830" s="547">
        <f t="shared" si="316"/>
        <v>5980.940929636738</v>
      </c>
      <c r="EB830" s="57">
        <v>1.7255088780275878</v>
      </c>
      <c r="EC830" s="55">
        <f t="shared" si="317"/>
        <v>4775.553743761152</v>
      </c>
      <c r="ED830" s="57">
        <f t="shared" si="314"/>
        <v>0.7984619477007948</v>
      </c>
      <c r="EE830" s="75">
        <f t="shared" si="315"/>
        <v>0.9563036296799192</v>
      </c>
      <c r="EH830" s="682"/>
      <c r="EI830" s="682"/>
      <c r="EJ830" s="682"/>
      <c r="EK830" s="682"/>
      <c r="EL830" s="682"/>
      <c r="EM830" s="682"/>
      <c r="EN830" s="682"/>
      <c r="EO830" s="682"/>
      <c r="EP830" s="682"/>
      <c r="EQ830" s="682"/>
      <c r="ER830" s="682"/>
    </row>
    <row r="831" ht="20.5" customHeight="1" spans="107:148" x14ac:dyDescent="0.25">
      <c r="DC831" s="726">
        <v>2008</v>
      </c>
      <c r="DD831" s="53">
        <v>13.808577618030881</v>
      </c>
      <c r="DE831" s="53">
        <v>16.034757164997917</v>
      </c>
      <c r="DF831" s="758"/>
      <c r="DZ831" s="481">
        <v>2008</v>
      </c>
      <c r="EA831" s="547">
        <f t="shared" si="316"/>
        <v>6196.25480310366</v>
      </c>
      <c r="EB831" s="57">
        <v>1.8117843219289673</v>
      </c>
      <c r="EC831" s="55">
        <f t="shared" si="317"/>
        <v>5014.33143094921</v>
      </c>
      <c r="ED831" s="57">
        <f t="shared" si="314"/>
        <v>0.8092519740210758</v>
      </c>
      <c r="EE831" s="75">
        <f t="shared" si="315"/>
        <v>0.961780300079251</v>
      </c>
      <c r="EH831" s="682"/>
      <c r="EI831" s="682"/>
      <c r="EJ831" s="682"/>
      <c r="EK831" s="682"/>
      <c r="EL831" s="682"/>
      <c r="EM831" s="682"/>
      <c r="EN831" s="682"/>
      <c r="EO831" s="682"/>
      <c r="EP831" s="682"/>
      <c r="EQ831" s="682"/>
      <c r="ER831" s="682"/>
    </row>
    <row r="832" ht="20.5" customHeight="1" spans="107:148" x14ac:dyDescent="0.25">
      <c r="DC832" s="726">
        <v>2009</v>
      </c>
      <c r="DD832" s="53">
        <v>13.96475603527971</v>
      </c>
      <c r="DE832" s="53">
        <v>16.36851650284715</v>
      </c>
      <c r="DF832" s="758"/>
      <c r="DZ832" s="481">
        <v>2009</v>
      </c>
      <c r="EA832" s="547">
        <f t="shared" si="316"/>
        <v>6394.534956802978</v>
      </c>
      <c r="EB832" s="57">
        <v>1.6777122821062238</v>
      </c>
      <c r="EC832" s="55">
        <f t="shared" si="317"/>
        <v>4643.270905058968</v>
      </c>
      <c r="ED832" s="57">
        <f t="shared" si="314"/>
        <v>0.7261311317282134</v>
      </c>
      <c r="EE832" s="75">
        <f t="shared" si="315"/>
        <v>0.8276311392849024</v>
      </c>
      <c r="EH832" s="682"/>
      <c r="EI832" s="682"/>
      <c r="EJ832" s="682"/>
      <c r="EK832" s="682"/>
      <c r="EL832" s="682"/>
      <c r="EM832" s="682"/>
      <c r="EN832" s="682"/>
      <c r="EO832" s="682"/>
      <c r="EP832" s="682"/>
      <c r="EQ832" s="682"/>
      <c r="ER832" s="682"/>
    </row>
    <row r="833" ht="20.5" customHeight="1" spans="107:148" x14ac:dyDescent="0.25">
      <c r="DC833" s="726">
        <v>2010</v>
      </c>
      <c r="DD833" s="53">
        <v>16.223531809175668</v>
      </c>
      <c r="DE833" s="53">
        <v>18.69136129929928</v>
      </c>
      <c r="DF833" s="758"/>
      <c r="DZ833" s="481">
        <v>2010</v>
      </c>
      <c r="EA833" s="547">
        <f t="shared" si="316"/>
        <v>6586.371005507067</v>
      </c>
      <c r="EB833" s="57">
        <v>1.761597896211535</v>
      </c>
      <c r="EC833" s="55">
        <f t="shared" si="317"/>
        <v>4875.434450311916</v>
      </c>
      <c r="ED833" s="57">
        <f t="shared" si="314"/>
        <v>0.7402307653540039</v>
      </c>
      <c r="EE833" s="75">
        <f t="shared" si="315"/>
        <v>0.8805464340136931</v>
      </c>
      <c r="EH833" s="682"/>
      <c r="EI833" s="682"/>
      <c r="EJ833" s="682"/>
      <c r="EK833" s="682"/>
      <c r="EL833" s="682"/>
      <c r="EM833" s="682"/>
      <c r="EN833" s="682"/>
      <c r="EO833" s="682"/>
      <c r="EP833" s="682"/>
      <c r="EQ833" s="682"/>
      <c r="ER833" s="682"/>
    </row>
    <row r="834" ht="20.5" customHeight="1" spans="107:148" x14ac:dyDescent="0.25">
      <c r="DC834" s="726">
        <v>2011</v>
      </c>
      <c r="DD834" s="53">
        <v>18.09503717757504</v>
      </c>
      <c r="DE834" s="53">
        <v>23.32851881806769</v>
      </c>
      <c r="DF834" s="758"/>
      <c r="DZ834" s="481">
        <v>2011</v>
      </c>
      <c r="EA834" s="547">
        <f t="shared" si="316"/>
        <v>6849.8258457273505</v>
      </c>
      <c r="EB834" s="57">
        <v>1.837346605748631</v>
      </c>
      <c r="EC834" s="55">
        <f t="shared" si="317"/>
        <v>5085.078131675329</v>
      </c>
      <c r="ED834" s="57">
        <f t="shared" si="314"/>
        <v>0.7423660464079096</v>
      </c>
      <c r="EE834" s="75">
        <f t="shared" si="315"/>
        <v>0.9348097767613264</v>
      </c>
      <c r="EH834" s="682"/>
      <c r="EI834" s="682"/>
      <c r="EJ834" s="682"/>
      <c r="EK834" s="682"/>
      <c r="EL834" s="682"/>
      <c r="EM834" s="682"/>
      <c r="EN834" s="682"/>
      <c r="EO834" s="682"/>
      <c r="EP834" s="682"/>
      <c r="EQ834" s="682"/>
      <c r="ER834" s="682"/>
    </row>
    <row r="835" ht="20.5" customHeight="1" spans="107:148" x14ac:dyDescent="0.25">
      <c r="DC835" s="726">
        <v>2012</v>
      </c>
      <c r="DD835" s="53">
        <v>19.23249446463563</v>
      </c>
      <c r="DE835" s="53">
        <v>25.448132013167307</v>
      </c>
      <c r="DF835" s="758"/>
      <c r="DZ835" s="481">
        <v>2012</v>
      </c>
      <c r="EA835" s="547">
        <f t="shared" si="316"/>
        <v>7144.3683570936255</v>
      </c>
      <c r="EB835" s="57">
        <v>1.9090031233728277</v>
      </c>
      <c r="EC835" s="55">
        <f t="shared" si="317"/>
        <v>5283.396178810667</v>
      </c>
      <c r="ED835" s="57">
        <f t="shared" si="314"/>
        <v>0.7395190050027021</v>
      </c>
      <c r="EE835" s="75">
        <f t="shared" si="315"/>
        <v>0.9325728133323438</v>
      </c>
      <c r="EH835" s="682"/>
      <c r="EI835" s="682"/>
      <c r="EJ835" s="682"/>
      <c r="EK835" s="682"/>
      <c r="EL835" s="682"/>
      <c r="EM835" s="682"/>
      <c r="EN835" s="682"/>
      <c r="EO835" s="682"/>
      <c r="EP835" s="682"/>
      <c r="EQ835" s="682"/>
      <c r="ER835" s="682"/>
    </row>
    <row r="836" ht="20.5" customHeight="1" spans="107:148" x14ac:dyDescent="0.25">
      <c r="DC836" s="726">
        <v>2013</v>
      </c>
      <c r="DD836" s="53">
        <v>20.58724351980391</v>
      </c>
      <c r="DE836" s="53">
        <v>26.824707619879</v>
      </c>
      <c r="DF836" s="758"/>
      <c r="DZ836" s="481">
        <v>2013</v>
      </c>
      <c r="EA836" s="547">
        <f t="shared" si="316"/>
        <v>7437.2874597344635</v>
      </c>
      <c r="EB836" s="57">
        <v>1.949092188963657</v>
      </c>
      <c r="EC836" s="55">
        <f t="shared" si="317"/>
        <v>5394.347498565691</v>
      </c>
      <c r="ED836" s="57">
        <f t="shared" si="314"/>
        <v>0.7253111470775782</v>
      </c>
      <c r="EE836" s="75">
        <f t="shared" si="315"/>
        <v>0.9224303647017588</v>
      </c>
      <c r="EH836" s="682"/>
      <c r="EI836" s="682"/>
      <c r="EJ836" s="682"/>
      <c r="EK836" s="682"/>
      <c r="EL836" s="682"/>
      <c r="EM836" s="682"/>
      <c r="EN836" s="682"/>
      <c r="EO836" s="682"/>
      <c r="EP836" s="682"/>
      <c r="EQ836" s="682"/>
      <c r="ER836" s="682"/>
    </row>
    <row r="837" ht="20.5" customHeight="1" spans="107:148" x14ac:dyDescent="0.25">
      <c r="DC837" s="726">
        <v>2014</v>
      </c>
      <c r="DD837" s="53">
        <v>22.05840052773225</v>
      </c>
      <c r="DE837" s="53">
        <v>28.784997864196892</v>
      </c>
      <c r="DF837" s="758"/>
      <c r="DZ837" s="481">
        <v>2014</v>
      </c>
      <c r="EA837" s="547">
        <f t="shared" si="316"/>
        <v>7712.467095744638</v>
      </c>
      <c r="EB837" s="57">
        <v>1.9646849264753663</v>
      </c>
      <c r="EC837" s="55">
        <f t="shared" si="317"/>
        <v>5437.502278554217</v>
      </c>
      <c r="ED837" s="57">
        <f t="shared" si="314"/>
        <v>0.7050276145170674</v>
      </c>
      <c r="EE837" s="75">
        <f t="shared" si="315"/>
        <v>0.9010710167537136</v>
      </c>
      <c r="EH837" s="682"/>
      <c r="EI837" s="682"/>
      <c r="EJ837" s="682"/>
      <c r="EK837" s="682"/>
      <c r="EL837" s="682"/>
      <c r="EM837" s="682"/>
      <c r="EN837" s="682"/>
      <c r="EO837" s="682"/>
      <c r="EP837" s="682"/>
      <c r="EQ837" s="682"/>
      <c r="ER837" s="682"/>
    </row>
    <row r="838" ht="20.5" customHeight="1" spans="107:148" x14ac:dyDescent="0.25">
      <c r="DC838" s="726">
        <v>2015</v>
      </c>
      <c r="DD838" s="53">
        <v>24.641576618684894</v>
      </c>
      <c r="DE838" s="53">
        <v>30.966739453891172</v>
      </c>
      <c r="DF838" s="758"/>
      <c r="DZ838" s="481">
        <v>2015</v>
      </c>
      <c r="EA838" s="547">
        <f t="shared" si="316"/>
        <v>7959.266042808467</v>
      </c>
      <c r="EB838" s="57">
        <v>1.9391440224311864</v>
      </c>
      <c r="EC838" s="55">
        <f t="shared" si="317"/>
        <v>5366.814748933011</v>
      </c>
      <c r="ED838" s="57">
        <f t="shared" si="314"/>
        <v>0.674285131325916</v>
      </c>
      <c r="EE838" s="75">
        <f t="shared" si="315"/>
        <v>0.908110748172344</v>
      </c>
      <c r="EH838" s="682"/>
      <c r="EI838" s="682"/>
      <c r="EJ838" s="682"/>
      <c r="EK838" s="682"/>
      <c r="EL838" s="682"/>
      <c r="EM838" s="682"/>
      <c r="EN838" s="682"/>
      <c r="EO838" s="682"/>
      <c r="EP838" s="682"/>
      <c r="EQ838" s="682"/>
      <c r="ER838" s="682"/>
    </row>
    <row r="839" ht="20.5" customHeight="1" spans="107:148" x14ac:dyDescent="0.25">
      <c r="DC839" s="726">
        <v>2016</v>
      </c>
      <c r="DD839" s="53">
        <v>25.860963953898047</v>
      </c>
      <c r="DE839" s="53">
        <v>31.95906212797086</v>
      </c>
      <c r="DF839" s="758"/>
      <c r="DZ839" s="481">
        <v>2016</v>
      </c>
      <c r="EA839" s="547">
        <f t="shared" si="316"/>
        <v>8269.677418477997</v>
      </c>
      <c r="EB839" s="57">
        <v>1.9624137507003607</v>
      </c>
      <c r="EC839" s="55">
        <f t="shared" si="317"/>
        <v>5431.2165259202075</v>
      </c>
      <c r="ED839" s="57">
        <f t="shared" si="314"/>
        <v>0.656762803562875</v>
      </c>
      <c r="EE839" s="75">
        <f t="shared" si="315"/>
        <v>0.8388939172537131</v>
      </c>
      <c r="EH839" s="682"/>
      <c r="EI839" s="682"/>
      <c r="EJ839" s="682"/>
      <c r="EK839" s="682"/>
      <c r="EL839" s="682"/>
      <c r="EM839" s="682"/>
      <c r="EN839" s="682"/>
      <c r="EO839" s="682"/>
      <c r="EP839" s="682"/>
      <c r="EQ839" s="682"/>
      <c r="ER839" s="682"/>
    </row>
    <row r="840" ht="20.5" customHeight="1" spans="107:148" x14ac:dyDescent="0.25">
      <c r="DC840" s="726">
        <v>2017</v>
      </c>
      <c r="DD840" s="53">
        <v>27.25581282397314</v>
      </c>
      <c r="DE840" s="53">
        <v>33.68181755717029</v>
      </c>
      <c r="DF840" s="758"/>
      <c r="DZ840" s="481">
        <v>2017</v>
      </c>
      <c r="EA840" s="487"/>
      <c r="EB840" s="114"/>
      <c r="EC840" s="326"/>
      <c r="ED840" s="326"/>
      <c r="EE840" s="576"/>
      <c r="EH840" s="682"/>
      <c r="EI840" s="682"/>
      <c r="EJ840" s="682"/>
      <c r="EK840" s="682"/>
      <c r="EL840" s="682"/>
      <c r="EM840" s="682"/>
      <c r="EN840" s="682"/>
      <c r="EO840" s="682"/>
      <c r="EP840" s="682"/>
      <c r="EQ840" s="682"/>
      <c r="ER840" s="682"/>
    </row>
    <row r="841" ht="20.5" customHeight="1" spans="107:148" x14ac:dyDescent="0.25">
      <c r="DC841" s="726">
        <v>2018</v>
      </c>
      <c r="DD841" s="53">
        <v>29.595988664938762</v>
      </c>
      <c r="DE841" s="53">
        <v>37.133916580663836</v>
      </c>
      <c r="DF841" s="758"/>
      <c r="DZ841" s="481">
        <v>2018</v>
      </c>
      <c r="EA841" s="487"/>
      <c r="EB841" s="114"/>
      <c r="EC841" s="326"/>
      <c r="ED841" s="326"/>
      <c r="EE841" s="576"/>
      <c r="EH841" s="682"/>
      <c r="EI841" s="682"/>
      <c r="EJ841" s="682"/>
      <c r="EK841" s="682"/>
      <c r="EL841" s="682"/>
      <c r="EM841" s="682"/>
      <c r="EN841" s="682"/>
      <c r="EO841" s="682"/>
      <c r="EP841" s="682"/>
      <c r="EQ841" s="682"/>
      <c r="ER841" s="682"/>
    </row>
    <row r="842" ht="17.5" customHeight="1" spans="107:148" x14ac:dyDescent="0.25">
      <c r="DC842" s="726">
        <v>2019</v>
      </c>
      <c r="DD842" s="272"/>
      <c r="DE842" s="272"/>
      <c r="DF842" s="758"/>
      <c r="DZ842" s="481">
        <v>2019</v>
      </c>
      <c r="EA842" s="714"/>
      <c r="EB842" s="114"/>
      <c r="EC842" s="272"/>
      <c r="ED842" s="272"/>
      <c r="EE842" s="576"/>
      <c r="EH842" s="682"/>
      <c r="EI842" s="682"/>
      <c r="EJ842" s="682"/>
      <c r="EK842" s="682"/>
      <c r="EL842" s="682"/>
      <c r="EM842" s="682"/>
      <c r="EN842" s="682"/>
      <c r="EO842" s="682"/>
      <c r="EP842" s="682"/>
      <c r="EQ842" s="682"/>
      <c r="ER842" s="682"/>
    </row>
    <row r="843" ht="17.5" customHeight="1" spans="107:148" x14ac:dyDescent="0.25">
      <c r="DC843" s="726">
        <v>2020</v>
      </c>
      <c r="DD843" s="272"/>
      <c r="DE843" s="272"/>
      <c r="DF843" s="758"/>
      <c r="DZ843" s="481">
        <v>2020</v>
      </c>
      <c r="EA843" s="714"/>
      <c r="EB843" s="114"/>
      <c r="EC843" s="272"/>
      <c r="ED843" s="272"/>
      <c r="EE843" s="576"/>
      <c r="EH843" s="682"/>
      <c r="EI843" s="682"/>
      <c r="EJ843" s="682"/>
      <c r="EK843" s="682"/>
      <c r="EL843" s="682"/>
      <c r="EM843" s="682"/>
      <c r="EN843" s="682"/>
      <c r="EO843" s="682"/>
      <c r="EP843" s="682"/>
      <c r="EQ843" s="682"/>
      <c r="ER843" s="682"/>
    </row>
    <row r="844" ht="17.5" customHeight="1" spans="107:148" x14ac:dyDescent="0.25">
      <c r="DC844" s="726">
        <v>2021</v>
      </c>
      <c r="DD844" s="272"/>
      <c r="DE844" s="272"/>
      <c r="DF844" s="758"/>
      <c r="DZ844" s="481">
        <v>2021</v>
      </c>
      <c r="EA844" s="714"/>
      <c r="EB844" s="114"/>
      <c r="EC844" s="272"/>
      <c r="ED844" s="272"/>
      <c r="EE844" s="576"/>
      <c r="EH844" s="682"/>
      <c r="EI844" s="682"/>
      <c r="EJ844" s="682"/>
      <c r="EK844" s="682"/>
      <c r="EL844" s="682"/>
      <c r="EM844" s="682"/>
      <c r="EN844" s="682"/>
      <c r="EO844" s="682"/>
      <c r="EP844" s="682"/>
      <c r="EQ844" s="682"/>
      <c r="ER844" s="682"/>
    </row>
    <row r="845" ht="17.5" customHeight="1" spans="107:148" x14ac:dyDescent="0.25">
      <c r="DC845" s="726">
        <v>2022</v>
      </c>
      <c r="DD845" s="272"/>
      <c r="DE845" s="272"/>
      <c r="DF845" s="758"/>
      <c r="DZ845" s="481">
        <v>2022</v>
      </c>
      <c r="EA845" s="714"/>
      <c r="EB845" s="114"/>
      <c r="EC845" s="272"/>
      <c r="ED845" s="272"/>
      <c r="EE845" s="576"/>
      <c r="EH845" s="682"/>
      <c r="EI845" s="682"/>
      <c r="EJ845" s="682"/>
      <c r="EK845" s="682"/>
      <c r="EL845" s="682"/>
      <c r="EM845" s="682"/>
      <c r="EN845" s="682"/>
      <c r="EO845" s="682"/>
      <c r="EP845" s="682"/>
      <c r="EQ845" s="682"/>
      <c r="ER845" s="682"/>
    </row>
    <row r="846" ht="17.5" customHeight="1" spans="107:148" x14ac:dyDescent="0.25">
      <c r="DC846" s="726">
        <v>2023</v>
      </c>
      <c r="DD846" s="272"/>
      <c r="DE846" s="272"/>
      <c r="DF846" s="758"/>
      <c r="DZ846" s="481">
        <v>2023</v>
      </c>
      <c r="EA846" s="714"/>
      <c r="EB846" s="114"/>
      <c r="EC846" s="272"/>
      <c r="ED846" s="272"/>
      <c r="EE846" s="576"/>
      <c r="EH846" s="682"/>
      <c r="EI846" s="682"/>
      <c r="EJ846" s="682"/>
      <c r="EK846" s="682"/>
      <c r="EL846" s="682"/>
      <c r="EM846" s="682"/>
      <c r="EN846" s="682"/>
      <c r="EO846" s="682"/>
      <c r="EP846" s="682"/>
      <c r="EQ846" s="682"/>
      <c r="ER846" s="682"/>
    </row>
    <row r="847" ht="17.5" customHeight="1" spans="107:148" x14ac:dyDescent="0.25">
      <c r="DC847" s="726">
        <v>2024</v>
      </c>
      <c r="DD847" s="272"/>
      <c r="DE847" s="272"/>
      <c r="DF847" s="758"/>
      <c r="DZ847" s="481">
        <v>2024</v>
      </c>
      <c r="EA847" s="714"/>
      <c r="EB847" s="114"/>
      <c r="EC847" s="272"/>
      <c r="ED847" s="272"/>
      <c r="EE847" s="576"/>
      <c r="EH847" s="682"/>
      <c r="EI847" s="682"/>
      <c r="EJ847" s="682"/>
      <c r="EK847" s="682"/>
      <c r="EL847" s="682"/>
      <c r="EM847" s="682"/>
      <c r="EN847" s="682"/>
      <c r="EO847" s="682"/>
      <c r="EP847" s="682"/>
      <c r="EQ847" s="682"/>
      <c r="ER847" s="682"/>
    </row>
    <row r="848" ht="17.5" customHeight="1" spans="107:148" x14ac:dyDescent="0.25">
      <c r="DC848" s="726">
        <v>2025</v>
      </c>
      <c r="DD848" s="272"/>
      <c r="DE848" s="272"/>
      <c r="DF848" s="758"/>
      <c r="DZ848" s="481">
        <v>2025</v>
      </c>
      <c r="EA848" s="714"/>
      <c r="EB848" s="114"/>
      <c r="EC848" s="272"/>
      <c r="ED848" s="272"/>
      <c r="EE848" s="576"/>
      <c r="EH848" s="682"/>
      <c r="EI848" s="682"/>
      <c r="EJ848" s="682"/>
      <c r="EK848" s="682"/>
      <c r="EL848" s="682"/>
      <c r="EM848" s="682"/>
      <c r="EN848" s="682"/>
      <c r="EO848" s="682"/>
      <c r="EP848" s="682"/>
      <c r="EQ848" s="682"/>
      <c r="ER848" s="682"/>
    </row>
    <row r="849" ht="17.5" customHeight="1" spans="107:148" x14ac:dyDescent="0.25">
      <c r="DC849" s="726">
        <v>2026</v>
      </c>
      <c r="DD849" s="272"/>
      <c r="DE849" s="272"/>
      <c r="DF849" s="758"/>
      <c r="DZ849" s="481">
        <v>2026</v>
      </c>
      <c r="EA849" s="714"/>
      <c r="EB849" s="114"/>
      <c r="EC849" s="272"/>
      <c r="ED849" s="272"/>
      <c r="EE849" s="576"/>
      <c r="EH849" s="682"/>
      <c r="EI849" s="682"/>
      <c r="EJ849" s="682"/>
      <c r="EK849" s="682"/>
      <c r="EL849" s="682"/>
      <c r="EM849" s="682"/>
      <c r="EN849" s="682"/>
      <c r="EO849" s="682"/>
      <c r="EP849" s="682"/>
      <c r="EQ849" s="682"/>
      <c r="ER849" s="682"/>
    </row>
    <row r="850" ht="17.5" customHeight="1" spans="107:148" x14ac:dyDescent="0.25">
      <c r="DC850" s="726">
        <v>2027</v>
      </c>
      <c r="DD850" s="272"/>
      <c r="DE850" s="272"/>
      <c r="DF850" s="758"/>
      <c r="DZ850" s="481">
        <v>2027</v>
      </c>
      <c r="EA850" s="714"/>
      <c r="EB850" s="114"/>
      <c r="EC850" s="272"/>
      <c r="ED850" s="272"/>
      <c r="EE850" s="576"/>
      <c r="EH850" s="682"/>
      <c r="EI850" s="682"/>
      <c r="EJ850" s="682"/>
      <c r="EK850" s="682"/>
      <c r="EL850" s="682"/>
      <c r="EM850" s="682"/>
      <c r="EN850" s="682"/>
      <c r="EO850" s="682"/>
      <c r="EP850" s="682"/>
      <c r="EQ850" s="682"/>
      <c r="ER850" s="682"/>
    </row>
    <row r="851" ht="17.5" customHeight="1" spans="107:148" x14ac:dyDescent="0.25">
      <c r="DC851" s="726">
        <v>2028</v>
      </c>
      <c r="DD851" s="272"/>
      <c r="DE851" s="272"/>
      <c r="DF851" s="758"/>
      <c r="DZ851" s="481">
        <v>2028</v>
      </c>
      <c r="EA851" s="714"/>
      <c r="EB851" s="114"/>
      <c r="EC851" s="272"/>
      <c r="ED851" s="272"/>
      <c r="EE851" s="576"/>
      <c r="EH851" s="682"/>
      <c r="EI851" s="682"/>
      <c r="EJ851" s="682"/>
      <c r="EK851" s="682"/>
      <c r="EL851" s="682"/>
      <c r="EM851" s="682"/>
      <c r="EN851" s="682"/>
      <c r="EO851" s="682"/>
      <c r="EP851" s="682"/>
      <c r="EQ851" s="682"/>
      <c r="ER851" s="682"/>
    </row>
    <row r="852" ht="17.5" customHeight="1" spans="107:148" x14ac:dyDescent="0.25">
      <c r="DC852" s="726">
        <v>2029</v>
      </c>
      <c r="DD852" s="272"/>
      <c r="DE852" s="272"/>
      <c r="DF852" s="758"/>
      <c r="DZ852" s="481">
        <v>2029</v>
      </c>
      <c r="EA852" s="714"/>
      <c r="EB852" s="114"/>
      <c r="EC852" s="272"/>
      <c r="ED852" s="272"/>
      <c r="EE852" s="576"/>
      <c r="EH852" s="682"/>
      <c r="EI852" s="682"/>
      <c r="EJ852" s="682"/>
      <c r="EK852" s="682"/>
      <c r="EL852" s="682"/>
      <c r="EM852" s="682"/>
      <c r="EN852" s="682"/>
      <c r="EO852" s="682"/>
      <c r="EP852" s="682"/>
      <c r="EQ852" s="682"/>
      <c r="ER852" s="682"/>
    </row>
    <row r="853" ht="18" customHeight="1" spans="107:148" x14ac:dyDescent="0.25">
      <c r="DC853" s="729">
        <v>2030</v>
      </c>
      <c r="DD853" s="577"/>
      <c r="DE853" s="577"/>
      <c r="DF853" s="759"/>
      <c r="DZ853" s="512">
        <v>2030</v>
      </c>
      <c r="EA853" s="716"/>
      <c r="EB853" s="173"/>
      <c r="EC853" s="297"/>
      <c r="ED853" s="297"/>
      <c r="EE853" s="581"/>
      <c r="EH853" s="682"/>
      <c r="EI853" s="682"/>
      <c r="EJ853" s="682"/>
      <c r="EK853" s="682"/>
      <c r="EL853" s="682"/>
      <c r="EM853" s="682"/>
      <c r="EN853" s="682"/>
      <c r="EO853" s="682"/>
      <c r="EP853" s="682"/>
      <c r="EQ853" s="682"/>
      <c r="ER853" s="682"/>
    </row>
    <row r="855" ht="16.25" customHeight="1" x14ac:dyDescent="0.25"/>
    <row r="856" ht="17.5" customHeight="1" spans="105:132" x14ac:dyDescent="0.25">
      <c r="DA856" s="530" t="s">
        <v>13</v>
      </c>
      <c r="DB856" s="29" t="s">
        <v>822</v>
      </c>
      <c r="DC856" s="29" t="s">
        <v>823</v>
      </c>
      <c r="DD856" s="29" t="s">
        <v>824</v>
      </c>
      <c r="DE856" s="29" t="s">
        <v>824</v>
      </c>
      <c r="DF856" s="29" t="s">
        <v>789</v>
      </c>
      <c r="DW856" s="530" t="s">
        <v>13</v>
      </c>
      <c r="DX856" s="29" t="s">
        <v>825</v>
      </c>
      <c r="DY856" s="29" t="s">
        <v>826</v>
      </c>
      <c r="DZ856" s="29" t="s">
        <v>827</v>
      </c>
      <c r="EA856" s="29" t="s">
        <v>827</v>
      </c>
      <c r="EB856" s="29" t="s">
        <v>789</v>
      </c>
    </row>
    <row r="857" ht="18" customHeight="1" spans="105:132" x14ac:dyDescent="0.25">
      <c r="DA857" s="324">
        <v>43673</v>
      </c>
      <c r="DB857" s="724" t="s">
        <v>55</v>
      </c>
      <c r="DC857" s="570" t="s">
        <v>55</v>
      </c>
      <c r="DD857" s="656" t="s">
        <v>815</v>
      </c>
      <c r="DE857" s="656" t="s">
        <v>816</v>
      </c>
      <c r="DF857" s="724" t="s">
        <v>55</v>
      </c>
      <c r="DW857" s="129">
        <v>43682</v>
      </c>
      <c r="DX857" s="724" t="s">
        <v>55</v>
      </c>
      <c r="DY857" s="570" t="s">
        <v>55</v>
      </c>
      <c r="DZ857" s="656" t="s">
        <v>815</v>
      </c>
      <c r="EA857" s="656" t="s">
        <v>816</v>
      </c>
      <c r="EB857" s="724" t="s">
        <v>55</v>
      </c>
    </row>
    <row r="858" ht="17.5" customHeight="1" spans="105:132" x14ac:dyDescent="0.25">
      <c r="DA858" s="481">
        <v>1995</v>
      </c>
      <c r="DB858" s="321">
        <f t="array" ref="DB858:DB879">TRANSPOSE(U181:AP181)</f>
        <v>1</v>
      </c>
      <c r="DC858" s="322">
        <v>1</v>
      </c>
      <c r="DD858" s="322">
        <f>DB858</f>
        <v>1</v>
      </c>
      <c r="DE858" s="322"/>
      <c r="DF858" s="322"/>
      <c r="DW858" s="481">
        <v>1995</v>
      </c>
      <c r="DX858" s="321">
        <f t="array" ref="DX858:DX879">TRANSPOSE(U154:AP154)</f>
        <v>1</v>
      </c>
      <c r="DY858" s="322">
        <f t="array" ref="DY858:DY879">TRANSPOSE(U152:AP152)</f>
        <v>1</v>
      </c>
      <c r="DZ858" s="322">
        <v>1</v>
      </c>
      <c r="EA858" s="322"/>
      <c r="EB858" s="322">
        <f>DY858</f>
        <v>1</v>
      </c>
    </row>
    <row r="859" ht="17.5" customHeight="1" spans="105:132" x14ac:dyDescent="0.25">
      <c r="DA859" s="481">
        <v>1996</v>
      </c>
      <c r="DB859" s="57">
        <v>1.412247757097261</v>
      </c>
      <c r="DC859" s="57">
        <v>1.458015926869807</v>
      </c>
      <c r="DD859" s="326">
        <f>DB859</f>
        <v>1.412247757097261</v>
      </c>
      <c r="DE859" s="326"/>
      <c r="DF859" s="326"/>
      <c r="DW859" s="481">
        <v>1996</v>
      </c>
      <c r="DX859" s="57">
        <v>0.972</v>
      </c>
      <c r="DY859" s="57">
        <v>0.964</v>
      </c>
      <c r="DZ859" s="57">
        <f>DX859</f>
        <v>0.972</v>
      </c>
      <c r="EA859" s="326"/>
      <c r="EB859" s="57">
        <f>DY859</f>
        <v>0.964</v>
      </c>
    </row>
    <row r="860" ht="17.5" customHeight="1" spans="105:132" x14ac:dyDescent="0.25">
      <c r="DA860" s="481">
        <v>1997</v>
      </c>
      <c r="DB860" s="57">
        <v>1.5864611043969121</v>
      </c>
      <c r="DC860" s="57">
        <v>1.6775696170093486</v>
      </c>
      <c r="DD860" s="326">
        <f t="shared" ref="DD860:DD873" si="318">DB860</f>
        <v>1.5864611043969121</v>
      </c>
      <c r="DE860" s="326"/>
      <c r="DF860" s="326"/>
      <c r="DW860" s="481">
        <v>1997</v>
      </c>
      <c r="DX860" s="57">
        <v>0.985608</v>
      </c>
      <c r="DY860" s="57">
        <v>0.977496</v>
      </c>
      <c r="DZ860" s="57">
        <f t="shared" ref="DZ860:DZ873" si="319">DX860</f>
        <v>0.985608</v>
      </c>
      <c r="EA860" s="326"/>
      <c r="EB860" s="57">
        <f t="shared" ref="EB860:EB879" si="320">DY860</f>
        <v>0.977496</v>
      </c>
    </row>
    <row r="861" ht="17.5" customHeight="1" spans="105:132" x14ac:dyDescent="0.25">
      <c r="DA861" s="481">
        <v>1998</v>
      </c>
      <c r="DB861" s="57">
        <v>1.7669204828999698</v>
      </c>
      <c r="DC861" s="57">
        <v>1.988574685283935</v>
      </c>
      <c r="DD861" s="326">
        <f t="shared" si="318"/>
        <v>1.7669204828999698</v>
      </c>
      <c r="DE861" s="326"/>
      <c r="DF861" s="326"/>
      <c r="DW861" s="481">
        <v>1998</v>
      </c>
      <c r="DX861" s="57">
        <v>0.935341992</v>
      </c>
      <c r="DY861" s="57">
        <v>0.925688712</v>
      </c>
      <c r="DZ861" s="57">
        <f t="shared" si="319"/>
        <v>0.935341992</v>
      </c>
      <c r="EA861" s="326"/>
      <c r="EB861" s="57">
        <f t="shared" si="320"/>
        <v>0.925688712</v>
      </c>
    </row>
    <row r="862" ht="17.5" customHeight="1" spans="105:132" x14ac:dyDescent="0.25">
      <c r="DA862" s="481">
        <v>1999</v>
      </c>
      <c r="DB862" s="57">
        <v>3.031677249541913</v>
      </c>
      <c r="DC862" s="57">
        <v>3.4280333525379545</v>
      </c>
      <c r="DD862" s="326">
        <f t="shared" si="318"/>
        <v>3.031677249541913</v>
      </c>
      <c r="DE862" s="326"/>
      <c r="DF862" s="326"/>
      <c r="DW862" s="481">
        <v>1999</v>
      </c>
      <c r="DX862" s="57">
        <v>0.9895918275360001</v>
      </c>
      <c r="DY862" s="57">
        <v>0.9849327895680001</v>
      </c>
      <c r="DZ862" s="57">
        <f t="shared" si="319"/>
        <v>0.9895918275360001</v>
      </c>
      <c r="EA862" s="326"/>
      <c r="EB862" s="57">
        <f t="shared" si="320"/>
        <v>0.9849327895680001</v>
      </c>
    </row>
    <row r="863" ht="17.5" customHeight="1" spans="105:132" x14ac:dyDescent="0.25">
      <c r="DA863" s="481">
        <v>2000</v>
      </c>
      <c r="DB863" s="57">
        <v>4.189288839815487</v>
      </c>
      <c r="DC863" s="57">
        <v>4.720334553021764</v>
      </c>
      <c r="DD863" s="326">
        <f t="shared" si="318"/>
        <v>4.189288839815487</v>
      </c>
      <c r="DE863" s="326"/>
      <c r="DF863" s="326"/>
      <c r="DW863" s="481">
        <v>2000</v>
      </c>
      <c r="DX863" s="57">
        <v>1.0826134593243841</v>
      </c>
      <c r="DY863" s="57">
        <v>1.0834260685248003</v>
      </c>
      <c r="DZ863" s="57">
        <f t="shared" si="319"/>
        <v>1.0826134593243841</v>
      </c>
      <c r="EA863" s="326"/>
      <c r="EB863" s="57">
        <f t="shared" si="320"/>
        <v>1.0834260685248003</v>
      </c>
    </row>
    <row r="864" ht="17.5" customHeight="1" spans="105:132" x14ac:dyDescent="0.25">
      <c r="DA864" s="481">
        <v>2001</v>
      </c>
      <c r="DB864" s="57">
        <v>5.065982250044759</v>
      </c>
      <c r="DC864" s="57">
        <v>5.498230296745924</v>
      </c>
      <c r="DD864" s="326">
        <f t="shared" si="318"/>
        <v>5.065982250044759</v>
      </c>
      <c r="DE864" s="326"/>
      <c r="DF864" s="326"/>
      <c r="DW864" s="481">
        <v>2001</v>
      </c>
      <c r="DX864" s="57">
        <v>1.1356615188312789</v>
      </c>
      <c r="DY864" s="57">
        <v>1.138680798019565</v>
      </c>
      <c r="DZ864" s="57">
        <f t="shared" si="319"/>
        <v>1.1356615188312789</v>
      </c>
      <c r="EA864" s="326"/>
      <c r="EB864" s="57">
        <f t="shared" si="320"/>
        <v>1.138680798019565</v>
      </c>
    </row>
    <row r="865" ht="17.5" customHeight="1" spans="105:132" x14ac:dyDescent="0.25">
      <c r="DA865" s="481">
        <v>2002</v>
      </c>
      <c r="DB865" s="57">
        <v>5.7822315297952604</v>
      </c>
      <c r="DC865" s="57">
        <v>6.352729528641842</v>
      </c>
      <c r="DD865" s="326">
        <f t="shared" si="318"/>
        <v>5.7822315297952604</v>
      </c>
      <c r="DE865" s="326"/>
      <c r="DF865" s="326"/>
      <c r="DW865" s="481">
        <v>2002</v>
      </c>
      <c r="DX865" s="57">
        <v>1.1856306256598552</v>
      </c>
      <c r="DY865" s="57">
        <v>1.1921987955264846</v>
      </c>
      <c r="DZ865" s="57">
        <f t="shared" si="319"/>
        <v>1.1856306256598552</v>
      </c>
      <c r="EA865" s="326"/>
      <c r="EB865" s="57">
        <f t="shared" si="320"/>
        <v>1.1921987955264846</v>
      </c>
    </row>
    <row r="866" ht="17.5" customHeight="1" spans="105:132" x14ac:dyDescent="0.25">
      <c r="DA866" s="481">
        <v>2003</v>
      </c>
      <c r="DB866" s="57">
        <v>6.591523740762184</v>
      </c>
      <c r="DC866" s="57">
        <v>7.227860274382953</v>
      </c>
      <c r="DD866" s="326">
        <f t="shared" si="318"/>
        <v>6.591523740762184</v>
      </c>
      <c r="DE866" s="326"/>
      <c r="DF866" s="326"/>
      <c r="DW866" s="481">
        <v>2003</v>
      </c>
      <c r="DX866" s="57">
        <v>1.2757385532100043</v>
      </c>
      <c r="DY866" s="57">
        <v>1.279229307599918</v>
      </c>
      <c r="DZ866" s="57">
        <f t="shared" si="319"/>
        <v>1.2757385532100043</v>
      </c>
      <c r="EA866" s="326"/>
      <c r="EB866" s="57">
        <f t="shared" si="320"/>
        <v>1.279229307599918</v>
      </c>
    </row>
    <row r="867" ht="17.5" customHeight="1" spans="105:132" x14ac:dyDescent="0.25">
      <c r="DA867" s="481">
        <v>2004</v>
      </c>
      <c r="DB867" s="57">
        <v>7.7337827274937645</v>
      </c>
      <c r="DC867" s="57">
        <v>8.69186996402742</v>
      </c>
      <c r="DD867" s="326">
        <f t="shared" si="318"/>
        <v>7.7337827274937645</v>
      </c>
      <c r="DE867" s="326"/>
      <c r="DF867" s="326"/>
      <c r="DW867" s="481">
        <v>2004</v>
      </c>
      <c r="DX867" s="57">
        <v>1.3777976374668046</v>
      </c>
      <c r="DY867" s="57">
        <v>1.3713338177471122</v>
      </c>
      <c r="DZ867" s="57">
        <f t="shared" si="319"/>
        <v>1.3777976374668046</v>
      </c>
      <c r="EA867" s="326"/>
      <c r="EB867" s="57">
        <f t="shared" si="320"/>
        <v>1.3713338177471122</v>
      </c>
    </row>
    <row r="868" ht="17.5" customHeight="1" spans="105:132" x14ac:dyDescent="0.25">
      <c r="DA868" s="481">
        <v>2005</v>
      </c>
      <c r="DB868" s="57">
        <v>9.184944042597673</v>
      </c>
      <c r="DC868" s="57">
        <v>10.36760974912887</v>
      </c>
      <c r="DD868" s="326">
        <f t="shared" si="318"/>
        <v>9.184944042597673</v>
      </c>
      <c r="DE868" s="326"/>
      <c r="DF868" s="326"/>
      <c r="DW868" s="481">
        <v>2005</v>
      </c>
      <c r="DX868" s="57">
        <v>1.4563321028024123</v>
      </c>
      <c r="DY868" s="57">
        <v>1.4590991820829273</v>
      </c>
      <c r="DZ868" s="57">
        <f t="shared" si="319"/>
        <v>1.4563321028024123</v>
      </c>
      <c r="EA868" s="326"/>
      <c r="EB868" s="57">
        <f t="shared" si="320"/>
        <v>1.4590991820829273</v>
      </c>
    </row>
    <row r="869" ht="17.5" customHeight="1" spans="105:132" x14ac:dyDescent="0.25">
      <c r="DA869" s="481">
        <v>2006</v>
      </c>
      <c r="DB869" s="57">
        <v>10.5310440318469</v>
      </c>
      <c r="DC869" s="57">
        <v>11.935242035159135</v>
      </c>
      <c r="DD869" s="326">
        <f t="shared" si="318"/>
        <v>10.5310440318469</v>
      </c>
      <c r="DE869" s="326"/>
      <c r="DF869" s="326"/>
      <c r="DW869" s="481">
        <v>2006</v>
      </c>
      <c r="DX869" s="57">
        <v>1.585945659951827</v>
      </c>
      <c r="DY869" s="57">
        <v>1.5787453150137274</v>
      </c>
      <c r="DZ869" s="57">
        <f t="shared" si="319"/>
        <v>1.585945659951827</v>
      </c>
      <c r="EA869" s="326"/>
      <c r="EB869" s="57">
        <f t="shared" si="320"/>
        <v>1.5787453150137274</v>
      </c>
    </row>
    <row r="870" ht="17.5" customHeight="1" spans="105:132" x14ac:dyDescent="0.25">
      <c r="DA870" s="481">
        <v>2007</v>
      </c>
      <c r="DB870" s="57">
        <v>12.09328500918834</v>
      </c>
      <c r="DC870" s="57">
        <v>13.587224630705832</v>
      </c>
      <c r="DD870" s="326">
        <f t="shared" si="318"/>
        <v>12.09328500918834</v>
      </c>
      <c r="DE870" s="326"/>
      <c r="DF870" s="326"/>
      <c r="DW870" s="481">
        <v>2007</v>
      </c>
      <c r="DX870" s="57">
        <v>1.7255088780275878</v>
      </c>
      <c r="DY870" s="57">
        <v>1.7129386667898943</v>
      </c>
      <c r="DZ870" s="57">
        <f t="shared" si="319"/>
        <v>1.7255088780275878</v>
      </c>
      <c r="EA870" s="326"/>
      <c r="EB870" s="57">
        <f t="shared" si="320"/>
        <v>1.7129386667898943</v>
      </c>
    </row>
    <row r="871" ht="17.5" customHeight="1" spans="105:132" x14ac:dyDescent="0.25">
      <c r="DA871" s="481">
        <v>2008</v>
      </c>
      <c r="DB871" s="57">
        <v>14.279402745112492</v>
      </c>
      <c r="DC871" s="57">
        <v>16.03475716499792</v>
      </c>
      <c r="DD871" s="326">
        <f t="shared" si="318"/>
        <v>14.279402745112492</v>
      </c>
      <c r="DE871" s="326"/>
      <c r="DF871" s="326"/>
      <c r="DW871" s="481">
        <v>2008</v>
      </c>
      <c r="DX871" s="57">
        <v>1.8117843219289673</v>
      </c>
      <c r="DY871" s="57">
        <v>1.8020114774629687</v>
      </c>
      <c r="DZ871" s="57">
        <f t="shared" si="319"/>
        <v>1.8117843219289673</v>
      </c>
      <c r="EA871" s="326"/>
      <c r="EB871" s="57">
        <f t="shared" si="320"/>
        <v>1.8020114774629687</v>
      </c>
    </row>
    <row r="872" ht="17.5" customHeight="1" spans="105:132" x14ac:dyDescent="0.25">
      <c r="DA872" s="481">
        <v>2009</v>
      </c>
      <c r="DB872" s="57">
        <v>14.669938798054028</v>
      </c>
      <c r="DC872" s="57">
        <v>16.368494611949213</v>
      </c>
      <c r="DD872" s="326">
        <f t="shared" si="318"/>
        <v>14.669938798054028</v>
      </c>
      <c r="DE872" s="326"/>
      <c r="DF872" s="326"/>
      <c r="DW872" s="481">
        <v>2009</v>
      </c>
      <c r="DX872" s="57">
        <v>1.6777122821062238</v>
      </c>
      <c r="DY872" s="57">
        <v>1.6596525707433942</v>
      </c>
      <c r="DZ872" s="57">
        <f t="shared" si="319"/>
        <v>1.6777122821062238</v>
      </c>
      <c r="EA872" s="326"/>
      <c r="EB872" s="57">
        <f t="shared" si="320"/>
        <v>1.6596525707433942</v>
      </c>
    </row>
    <row r="873" ht="17.5" customHeight="1" spans="105:132" x14ac:dyDescent="0.25">
      <c r="DA873" s="481">
        <v>2010</v>
      </c>
      <c r="DB873" s="57">
        <v>16.8302129453818</v>
      </c>
      <c r="DC873" s="57">
        <v>18.69136533556666</v>
      </c>
      <c r="DD873" s="326">
        <f t="shared" si="318"/>
        <v>16.8302129453818</v>
      </c>
      <c r="DE873" s="326">
        <f>DD873</f>
        <v>16.8302129453818</v>
      </c>
      <c r="DF873" s="326"/>
      <c r="DW873" s="481">
        <v>2010</v>
      </c>
      <c r="DX873" s="57">
        <v>1.761597896211535</v>
      </c>
      <c r="DY873" s="57">
        <v>1.7343369364268468</v>
      </c>
      <c r="DZ873" s="57">
        <f t="shared" si="319"/>
        <v>1.761597896211535</v>
      </c>
      <c r="EA873" s="57">
        <f>DX873</f>
        <v>1.761597896211535</v>
      </c>
      <c r="EB873" s="57">
        <f t="shared" si="320"/>
        <v>1.7343369364268468</v>
      </c>
    </row>
    <row r="874" ht="17.5" customHeight="1" spans="105:132" x14ac:dyDescent="0.25">
      <c r="DA874" s="481">
        <v>2011</v>
      </c>
      <c r="DB874" s="57">
        <v>19.85424571376991</v>
      </c>
      <c r="DC874" s="57">
        <v>23.32851881806769</v>
      </c>
      <c r="DD874" s="326"/>
      <c r="DE874" s="326">
        <f t="shared" ref="DE874:DE879" si="321">DB874</f>
        <v>19.85424571376991</v>
      </c>
      <c r="DF874" s="326"/>
      <c r="DW874" s="481">
        <v>2011</v>
      </c>
      <c r="DX874" s="57">
        <v>1.837346605748631</v>
      </c>
      <c r="DY874" s="57">
        <v>1.808913424693201</v>
      </c>
      <c r="DZ874" s="326"/>
      <c r="EA874" s="57">
        <f t="shared" ref="EA874:EA879" si="322">DX874</f>
        <v>1.837346605748631</v>
      </c>
      <c r="EB874" s="57">
        <f t="shared" si="320"/>
        <v>1.808913424693201</v>
      </c>
    </row>
    <row r="875" ht="17.5" customHeight="1" spans="105:132" x14ac:dyDescent="0.25">
      <c r="DA875" s="481">
        <v>2012</v>
      </c>
      <c r="DB875" s="57">
        <v>21.405203901528715</v>
      </c>
      <c r="DC875" s="57">
        <v>25.448132013167307</v>
      </c>
      <c r="DD875" s="326"/>
      <c r="DE875" s="326">
        <f t="shared" si="321"/>
        <v>21.405203901528715</v>
      </c>
      <c r="DF875" s="326"/>
      <c r="DW875" s="481">
        <v>2012</v>
      </c>
      <c r="DX875" s="57">
        <v>1.9090031233728277</v>
      </c>
      <c r="DY875" s="57">
        <v>1.8750455190419226</v>
      </c>
      <c r="DZ875" s="326"/>
      <c r="EA875" s="57">
        <f t="shared" si="322"/>
        <v>1.9090031233728277</v>
      </c>
      <c r="EB875" s="57">
        <f t="shared" si="320"/>
        <v>1.8750455190419226</v>
      </c>
    </row>
    <row r="876" ht="17.5" customHeight="1" spans="105:132" x14ac:dyDescent="0.25">
      <c r="DA876" s="481">
        <v>2013</v>
      </c>
      <c r="DB876" s="57">
        <v>22.832323118365768</v>
      </c>
      <c r="DC876" s="57">
        <v>26.82470761987901</v>
      </c>
      <c r="DD876" s="326"/>
      <c r="DE876" s="326">
        <f t="shared" si="321"/>
        <v>22.832323118365768</v>
      </c>
      <c r="DF876" s="326"/>
      <c r="DW876" s="481">
        <v>2013</v>
      </c>
      <c r="DX876" s="57">
        <v>1.949092188963657</v>
      </c>
      <c r="DY876" s="57">
        <v>1.9085217286102596</v>
      </c>
      <c r="DZ876" s="326"/>
      <c r="EA876" s="57">
        <f t="shared" si="322"/>
        <v>1.949092188963657</v>
      </c>
      <c r="EB876" s="57">
        <f t="shared" si="320"/>
        <v>1.9085217286102596</v>
      </c>
    </row>
    <row r="877" ht="17.5" customHeight="1" spans="105:132" x14ac:dyDescent="0.25">
      <c r="DA877" s="481">
        <v>2014</v>
      </c>
      <c r="DB877" s="57">
        <v>24.43123573923766</v>
      </c>
      <c r="DC877" s="57">
        <v>28.836575688325322</v>
      </c>
      <c r="DD877" s="326"/>
      <c r="DE877" s="326">
        <f t="shared" si="321"/>
        <v>24.43123573923766</v>
      </c>
      <c r="DF877" s="326"/>
      <c r="DW877" s="481">
        <v>2014</v>
      </c>
      <c r="DX877" s="57">
        <v>1.9646849264753663</v>
      </c>
      <c r="DY877" s="57">
        <v>1.9226180848563927</v>
      </c>
      <c r="DZ877" s="326"/>
      <c r="EA877" s="57">
        <f t="shared" si="322"/>
        <v>1.9646849264753663</v>
      </c>
      <c r="EB877" s="57">
        <f t="shared" si="320"/>
        <v>1.9226180848563927</v>
      </c>
    </row>
    <row r="878" ht="17.5" customHeight="1" spans="105:132" x14ac:dyDescent="0.25">
      <c r="DA878" s="481">
        <v>2015</v>
      </c>
      <c r="DB878" s="57">
        <v>27.196038400434425</v>
      </c>
      <c r="DC878" s="57">
        <v>31.082026021473556</v>
      </c>
      <c r="DD878" s="326"/>
      <c r="DE878" s="326">
        <f t="shared" si="321"/>
        <v>27.196038400434425</v>
      </c>
      <c r="DF878" s="326"/>
      <c r="DW878" s="481">
        <v>2015</v>
      </c>
      <c r="DX878" s="57">
        <v>1.9391440224311864</v>
      </c>
      <c r="DY878" s="57">
        <v>1.8783978689046956</v>
      </c>
      <c r="DZ878" s="326"/>
      <c r="EA878" s="57">
        <f t="shared" si="322"/>
        <v>1.9391440224311864</v>
      </c>
      <c r="EB878" s="57">
        <f t="shared" si="320"/>
        <v>1.8783978689046956</v>
      </c>
    </row>
    <row r="879" ht="17.5" customHeight="1" spans="105:132" x14ac:dyDescent="0.25">
      <c r="DA879" s="481">
        <v>2016</v>
      </c>
      <c r="DB879" s="57">
        <v>28.328183799288354</v>
      </c>
      <c r="DC879" s="57">
        <v>32.20419576560168</v>
      </c>
      <c r="DD879" s="326"/>
      <c r="DE879" s="326">
        <f t="shared" si="321"/>
        <v>28.328183799288354</v>
      </c>
      <c r="DF879" s="326"/>
      <c r="DW879" s="481">
        <v>2016</v>
      </c>
      <c r="DX879" s="57">
        <v>1.9624137507003607</v>
      </c>
      <c r="DY879" s="57">
        <v>1.882154664642505</v>
      </c>
      <c r="DZ879" s="326"/>
      <c r="EA879" s="57">
        <f t="shared" si="322"/>
        <v>1.9624137507003607</v>
      </c>
      <c r="EB879" s="57">
        <f t="shared" si="320"/>
        <v>1.882154664642505</v>
      </c>
    </row>
    <row r="880" ht="17.5" customHeight="1" spans="105:132" x14ac:dyDescent="0.25">
      <c r="DA880" s="481">
        <v>2017</v>
      </c>
      <c r="DB880" s="46"/>
      <c r="DC880" s="326"/>
      <c r="DD880" s="326"/>
      <c r="DE880" s="326"/>
      <c r="DF880" s="326"/>
      <c r="DW880" s="481">
        <v>2017</v>
      </c>
      <c r="DX880" s="46"/>
      <c r="DY880" s="326"/>
      <c r="DZ880" s="326"/>
      <c r="EA880" s="46">
        <f>1.0318*EB880-0.0328</f>
        <v>2.0308</v>
      </c>
      <c r="EB880" s="57">
        <v>2</v>
      </c>
    </row>
    <row r="881" ht="17.5" customHeight="1" spans="105:132" x14ac:dyDescent="0.25">
      <c r="DA881" s="481">
        <v>2018</v>
      </c>
      <c r="DB881" s="46"/>
      <c r="DC881" s="326"/>
      <c r="DD881" s="326"/>
      <c r="DE881" s="326"/>
      <c r="DF881" s="326"/>
      <c r="DW881" s="481">
        <v>2018</v>
      </c>
      <c r="DX881" s="46"/>
      <c r="DY881" s="326"/>
      <c r="DZ881" s="326"/>
      <c r="EA881" s="46">
        <f>1.0318*EB881-0.0328</f>
        <v>2.13398</v>
      </c>
      <c r="EB881" s="57">
        <v>2.1</v>
      </c>
    </row>
    <row r="882" ht="17.5" customHeight="1" spans="105:132" x14ac:dyDescent="0.25">
      <c r="DA882" s="481">
        <v>2019</v>
      </c>
      <c r="DB882" s="272"/>
      <c r="DC882" s="272"/>
      <c r="DD882" s="272"/>
      <c r="DE882" s="326"/>
      <c r="DF882" s="326"/>
      <c r="DW882" s="481">
        <v>2019</v>
      </c>
      <c r="DX882" s="272"/>
      <c r="DY882" s="272"/>
      <c r="DZ882" s="272"/>
      <c r="EA882" s="46">
        <f>1.0318*EB882-0.0328</f>
        <v>2.2371600000000003</v>
      </c>
      <c r="EB882" s="57">
        <v>2.2</v>
      </c>
    </row>
    <row r="883" ht="17.5" customHeight="1" spans="105:132" x14ac:dyDescent="0.25">
      <c r="DA883" s="481">
        <v>2020</v>
      </c>
      <c r="DB883" s="272"/>
      <c r="DC883" s="272"/>
      <c r="DD883" s="272"/>
      <c r="DE883" s="326"/>
      <c r="DF883" s="326"/>
      <c r="DW883" s="481">
        <v>2020</v>
      </c>
      <c r="DX883" s="272"/>
      <c r="DY883" s="272"/>
      <c r="DZ883" s="272"/>
      <c r="EA883" s="46">
        <f>1.0318*EB883-0.0328</f>
        <v>2.34034</v>
      </c>
      <c r="EB883" s="57">
        <v>2.3</v>
      </c>
    </row>
    <row r="884" ht="17.5" customHeight="1" spans="105:132" x14ac:dyDescent="0.25">
      <c r="DA884" s="481">
        <v>2021</v>
      </c>
      <c r="DB884" s="272"/>
      <c r="DC884" s="272"/>
      <c r="DD884" s="272"/>
      <c r="DE884" s="326"/>
      <c r="DF884" s="326"/>
      <c r="DW884" s="481">
        <v>2021</v>
      </c>
      <c r="DX884" s="272"/>
      <c r="DY884" s="272"/>
      <c r="DZ884" s="272"/>
      <c r="EA884" s="46">
        <f>1.0318*EB884-0.0328</f>
        <v>2.44352</v>
      </c>
      <c r="EB884" s="57">
        <v>2.4</v>
      </c>
    </row>
    <row r="885" ht="17.5" customHeight="1" spans="105:132" x14ac:dyDescent="0.25">
      <c r="DA885" s="481">
        <v>2022</v>
      </c>
      <c r="DB885" s="272"/>
      <c r="DC885" s="272"/>
      <c r="DD885" s="272"/>
      <c r="DE885" s="326"/>
      <c r="DF885" s="326"/>
      <c r="DW885" s="481">
        <v>2022</v>
      </c>
      <c r="DX885" s="272"/>
      <c r="DY885" s="272"/>
      <c r="DZ885" s="272"/>
      <c r="EA885" s="326"/>
      <c r="EB885" s="326"/>
    </row>
    <row r="886" ht="17.5" customHeight="1" spans="105:132" x14ac:dyDescent="0.25">
      <c r="DA886" s="481">
        <v>2023</v>
      </c>
      <c r="DB886" s="272"/>
      <c r="DC886" s="272"/>
      <c r="DD886" s="272"/>
      <c r="DE886" s="326"/>
      <c r="DF886" s="326"/>
      <c r="DW886" s="481">
        <v>2023</v>
      </c>
      <c r="DX886" s="272"/>
      <c r="DY886" s="272"/>
      <c r="DZ886" s="272"/>
      <c r="EA886" s="326"/>
      <c r="EB886" s="326"/>
    </row>
    <row r="887" ht="17.5" customHeight="1" spans="105:132" x14ac:dyDescent="0.25">
      <c r="DA887" s="481">
        <v>2024</v>
      </c>
      <c r="DB887" s="272"/>
      <c r="DC887" s="272"/>
      <c r="DD887" s="272"/>
      <c r="DE887" s="326"/>
      <c r="DF887" s="326"/>
      <c r="DW887" s="481">
        <v>2024</v>
      </c>
      <c r="DX887" s="272"/>
      <c r="DY887" s="272"/>
      <c r="DZ887" s="272"/>
      <c r="EA887" s="326"/>
      <c r="EB887" s="326"/>
    </row>
    <row r="888" ht="17.5" customHeight="1" spans="105:132" x14ac:dyDescent="0.25">
      <c r="DA888" s="481">
        <v>2025</v>
      </c>
      <c r="DB888" s="272"/>
      <c r="DC888" s="272"/>
      <c r="DD888" s="272"/>
      <c r="DE888" s="326"/>
      <c r="DF888" s="326"/>
      <c r="DW888" s="481">
        <v>2025</v>
      </c>
      <c r="DX888" s="272"/>
      <c r="DY888" s="272"/>
      <c r="DZ888" s="272"/>
      <c r="EA888" s="326"/>
      <c r="EB888" s="326"/>
    </row>
    <row r="889" ht="17.5" customHeight="1" spans="105:132" x14ac:dyDescent="0.25">
      <c r="DA889" s="481">
        <v>2026</v>
      </c>
      <c r="DB889" s="272"/>
      <c r="DC889" s="272"/>
      <c r="DD889" s="272"/>
      <c r="DE889" s="326"/>
      <c r="DF889" s="326"/>
      <c r="DW889" s="481">
        <v>2026</v>
      </c>
      <c r="DX889" s="272"/>
      <c r="DY889" s="272"/>
      <c r="DZ889" s="272"/>
      <c r="EA889" s="326"/>
      <c r="EB889" s="326"/>
    </row>
    <row r="890" ht="17.5" customHeight="1" spans="105:132" x14ac:dyDescent="0.25">
      <c r="DA890" s="481">
        <v>2027</v>
      </c>
      <c r="DB890" s="272"/>
      <c r="DC890" s="272"/>
      <c r="DD890" s="272"/>
      <c r="DE890" s="326"/>
      <c r="DF890" s="326"/>
      <c r="DW890" s="481">
        <v>2027</v>
      </c>
      <c r="DX890" s="272"/>
      <c r="DY890" s="272"/>
      <c r="DZ890" s="272"/>
      <c r="EA890" s="326"/>
      <c r="EB890" s="326"/>
    </row>
    <row r="891" ht="17.5" customHeight="1" spans="105:132" x14ac:dyDescent="0.25">
      <c r="DA891" s="481">
        <v>2028</v>
      </c>
      <c r="DB891" s="272"/>
      <c r="DC891" s="272"/>
      <c r="DD891" s="272"/>
      <c r="DE891" s="326"/>
      <c r="DF891" s="326"/>
      <c r="DW891" s="481">
        <v>2028</v>
      </c>
      <c r="DX891" s="272"/>
      <c r="DY891" s="272"/>
      <c r="DZ891" s="272"/>
      <c r="EA891" s="326"/>
      <c r="EB891" s="326"/>
    </row>
    <row r="892" ht="17.5" customHeight="1" spans="105:132" x14ac:dyDescent="0.25">
      <c r="DA892" s="481">
        <v>2029</v>
      </c>
      <c r="DB892" s="272"/>
      <c r="DC892" s="272"/>
      <c r="DD892" s="272"/>
      <c r="DE892" s="326"/>
      <c r="DF892" s="326"/>
      <c r="DW892" s="481">
        <v>2029</v>
      </c>
      <c r="DX892" s="272"/>
      <c r="DY892" s="272"/>
      <c r="DZ892" s="272"/>
      <c r="EA892" s="326"/>
      <c r="EB892" s="326"/>
    </row>
    <row r="893" ht="17.5" customHeight="1" spans="105:132" x14ac:dyDescent="0.25">
      <c r="DA893" s="512">
        <v>2030</v>
      </c>
      <c r="DB893" s="297"/>
      <c r="DC893" s="297"/>
      <c r="DD893" s="297"/>
      <c r="DE893" s="388"/>
      <c r="DF893" s="388"/>
      <c r="DW893" s="512">
        <v>2030</v>
      </c>
      <c r="DX893" s="297"/>
      <c r="DY893" s="297"/>
      <c r="DZ893" s="297"/>
      <c r="EA893" s="388"/>
      <c r="EB893" s="388"/>
    </row>
    <row r="896" ht="16.25" customHeight="1" x14ac:dyDescent="0.25"/>
    <row r="897" ht="17.5" customHeight="1" spans="105:131" x14ac:dyDescent="0.25">
      <c r="DA897" s="760" t="s">
        <v>520</v>
      </c>
      <c r="DB897" s="761" t="s">
        <v>828</v>
      </c>
      <c r="DC897" s="762" t="s">
        <v>829</v>
      </c>
      <c r="DD897" s="762" t="s">
        <v>795</v>
      </c>
      <c r="DE897" s="763" t="s">
        <v>830</v>
      </c>
      <c r="DF897" s="764" t="s">
        <v>831</v>
      </c>
      <c r="DX897" s="530" t="s">
        <v>13</v>
      </c>
      <c r="DY897" s="29" t="s">
        <v>822</v>
      </c>
      <c r="DZ897" s="29" t="s">
        <v>41</v>
      </c>
      <c r="EA897" s="29" t="s">
        <v>703</v>
      </c>
    </row>
    <row r="898" ht="18" customHeight="1" spans="105:131" x14ac:dyDescent="0.25">
      <c r="DA898" s="765">
        <v>43694</v>
      </c>
      <c r="DB898" s="766" t="s">
        <v>56</v>
      </c>
      <c r="DC898" s="766" t="s">
        <v>56</v>
      </c>
      <c r="DD898" s="767" t="s">
        <v>832</v>
      </c>
      <c r="DE898" s="768" t="s">
        <v>833</v>
      </c>
      <c r="DF898" s="767" t="s">
        <v>833</v>
      </c>
      <c r="DX898" s="324">
        <v>43698</v>
      </c>
      <c r="DY898" s="724" t="s">
        <v>55</v>
      </c>
      <c r="DZ898" s="570" t="s">
        <v>55</v>
      </c>
      <c r="EA898" s="724" t="s">
        <v>55</v>
      </c>
    </row>
    <row r="899" ht="17.5" customHeight="1" spans="105:131" x14ac:dyDescent="0.25">
      <c r="DA899" s="769">
        <v>1995</v>
      </c>
      <c r="DB899" s="138">
        <f t="array" ref="DB899:DB920">TRANSPOSE(U199:AP199)</f>
        <v>1428.5209</v>
      </c>
      <c r="DC899" s="140">
        <f t="array" ref="DC899:DC920">TRANSPOSE(U197:AP197)</f>
        <v>5306</v>
      </c>
      <c r="DD899" s="322">
        <f t="array" ref="DD899:DD920">TRANSPOSE(U91:AP91)</f>
        <v>64.055</v>
      </c>
      <c r="DE899" s="684">
        <f>DB899/DD899</f>
        <v>22.301473733510264</v>
      </c>
      <c r="DF899" s="770">
        <f>DC899/DD899</f>
        <v>82.83506361720396</v>
      </c>
      <c r="DX899" s="481">
        <v>1995</v>
      </c>
      <c r="DY899" s="139">
        <v>1</v>
      </c>
      <c r="DZ899" s="322">
        <v>1</v>
      </c>
      <c r="EA899" s="201">
        <v>1</v>
      </c>
    </row>
    <row r="900" ht="17.5" customHeight="1" spans="105:131" x14ac:dyDescent="0.25">
      <c r="DA900" s="771">
        <v>1996</v>
      </c>
      <c r="DB900" s="547">
        <v>1377.0941476</v>
      </c>
      <c r="DC900" s="55">
        <v>5300.694</v>
      </c>
      <c r="DD900" s="326">
        <v>62.928</v>
      </c>
      <c r="DE900" s="326">
        <f>DB900/DD900</f>
        <v>21.883647145944572</v>
      </c>
      <c r="DF900" s="772">
        <f>DC900/DD900</f>
        <v>84.23426773455378</v>
      </c>
      <c r="DX900" s="481">
        <v>1996</v>
      </c>
      <c r="DY900" s="216">
        <f>СЧЁТ!BJ7</f>
        <v>1.412247757097261</v>
      </c>
      <c r="DZ900" s="57">
        <f>СЧЁТ!BO7</f>
        <v>1.218</v>
      </c>
      <c r="EA900" s="75">
        <f>СЧЁТ!BN7</f>
        <v>1.170751567490661</v>
      </c>
    </row>
    <row r="901" ht="17.5" customHeight="1" spans="105:131" x14ac:dyDescent="0.25">
      <c r="DA901" s="771">
        <v>1997</v>
      </c>
      <c r="DB901" s="547">
        <v>1396.3734656664</v>
      </c>
      <c r="DC901" s="55">
        <v>5279.491224</v>
      </c>
      <c r="DD901" s="326">
        <v>60.021</v>
      </c>
      <c r="DE901" s="326">
        <f t="shared" ref="DE901:DE920" si="323">DB901/DD901</f>
        <v>23.26474843248863</v>
      </c>
      <c r="DF901" s="772">
        <f t="shared" ref="DF901:DF920" si="324">DC901/DD901</f>
        <v>87.96073414304993</v>
      </c>
      <c r="DX901" s="481">
        <v>1997</v>
      </c>
      <c r="DY901" s="216">
        <f>СЧЁТ!BJ8</f>
        <v>1.5864611043969121</v>
      </c>
      <c r="DZ901" s="57">
        <f>СЧЁТ!BO8</f>
        <v>1.3519800000000002</v>
      </c>
      <c r="EA901" s="75">
        <f>СЧЁТ!BN8</f>
        <v>1.4027022303089887</v>
      </c>
    </row>
    <row r="902" ht="17.5" customHeight="1" spans="105:131" x14ac:dyDescent="0.25">
      <c r="DA902" s="771">
        <v>1998</v>
      </c>
      <c r="DB902" s="547">
        <v>1322.3656719860808</v>
      </c>
      <c r="DC902" s="55">
        <v>5263.652750328</v>
      </c>
      <c r="DD902" s="326">
        <v>58.437</v>
      </c>
      <c r="DE902" s="326">
        <f t="shared" si="323"/>
        <v>22.628910997930777</v>
      </c>
      <c r="DF902" s="772">
        <f t="shared" si="324"/>
        <v>90.07397283104883</v>
      </c>
      <c r="DX902" s="481">
        <v>1998</v>
      </c>
      <c r="DY902" s="216">
        <f>СЧЁТ!BJ9</f>
        <v>1.7669204828999698</v>
      </c>
      <c r="DZ902" s="57">
        <f>СЧЁТ!BO9</f>
        <v>2.4930511200000005</v>
      </c>
      <c r="EA902" s="75">
        <f>СЧЁТ!BN9</f>
        <v>2.077665776266209</v>
      </c>
    </row>
    <row r="903" ht="17.5" customHeight="1" spans="105:131" x14ac:dyDescent="0.25">
      <c r="DA903" s="771">
        <v>1999</v>
      </c>
      <c r="DB903" s="547">
        <v>1406.99707499319</v>
      </c>
      <c r="DC903" s="55">
        <v>5274.180055828657</v>
      </c>
      <c r="DD903" s="326">
        <v>63.082</v>
      </c>
      <c r="DE903" s="326">
        <f t="shared" si="323"/>
        <v>22.3042559683141</v>
      </c>
      <c r="DF903" s="772">
        <f t="shared" si="324"/>
        <v>83.60832021541259</v>
      </c>
      <c r="DX903" s="481">
        <v>1999</v>
      </c>
      <c r="DY903" s="216">
        <f>СЧЁТ!BJ10</f>
        <v>3.031677249541913</v>
      </c>
      <c r="DZ903" s="57">
        <f>СЧЁТ!BO10</f>
        <v>3.4030147788000007</v>
      </c>
      <c r="EA903" s="75">
        <f>СЧЁТ!BN10</f>
        <v>4.894300618534394</v>
      </c>
    </row>
    <row r="904" ht="17.5" customHeight="1" spans="105:131" x14ac:dyDescent="0.25">
      <c r="DA904" s="771">
        <v>2000</v>
      </c>
      <c r="DB904" s="547">
        <v>1547.696782492509</v>
      </c>
      <c r="DC904" s="55">
        <v>5300.5509561078</v>
      </c>
      <c r="DD904" s="326">
        <v>65.07</v>
      </c>
      <c r="DE904" s="326">
        <f t="shared" si="323"/>
        <v>23.785105002190093</v>
      </c>
      <c r="DF904" s="772">
        <f t="shared" si="324"/>
        <v>81.4592124805256</v>
      </c>
      <c r="DX904" s="481">
        <v>2000</v>
      </c>
      <c r="DY904" s="216">
        <f>СЧЁТ!BJ11</f>
        <v>4.189288839815487</v>
      </c>
      <c r="DZ904" s="57">
        <f>СЧЁТ!BO11</f>
        <v>4.090423764117601</v>
      </c>
      <c r="EA904" s="75">
        <f>СЧЁТ!BN11</f>
        <v>5.1416113994451775</v>
      </c>
    </row>
    <row r="905" ht="17.5" customHeight="1" spans="105:131" x14ac:dyDescent="0.25">
      <c r="DA905" s="771">
        <v>2001</v>
      </c>
      <c r="DB905" s="547">
        <v>1626.629318399627</v>
      </c>
      <c r="DC905" s="55">
        <v>5348.25591471277</v>
      </c>
      <c r="DD905" s="326">
        <v>65.123</v>
      </c>
      <c r="DE905" s="326">
        <f t="shared" si="323"/>
        <v>24.97780075241661</v>
      </c>
      <c r="DF905" s="772">
        <f t="shared" si="324"/>
        <v>82.12545359877109</v>
      </c>
      <c r="DX905" s="481">
        <v>2001</v>
      </c>
      <c r="DY905" s="216">
        <f>СЧЁТ!BJ12</f>
        <v>5.065982250044759</v>
      </c>
      <c r="DZ905" s="57">
        <f>СЧЁТ!BO12</f>
        <v>4.851242584243474</v>
      </c>
      <c r="EA905" s="75">
        <f>СЧЁТ!BN12</f>
        <v>5.343385559062672</v>
      </c>
    </row>
    <row r="906" ht="17.5" customHeight="1" spans="105:131" x14ac:dyDescent="0.25">
      <c r="DA906" s="771">
        <v>2002</v>
      </c>
      <c r="DB906" s="547">
        <v>1703.0808963644092</v>
      </c>
      <c r="DC906" s="55">
        <v>5401.7384738598985</v>
      </c>
      <c r="DD906" s="326">
        <v>66.659</v>
      </c>
      <c r="DE906" s="326">
        <f t="shared" si="323"/>
        <v>25.549151597899893</v>
      </c>
      <c r="DF906" s="772">
        <f t="shared" si="324"/>
        <v>81.035396178459</v>
      </c>
      <c r="DX906" s="481">
        <v>2002</v>
      </c>
      <c r="DY906" s="216">
        <f>СЧЁТ!BJ13</f>
        <v>5.7822315297952604</v>
      </c>
      <c r="DZ906" s="57">
        <f>СЧЁТ!BO13</f>
        <v>5.583780214464239</v>
      </c>
      <c r="EA906" s="75">
        <f>СЧЁТ!BN13</f>
        <v>5.696540648389541</v>
      </c>
    </row>
    <row r="907" ht="17.5" customHeight="1" spans="105:131" x14ac:dyDescent="0.25">
      <c r="DA907" s="771">
        <v>2003</v>
      </c>
      <c r="DB907" s="547">
        <v>1827.405801799011</v>
      </c>
      <c r="DC907" s="55">
        <v>5471.961074020077</v>
      </c>
      <c r="DD907" s="326">
        <v>66.339</v>
      </c>
      <c r="DE907" s="326">
        <f t="shared" si="323"/>
        <v>27.546477966188984</v>
      </c>
      <c r="DF907" s="772">
        <f t="shared" si="324"/>
        <v>82.48482904505761</v>
      </c>
      <c r="DX907" s="481">
        <v>2003</v>
      </c>
      <c r="DY907" s="216">
        <f>СЧЁТ!BJ14</f>
        <v>6.591523740762184</v>
      </c>
      <c r="DZ907" s="57">
        <f>СЧЁТ!BO14</f>
        <v>6.253833840199949</v>
      </c>
      <c r="EA907" s="75">
        <f>СЧЁТ!BN14</f>
        <v>5.788123461724906</v>
      </c>
    </row>
    <row r="908" ht="17.5" customHeight="1" spans="105:131" x14ac:dyDescent="0.25">
      <c r="DA908" s="771">
        <v>2004</v>
      </c>
      <c r="DB908" s="547">
        <v>1958.97901952854</v>
      </c>
      <c r="DC908" s="55">
        <v>5559.5124512043985</v>
      </c>
      <c r="DD908" s="326">
        <v>67.319</v>
      </c>
      <c r="DE908" s="326">
        <f t="shared" si="323"/>
        <v>29.099942356965194</v>
      </c>
      <c r="DF908" s="772">
        <f t="shared" si="324"/>
        <v>82.58459649139765</v>
      </c>
      <c r="DX908" s="481">
        <v>2004</v>
      </c>
      <c r="DY908" s="216">
        <f>СЧЁТ!BJ15</f>
        <v>7.7337827274937645</v>
      </c>
      <c r="DZ908" s="57">
        <f>СЧЁТ!BO15</f>
        <v>6.9855323995033425</v>
      </c>
      <c r="EA908" s="75">
        <f>СЧЁТ!BN15</f>
        <v>5.617164966343532</v>
      </c>
    </row>
    <row r="909" ht="17.5" customHeight="1" spans="105:131" x14ac:dyDescent="0.25">
      <c r="DA909" s="771">
        <v>2005</v>
      </c>
      <c r="DB909" s="547">
        <v>2084.3536767783667</v>
      </c>
      <c r="DC909" s="55">
        <v>5665.143187777283</v>
      </c>
      <c r="DD909" s="326">
        <v>68.339</v>
      </c>
      <c r="DE909" s="326">
        <f t="shared" si="323"/>
        <v>30.500207447846275</v>
      </c>
      <c r="DF909" s="772">
        <f t="shared" si="324"/>
        <v>82.89766001517849</v>
      </c>
      <c r="DX909" s="481">
        <v>2005</v>
      </c>
      <c r="DY909" s="216">
        <f>СЧЁТ!BJ16</f>
        <v>9.184944042597673</v>
      </c>
      <c r="DZ909" s="57">
        <f>СЧЁТ!BO16</f>
        <v>7.746955431049207</v>
      </c>
      <c r="EA909" s="75">
        <f>СЧЁТ!BN16</f>
        <v>5.933656338117276</v>
      </c>
    </row>
    <row r="910" ht="17.5" customHeight="1" spans="105:131" x14ac:dyDescent="0.25">
      <c r="DA910" s="771">
        <v>2006</v>
      </c>
      <c r="DB910" s="547">
        <v>2255.270678274193</v>
      </c>
      <c r="DC910" s="55">
        <v>5801.106624283938</v>
      </c>
      <c r="DD910" s="326">
        <v>69.169</v>
      </c>
      <c r="DE910" s="326">
        <f t="shared" si="323"/>
        <v>32.605223124148</v>
      </c>
      <c r="DF910" s="772">
        <f t="shared" si="324"/>
        <v>83.86859177209354</v>
      </c>
      <c r="DX910" s="481">
        <v>2006</v>
      </c>
      <c r="DY910" s="216">
        <f>СЧЁТ!BJ17</f>
        <v>10.5310440318469</v>
      </c>
      <c r="DZ910" s="57">
        <f>СЧЁТ!BO17</f>
        <v>8.444181419843636</v>
      </c>
      <c r="EA910" s="75">
        <f>СЧЁТ!BN17</f>
        <v>5.949475526803209</v>
      </c>
    </row>
    <row r="911" ht="17.5" customHeight="1" spans="105:131" x14ac:dyDescent="0.25">
      <c r="DA911" s="771">
        <v>2007</v>
      </c>
      <c r="DB911" s="547">
        <v>2446.9686859274993</v>
      </c>
      <c r="DC911" s="55">
        <v>5980.940929636739</v>
      </c>
      <c r="DD911" s="326">
        <v>70.77</v>
      </c>
      <c r="DE911" s="326">
        <f t="shared" si="323"/>
        <v>34.57635560163204</v>
      </c>
      <c r="DF911" s="772">
        <f t="shared" si="324"/>
        <v>84.51237713207206</v>
      </c>
      <c r="DX911" s="481">
        <v>2007</v>
      </c>
      <c r="DY911" s="216">
        <f>СЧЁТ!BJ18</f>
        <v>12.09328500918834</v>
      </c>
      <c r="DZ911" s="57">
        <f>СЧЁТ!BO18</f>
        <v>9.446505754379075</v>
      </c>
      <c r="EA911" s="75">
        <f>СЧЁТ!BN18</f>
        <v>5.972486590341229</v>
      </c>
    </row>
    <row r="912" ht="17.5" customHeight="1" spans="105:131" x14ac:dyDescent="0.25">
      <c r="DA912" s="771">
        <v>2008</v>
      </c>
      <c r="DB912" s="547">
        <v>2574.2110575957295</v>
      </c>
      <c r="DC912" s="55">
        <v>6196.254803103662</v>
      </c>
      <c r="DD912" s="326">
        <v>71.003</v>
      </c>
      <c r="DE912" s="326">
        <f t="shared" si="323"/>
        <v>36.254961869156645</v>
      </c>
      <c r="DF912" s="772">
        <f t="shared" si="324"/>
        <v>87.2675070504579</v>
      </c>
      <c r="DX912" s="481">
        <v>2008</v>
      </c>
      <c r="DY912" s="216">
        <f>СЧЁТ!BJ19</f>
        <v>14.279402745112492</v>
      </c>
      <c r="DZ912" s="57">
        <f>СЧЁТ!BO19</f>
        <v>10.701001718560617</v>
      </c>
      <c r="EA912" s="75">
        <f>СЧЁТ!BN19</f>
        <v>6.61807370062663</v>
      </c>
    </row>
    <row r="913" ht="17.5" customHeight="1" spans="105:131" x14ac:dyDescent="0.25">
      <c r="DA913" s="771">
        <v>2009</v>
      </c>
      <c r="DB913" s="547">
        <v>2370.848384045667</v>
      </c>
      <c r="DC913" s="55">
        <v>6394.53495680298</v>
      </c>
      <c r="DD913" s="326">
        <v>69.41</v>
      </c>
      <c r="DE913" s="326">
        <f t="shared" si="323"/>
        <v>34.15715868096336</v>
      </c>
      <c r="DF913" s="772">
        <f t="shared" si="324"/>
        <v>92.12699836915401</v>
      </c>
      <c r="DX913" s="481">
        <v>2009</v>
      </c>
      <c r="DY913" s="216">
        <f>СЧЁТ!BJ20</f>
        <v>14.669938798054028</v>
      </c>
      <c r="DZ913" s="57">
        <f>СЧЁТ!BO20</f>
        <v>11.642689869793951</v>
      </c>
      <c r="EA913" s="75">
        <f>СЧЁТ!BN20</f>
        <v>8.30157321960723</v>
      </c>
    </row>
    <row r="914" ht="17.5" customHeight="1" spans="105:131" x14ac:dyDescent="0.25">
      <c r="DA914" s="771">
        <v>2010</v>
      </c>
      <c r="DB914" s="547">
        <v>2477.5365613277218</v>
      </c>
      <c r="DC914" s="55">
        <v>6586.37100550707</v>
      </c>
      <c r="DD914" s="326">
        <v>69.93370846147305</v>
      </c>
      <c r="DE914" s="326">
        <f t="shared" si="323"/>
        <v>35.426929528449264</v>
      </c>
      <c r="DF914" s="772">
        <f t="shared" si="324"/>
        <v>94.18020508858824</v>
      </c>
      <c r="DX914" s="481">
        <v>2010</v>
      </c>
      <c r="DY914" s="216">
        <f>СЧЁТ!BJ21</f>
        <v>16.8302129453818</v>
      </c>
      <c r="DZ914" s="57">
        <f>СЧЁТ!BO21</f>
        <v>12.664918040361862</v>
      </c>
      <c r="EA914" s="75">
        <f>СЧЁТ!BN21</f>
        <v>8.121605375451491</v>
      </c>
    </row>
    <row r="915" ht="17.5" customHeight="1" spans="105:131" x14ac:dyDescent="0.25">
      <c r="DA915" s="771">
        <v>2011</v>
      </c>
      <c r="DB915" s="547">
        <v>2584.0706334648135</v>
      </c>
      <c r="DC915" s="55">
        <v>6849.825845727352</v>
      </c>
      <c r="DD915" s="326">
        <v>70.85661311334043</v>
      </c>
      <c r="DE915" s="326">
        <f t="shared" si="323"/>
        <v>36.46901142919998</v>
      </c>
      <c r="DF915" s="772">
        <f t="shared" si="324"/>
        <v>96.67165201320793</v>
      </c>
      <c r="DX915" s="481">
        <v>2011</v>
      </c>
      <c r="DY915" s="216">
        <f>СЧЁТ!BJ22</f>
        <v>19.85424571376991</v>
      </c>
      <c r="DZ915" s="57">
        <f>СЧЁТ!BO22</f>
        <v>13.437478040823935</v>
      </c>
      <c r="EA915" s="75">
        <f>СЧЁТ!BN22</f>
        <v>8.282874191876036</v>
      </c>
    </row>
    <row r="916" ht="17.5" customHeight="1" spans="105:131" x14ac:dyDescent="0.25">
      <c r="DA916" s="771">
        <v>2012</v>
      </c>
      <c r="DB916" s="547">
        <v>2678.541712402734</v>
      </c>
      <c r="DC916" s="55">
        <v>7144.368357093628</v>
      </c>
      <c r="DD916" s="326">
        <v>71.54541586357954</v>
      </c>
      <c r="DE916" s="326">
        <f t="shared" si="323"/>
        <v>37.43834150758296</v>
      </c>
      <c r="DF916" s="772">
        <f t="shared" si="324"/>
        <v>99.85780739210848</v>
      </c>
      <c r="DX916" s="481">
        <v>2012</v>
      </c>
      <c r="DY916" s="216">
        <f>СЧЁТ!BJ23</f>
        <v>21.405203901528715</v>
      </c>
      <c r="DZ916" s="57">
        <f>СЧЁТ!BO23</f>
        <v>14.321664095910151</v>
      </c>
      <c r="EA916" s="75">
        <f>СЧЁТ!BN23</f>
        <v>8.667019917064364</v>
      </c>
    </row>
    <row r="917" ht="17.5" customHeight="1" spans="105:131" x14ac:dyDescent="0.25">
      <c r="DA917" s="771">
        <v>2013</v>
      </c>
      <c r="DB917" s="547">
        <v>2726.3631774238834</v>
      </c>
      <c r="DC917" s="55">
        <v>7437.287459734466</v>
      </c>
      <c r="DD917" s="326">
        <v>71.391459581339</v>
      </c>
      <c r="DE917" s="326">
        <f t="shared" si="323"/>
        <v>38.1889261462379</v>
      </c>
      <c r="DF917" s="772">
        <f t="shared" si="324"/>
        <v>104.1761508077991</v>
      </c>
      <c r="DX917" s="481">
        <v>2013</v>
      </c>
      <c r="DY917" s="216">
        <f>СЧЁТ!BJ24</f>
        <v>22.832323118365768</v>
      </c>
      <c r="DZ917" s="57">
        <f>СЧЁТ!BO24</f>
        <v>15.245411430096356</v>
      </c>
      <c r="EA917" s="75">
        <f>СЧЁТ!BN24</f>
        <v>9.0619465420278</v>
      </c>
    </row>
    <row r="918" ht="17.5" customHeight="1" spans="105:131" x14ac:dyDescent="0.25">
      <c r="DA918" s="771">
        <v>2014</v>
      </c>
      <c r="DB918" s="547">
        <v>2746.5001169353304</v>
      </c>
      <c r="DC918" s="55">
        <v>7712.467095744641</v>
      </c>
      <c r="DD918" s="326">
        <v>71.539043569578</v>
      </c>
      <c r="DE918" s="326">
        <f t="shared" si="323"/>
        <v>38.39162476730791</v>
      </c>
      <c r="DF918" s="772">
        <f t="shared" si="324"/>
        <v>107.80780271745721</v>
      </c>
      <c r="DX918" s="481">
        <v>2014</v>
      </c>
      <c r="DY918" s="216">
        <f>СЧЁТ!BJ25</f>
        <v>24.43123573923766</v>
      </c>
      <c r="DZ918" s="57">
        <f>СЧЁТ!BO25</f>
        <v>17.31878738458946</v>
      </c>
      <c r="EA918" s="75">
        <f>СЧЁТ!BN25</f>
        <v>10.713774916786434</v>
      </c>
    </row>
    <row r="919" ht="17.5" customHeight="1" spans="105:131" x14ac:dyDescent="0.25">
      <c r="DA919" s="771">
        <v>2015</v>
      </c>
      <c r="DB919" s="547">
        <v>2683.3306142458177</v>
      </c>
      <c r="DC919" s="55">
        <v>7959.266042808469</v>
      </c>
      <c r="DD919" s="326">
        <v>72.323622532452</v>
      </c>
      <c r="DE919" s="326">
        <f t="shared" si="323"/>
        <v>37.101717534154105</v>
      </c>
      <c r="DF919" s="772">
        <f t="shared" si="324"/>
        <v>110.05071046098531</v>
      </c>
      <c r="DX919" s="481">
        <v>2015</v>
      </c>
      <c r="DY919" s="216">
        <f>СЧЁТ!BJ26</f>
        <v>27.196038400434425</v>
      </c>
      <c r="DZ919" s="57">
        <f>СЧЁТ!BO26</f>
        <v>19.5529109572015</v>
      </c>
      <c r="EA919" s="75">
        <f>СЧЁТ!BN26</f>
        <v>15.00558323794657</v>
      </c>
    </row>
    <row r="920" ht="17.5" customHeight="1" spans="105:131" x14ac:dyDescent="0.25">
      <c r="DA920" s="771">
        <v>2016</v>
      </c>
      <c r="DB920" s="547">
        <v>2688.697275474309</v>
      </c>
      <c r="DC920" s="55">
        <v>8269.677418477999</v>
      </c>
      <c r="DD920" s="326">
        <v>72.393</v>
      </c>
      <c r="DE920" s="326">
        <f t="shared" si="323"/>
        <v>37.14029361228722</v>
      </c>
      <c r="DF920" s="772">
        <f t="shared" si="324"/>
        <v>114.23310842868784</v>
      </c>
      <c r="DX920" s="481">
        <v>2016</v>
      </c>
      <c r="DY920" s="216">
        <f>СЧЁТ!BJ27</f>
        <v>28.328183799288354</v>
      </c>
      <c r="DZ920" s="57">
        <f>СЧЁТ!BO27</f>
        <v>20.60681285779466</v>
      </c>
      <c r="EA920" s="75">
        <f>СЧЁТ!BN27</f>
        <v>16.052012422908835</v>
      </c>
    </row>
    <row r="921" ht="17.5" customHeight="1" spans="105:131" x14ac:dyDescent="0.25">
      <c r="DA921" s="771">
        <v>2017</v>
      </c>
      <c r="DB921" s="135">
        <f t="array" ref="DB921:DB934">TRANSPOSE(СЧЁТ!AK120:AX120)</f>
        <v>31.008032895393978</v>
      </c>
      <c r="DC921" s="135">
        <f t="array" ref="DC921:DC934">TRANSPOSE(СЧЁТ!AK147:AX147)</f>
        <v>3.967</v>
      </c>
      <c r="DD921" s="141">
        <f t="array" ref="DD921:DD934">TRANSPOSE(СЧЁТ!AK106:AX106)</f>
        <v>48135.66</v>
      </c>
      <c r="DE921" s="141">
        <f>DB921/DD921</f>
        <v>0.0006441800713939308</v>
      </c>
      <c r="DF921" s="773">
        <f>DC921/DD921</f>
        <v>0.00008241291383560545</v>
      </c>
      <c r="DX921" s="481">
        <v>2017</v>
      </c>
      <c r="DY921" s="216">
        <f>СЧЁТ!BJ28</f>
        <v>29.877742312507845</v>
      </c>
      <c r="DZ921" s="57">
        <f>СЧЁТ!BO28</f>
        <v>21.124043860525305</v>
      </c>
      <c r="EA921" s="75">
        <f>СЧЁТ!BN28</f>
        <v>14.742627700481552</v>
      </c>
    </row>
    <row r="922" ht="17.5" customHeight="1" spans="105:131" x14ac:dyDescent="0.25">
      <c r="DA922" s="771">
        <v>2018</v>
      </c>
      <c r="DB922" s="135">
        <v>30.917946096737758</v>
      </c>
      <c r="DC922" s="135">
        <v>3.657</v>
      </c>
      <c r="DD922" s="141">
        <v>50851.05</v>
      </c>
      <c r="DE922" s="141">
        <f t="shared" ref="DE922:DE934" si="325">DB922/DD922</f>
        <v>0.0006080099839971398</v>
      </c>
      <c r="DF922" s="773">
        <f t="shared" ref="DF922:DF934" si="326">DC922/DD922</f>
        <v>0.00007191591914031273</v>
      </c>
      <c r="DX922" s="481">
        <v>2018</v>
      </c>
      <c r="DY922" s="216">
        <f>СЧЁТ!BJ29</f>
        <v>32.51465333840346</v>
      </c>
      <c r="DZ922" s="57">
        <f>СЧЁТ!BO29</f>
        <v>22.02392812898368</v>
      </c>
      <c r="EA922" s="75">
        <f>СЧЁТ!BN29</f>
        <v>16.237654558609503</v>
      </c>
    </row>
    <row r="923" ht="17.5" customHeight="1" spans="105:131" x14ac:dyDescent="0.25">
      <c r="DA923" s="771">
        <v>2019</v>
      </c>
      <c r="DB923" s="135">
        <v>34.38759165807859</v>
      </c>
      <c r="DC923" s="135">
        <v>2.710165438947044</v>
      </c>
      <c r="DD923" s="141">
        <v>55095.86616775323</v>
      </c>
      <c r="DE923" s="141">
        <f t="shared" si="325"/>
        <v>0.0006241410481392</v>
      </c>
      <c r="DF923" s="773">
        <f t="shared" si="326"/>
        <v>0.000049189996046078366</v>
      </c>
      <c r="DX923" s="481">
        <v>2019</v>
      </c>
      <c r="DY923" s="216">
        <f>СЧЁТ!BJ30</f>
        <v>31.980297493595838</v>
      </c>
      <c r="DZ923" s="57">
        <f>СЧЁТ!BO30</f>
        <v>22.693455544104783</v>
      </c>
      <c r="EA923" s="75">
        <f>СЧЁТ!BN30</f>
        <v>18.438060398142703</v>
      </c>
    </row>
    <row r="924" ht="17.5" customHeight="1" spans="105:131" x14ac:dyDescent="0.25">
      <c r="DA924" s="771">
        <v>2020</v>
      </c>
      <c r="DB924" s="135">
        <v>33.33077815849024</v>
      </c>
      <c r="DC924" s="135">
        <v>4.042269076565674</v>
      </c>
      <c r="DD924" s="141">
        <v>58865.11018719804</v>
      </c>
      <c r="DE924" s="141">
        <f t="shared" si="325"/>
        <v>0.0005662229808539287</v>
      </c>
      <c r="DF924" s="773">
        <f t="shared" si="326"/>
        <v>0.00006867003329664683</v>
      </c>
      <c r="DX924" s="481">
        <v>2020</v>
      </c>
      <c r="DY924" s="216">
        <f>СЧЁТ!BJ31</f>
        <v>33.32843885563077</v>
      </c>
      <c r="DZ924" s="57">
        <f>СЧЁТ!BO31</f>
        <v>23.807704211320324</v>
      </c>
      <c r="EA924" s="75">
        <f>СЧЁТ!BN31</f>
        <v>19.799322318991504</v>
      </c>
    </row>
    <row r="925" ht="17.5" customHeight="1" spans="105:131" x14ac:dyDescent="0.25">
      <c r="DA925" s="771">
        <v>2021</v>
      </c>
      <c r="DB925" s="135">
        <v>37.21606706641476</v>
      </c>
      <c r="DC925" s="135">
        <v>3.092908785889705</v>
      </c>
      <c r="DD925" s="141">
        <v>66727.55100436184</v>
      </c>
      <c r="DE925" s="141">
        <f t="shared" si="325"/>
        <v>0.0005577316491651556</v>
      </c>
      <c r="DF925" s="773">
        <f t="shared" si="326"/>
        <v>0.000046351300764620116</v>
      </c>
      <c r="DX925" s="481">
        <v>2021</v>
      </c>
      <c r="DY925" s="216">
        <f>СЧЁТ!BJ32</f>
        <v>36.28570647252963</v>
      </c>
      <c r="DZ925" s="57">
        <f>СЧЁТ!BO32</f>
        <v>24.99808942188634</v>
      </c>
      <c r="EA925" s="75">
        <f>СЧЁТ!BN32</f>
        <v>20.147590934941082</v>
      </c>
    </row>
    <row r="926" ht="17.5" customHeight="1" spans="105:131" x14ac:dyDescent="0.25">
      <c r="DA926" s="771">
        <v>2022</v>
      </c>
      <c r="DB926" s="135">
        <v>38.478495419735495</v>
      </c>
      <c r="DC926" s="135">
        <v>2.3211689748205657</v>
      </c>
      <c r="DD926" s="141">
        <v>73500.40619141607</v>
      </c>
      <c r="DE926" s="141">
        <f t="shared" si="325"/>
        <v>0.0005235140513309069</v>
      </c>
      <c r="DF926" s="773">
        <f t="shared" si="326"/>
        <v>0.00003158035574355301</v>
      </c>
      <c r="DX926" s="481">
        <v>2022</v>
      </c>
      <c r="DY926" s="216">
        <f>СЧЁТ!BJ33</f>
        <v>38.753581796906595</v>
      </c>
      <c r="DZ926" s="57">
        <f>СЧЁТ!BO33</f>
        <v>26.24799389298066</v>
      </c>
      <c r="EA926" s="75">
        <f>СЧЁТ!BN33</f>
        <v>20.910602631688135</v>
      </c>
    </row>
    <row r="927" ht="17.5" customHeight="1" spans="105:131" x14ac:dyDescent="0.25">
      <c r="DA927" s="771">
        <v>2023</v>
      </c>
      <c r="DB927" s="135">
        <v>39.78779519072227</v>
      </c>
      <c r="DC927" s="135">
        <v>1.5415610800227313</v>
      </c>
      <c r="DD927" s="141">
        <v>80804.77243598699</v>
      </c>
      <c r="DE927" s="141">
        <f t="shared" si="325"/>
        <v>0.0004923941246445797</v>
      </c>
      <c r="DF927" s="773">
        <f t="shared" si="326"/>
        <v>0.00001907759942327597</v>
      </c>
      <c r="DX927" s="481">
        <v>2023</v>
      </c>
      <c r="DY927" s="216">
        <f>СЧЁТ!BJ34</f>
        <v>41.37765791453212</v>
      </c>
      <c r="DZ927" s="57">
        <f>СЧЁТ!BO34</f>
        <v>27.560393587629694</v>
      </c>
      <c r="EA927" s="75">
        <f>СЧЁТ!BN34</f>
        <v>21.70194341327254</v>
      </c>
    </row>
    <row r="928" ht="17.5" customHeight="1" spans="105:131" x14ac:dyDescent="0.25">
      <c r="DA928" s="771">
        <v>2024</v>
      </c>
      <c r="DB928" s="135">
        <v>41.146309950258384</v>
      </c>
      <c r="DC928" s="135">
        <v>0.757039971475578</v>
      </c>
      <c r="DD928" s="141">
        <v>88741.75751068386</v>
      </c>
      <c r="DE928" s="141">
        <f t="shared" si="325"/>
        <v>0.00046366345567704884</v>
      </c>
      <c r="DF928" s="773">
        <f t="shared" si="326"/>
        <v>0.000008530820131485856</v>
      </c>
      <c r="DX928" s="481">
        <v>2024</v>
      </c>
      <c r="DY928" s="216">
        <f>СЧЁТ!BJ35</f>
        <v>44.16378316137025</v>
      </c>
      <c r="DZ928" s="57">
        <f>СЧЁТ!BO35</f>
        <v>28.938413267011178</v>
      </c>
      <c r="EA928" s="75">
        <f>СЧЁТ!BN35</f>
        <v>22.52302973393617</v>
      </c>
    </row>
    <row r="929" ht="17.5" customHeight="1" spans="105:131" x14ac:dyDescent="0.25">
      <c r="DA929" s="771">
        <v>2025</v>
      </c>
      <c r="DB929" s="135">
        <v>42.5565004477713</v>
      </c>
      <c r="DC929" s="135">
        <v>-0.06539111922477048</v>
      </c>
      <c r="DD929" s="141">
        <v>97406.10249423188</v>
      </c>
      <c r="DE929" s="141">
        <f t="shared" si="325"/>
        <v>0.00043689768256861914</v>
      </c>
      <c r="DF929" s="773">
        <f t="shared" si="326"/>
        <v>-6.713246660150761e-7</v>
      </c>
      <c r="DX929" s="481">
        <v>2025</v>
      </c>
      <c r="DY929" s="216">
        <f>СЧЁТ!BJ36</f>
        <v>47.11927477937799</v>
      </c>
      <c r="DZ929" s="57">
        <f>СЧЁТ!BO36</f>
        <v>30.38533393036174</v>
      </c>
      <c r="EA929" s="75">
        <f>СЧЁТ!BN36</f>
        <v>23.375348870632976</v>
      </c>
    </row>
    <row r="930" ht="17.5" customHeight="1" spans="105:131" x14ac:dyDescent="0.25">
      <c r="DA930" s="771">
        <v>2026</v>
      </c>
      <c r="DB930" s="135">
        <v>44.02095047015987</v>
      </c>
      <c r="DC930" s="135">
        <v>-0.9124076980468914</v>
      </c>
      <c r="DD930" s="141">
        <v>106891.29627504833</v>
      </c>
      <c r="DE930" s="141">
        <f t="shared" si="325"/>
        <v>0.00041182913861281047</v>
      </c>
      <c r="DF930" s="773">
        <f t="shared" si="326"/>
        <v>-0.000008535846508018025</v>
      </c>
      <c r="DX930" s="481">
        <v>2026</v>
      </c>
      <c r="DY930" s="216">
        <f>СЧЁТ!BJ37</f>
        <v>50.252435090880134</v>
      </c>
      <c r="DZ930" s="57">
        <f>СЧЁТ!BO37</f>
        <v>31.904600626879827</v>
      </c>
      <c r="EA930" s="75">
        <f>СЧЁТ!BN37</f>
        <v>24.260462464164625</v>
      </c>
    </row>
    <row r="931" ht="17.5" customHeight="1" spans="105:131" x14ac:dyDescent="0.25">
      <c r="DA931" s="771">
        <v>2027</v>
      </c>
      <c r="DB931" s="135">
        <v>45.54237299366786</v>
      </c>
      <c r="DC931" s="135">
        <v>-1.7895129729460848</v>
      </c>
      <c r="DD931" s="141">
        <v>117293.21324623218</v>
      </c>
      <c r="DE931" s="141">
        <f t="shared" si="325"/>
        <v>0.0003882779892649145</v>
      </c>
      <c r="DF931" s="773">
        <f t="shared" si="326"/>
        <v>-0.000015256747798266748</v>
      </c>
      <c r="DX931" s="481">
        <v>2027</v>
      </c>
      <c r="DY931" s="216">
        <f>СЧЁТ!BJ38</f>
        <v>53.572305998881035</v>
      </c>
      <c r="DZ931" s="57">
        <f>СЧЁТ!BO38</f>
        <v>33.49983065822382</v>
      </c>
      <c r="EA931" s="75">
        <f>СЧЁТ!BN38</f>
        <v>25.18001023737286</v>
      </c>
    </row>
    <row r="932" ht="17.5" customHeight="1" spans="105:131" x14ac:dyDescent="0.25">
      <c r="DA932" s="771">
        <v>2028</v>
      </c>
      <c r="DB932" s="135">
        <v>47.123616643351255</v>
      </c>
      <c r="DC932" s="135">
        <v>-2.7007881812319994</v>
      </c>
      <c r="DD932" s="141">
        <v>128712.81634808327</v>
      </c>
      <c r="DE932" s="141">
        <f t="shared" si="325"/>
        <v>0.00036611440865308203</v>
      </c>
      <c r="DF932" s="773">
        <f t="shared" si="326"/>
        <v>-0.000020983055595086574</v>
      </c>
      <c r="DX932" s="481">
        <v>2028</v>
      </c>
      <c r="DY932" s="216">
        <f>СЧЁТ!BJ39</f>
        <v>57.08855039167372</v>
      </c>
      <c r="DZ932" s="57">
        <f>СЧЁТ!BO39</f>
        <v>35.174822191135014</v>
      </c>
      <c r="EA932" s="75">
        <f>СЧЁТ!BN39</f>
        <v>26.1357138992415</v>
      </c>
    </row>
    <row r="933" ht="17.5" customHeight="1" spans="105:131" x14ac:dyDescent="0.25">
      <c r="DA933" s="771">
        <v>2029</v>
      </c>
      <c r="DB933" s="135">
        <v>48.76767247551882</v>
      </c>
      <c r="DC933" s="135">
        <v>-3.660076420358351</v>
      </c>
      <c r="DD933" s="141">
        <v>141258.28260823787</v>
      </c>
      <c r="DE933" s="141">
        <f t="shared" si="325"/>
        <v>0.00034523761421317747</v>
      </c>
      <c r="DF933" s="773">
        <f t="shared" si="326"/>
        <v>-0.00002591052611413317</v>
      </c>
      <c r="DX933" s="481">
        <v>2029</v>
      </c>
      <c r="DY933" s="216">
        <f>СЧЁТ!BJ40</f>
        <v>60.81140142212709</v>
      </c>
      <c r="DZ933" s="57">
        <f>СЧЁТ!BO40</f>
        <v>36.933563300691766</v>
      </c>
      <c r="EA933" s="75">
        <f>СЧЁТ!BN40</f>
        <v>27.12938124420358</v>
      </c>
    </row>
    <row r="934" ht="17.5" customHeight="1" spans="105:131" x14ac:dyDescent="0.25">
      <c r="DA934" s="774">
        <v>2030</v>
      </c>
      <c r="DB934" s="775">
        <v>50.477681099294756</v>
      </c>
      <c r="DC934" s="776">
        <v>-4.659542040078733</v>
      </c>
      <c r="DD934" s="777">
        <v>155046.78781318307</v>
      </c>
      <c r="DE934" s="777">
        <f t="shared" si="325"/>
        <v>0.0003255641849227838</v>
      </c>
      <c r="DF934" s="778">
        <f t="shared" si="326"/>
        <v>-0.00003005248999865155</v>
      </c>
      <c r="DX934" s="512">
        <v>2030</v>
      </c>
      <c r="DY934" s="216">
        <f>СЧЁТ!BJ41</f>
        <v>64.75164840828636</v>
      </c>
      <c r="DZ934" s="57">
        <f>СЧЁТ!BO41</f>
        <v>38.780241465726355</v>
      </c>
      <c r="EA934" s="75">
        <f>СЧЁТ!BN41</f>
        <v>28.16291045641375</v>
      </c>
    </row>
  </sheetData>
  <mergeCells count="3">
    <mergeCell ref="AP228:AP229"/>
    <mergeCell ref="AQ228:AQ229"/>
    <mergeCell ref="AR228:AR229"/>
  </mergeCells>
  <printOptions horizontalCentered="1"/>
  <pageMargins left="0.7086614173228347" right="0.7086614173228347" top="4.291338582677166" bottom="0.7480314960629921" header="0.31496062992125984" footer="0.31496062992125984"/>
  <pageSetup paperSize="9" orientation="portrait" horizontalDpi="180" verticalDpi="180" scale="12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X251"/>
  <sheetViews>
    <sheetView workbookViewId="0" zoomScale="50" zoomScaleNormal="50">
      <selection activeCell="CE162" sqref="CE162"/>
    </sheetView>
  </sheetViews>
  <sheetFormatPr defaultRowHeight="14.5" outlineLevelRow="0" outlineLevelCol="0" x14ac:dyDescent="0" defaultColWidth="8.83203125" customHeight="1"/>
  <cols>
    <col min="8" max="8" width="15.5" customWidth="1"/>
    <col min="10" max="10" width="14.5" customWidth="1"/>
    <col min="11" max="13" width="11.5" customWidth="1"/>
    <col min="14" max="14" width="12.1640625" customWidth="1"/>
    <col min="15" max="16" width="11.5" customWidth="1"/>
    <col min="17" max="18" width="11.6640625" customWidth="1"/>
    <col min="19" max="24" width="14.1640625" customWidth="1"/>
    <col min="25" max="25" width="10.6640625" customWidth="1"/>
    <col min="26" max="31" width="14.1640625" customWidth="1"/>
    <col min="32" max="32" width="12.83203125" customWidth="1"/>
    <col min="33" max="33" width="12.5" customWidth="1"/>
    <col min="34" max="34" width="10.6640625" customWidth="1"/>
    <col min="35" max="38" width="14.1640625" customWidth="1"/>
    <col min="39" max="39" width="12.6640625" customWidth="1"/>
    <col min="40" max="40" width="12.33203125" customWidth="1"/>
    <col min="41" max="41" width="11" customWidth="1"/>
    <col min="42" max="42" width="10.83203125" customWidth="1"/>
    <col min="43" max="43" width="10.1640625" customWidth="1"/>
    <col min="48" max="48" width="11.5" customWidth="1"/>
    <col min="49" max="49" width="9.6640625" customWidth="1"/>
    <col min="50" max="51" width="11.1640625" customWidth="1"/>
    <col min="52" max="52" width="10.6640625" customWidth="1"/>
    <col min="53" max="53" width="12" customWidth="1"/>
    <col min="54" max="54" width="11.83203125" customWidth="1"/>
    <col min="55" max="55" width="12.1640625" customWidth="1"/>
    <col min="56" max="56" width="12.5" customWidth="1"/>
    <col min="57" max="57" width="11.1640625" customWidth="1"/>
    <col min="58" max="58" width="10.33203125" customWidth="1"/>
    <col min="59" max="59" width="10.83203125" customWidth="1"/>
    <col min="60" max="60" width="11.5" customWidth="1"/>
    <col min="61" max="61" width="10" customWidth="1"/>
    <col min="62" max="62" width="10.33203125" customWidth="1"/>
    <col min="63" max="63" width="11.6640625" customWidth="1"/>
    <col min="64" max="64" width="12" customWidth="1"/>
    <col min="65" max="65" width="12.33203125" customWidth="1"/>
    <col min="66" max="66" width="12" customWidth="1"/>
    <col min="67" max="67" width="11" customWidth="1"/>
    <col min="68" max="68" width="9.83203125" customWidth="1"/>
    <col min="69" max="69" width="11" customWidth="1"/>
    <col min="70" max="70" width="10.5" customWidth="1"/>
    <col min="71" max="71" width="11.83203125" customWidth="1"/>
    <col min="72" max="72" width="13.5" customWidth="1"/>
    <col min="73" max="73" width="12.5" customWidth="1"/>
    <col min="74" max="74" width="10.6640625" customWidth="1"/>
    <col min="75" max="75" width="12.1640625" customWidth="1"/>
    <col min="76" max="76" width="12.5" customWidth="1"/>
    <col min="77" max="77" width="11.5" customWidth="1"/>
    <col min="78" max="78" width="13.1640625" customWidth="1"/>
    <col min="79" max="79" width="10.1640625" customWidth="1"/>
    <col min="80" max="80" width="12.5" customWidth="1"/>
    <col min="81" max="82" width="11.5" customWidth="1"/>
    <col min="83" max="83" width="11.1640625" customWidth="1"/>
    <col min="84" max="84" width="11.33203125" customWidth="1"/>
    <col min="85" max="85" width="10.5" customWidth="1"/>
    <col min="86" max="86" width="11.83203125" customWidth="1"/>
    <col min="87" max="87" width="13.83203125" customWidth="1"/>
    <col min="88" max="88" width="12.5" customWidth="1"/>
    <col min="89" max="89" width="11.5" customWidth="1"/>
    <col min="90" max="90" width="11.6640625" customWidth="1"/>
    <col min="91" max="91" width="12.33203125" customWidth="1"/>
    <col min="92" max="92" width="12.5" customWidth="1"/>
    <col min="93" max="93" width="11.33203125" customWidth="1"/>
    <col min="94" max="94" width="10.5" customWidth="1"/>
    <col min="95" max="95" width="12.6640625" customWidth="1"/>
    <col min="97" max="98" width="11.5" customWidth="1"/>
    <col min="99" max="99" width="12.5" customWidth="1"/>
    <col min="100" max="100" width="11.33203125" customWidth="1"/>
    <col min="101" max="101" width="10.5" customWidth="1"/>
    <col min="102" max="102" width="11" customWidth="1"/>
    <col min="103" max="103" width="10.33203125" customWidth="1"/>
    <col min="104" max="105" width="11.33203125" customWidth="1"/>
    <col min="106" max="106" width="11.5" customWidth="1"/>
    <col min="107" max="107" width="9.33203125" customWidth="1"/>
    <col min="108" max="108" width="10.5" customWidth="1"/>
    <col min="109" max="112" width="12.5" customWidth="1"/>
    <col min="113" max="114" width="9.33203125" customWidth="1"/>
    <col min="115" max="115" width="10.33203125" customWidth="1"/>
    <col min="116" max="116" width="9.33203125" customWidth="1"/>
    <col min="117" max="117" width="10.1640625" customWidth="1"/>
    <col min="118" max="118" width="10.33203125" customWidth="1"/>
    <col min="119" max="119" width="9.5" customWidth="1"/>
    <col min="120" max="120" width="12" customWidth="1"/>
    <col min="121" max="121" width="9.83203125" customWidth="1"/>
    <col min="122" max="122" width="11.33203125" customWidth="1"/>
    <col min="123" max="123" width="12.1640625" customWidth="1"/>
    <col min="124" max="124" width="11.6640625" customWidth="1"/>
    <col min="125" max="125" width="11.33203125" customWidth="1"/>
    <col min="126" max="126" width="12.33203125" customWidth="1"/>
    <col min="127" max="127" width="11.6640625" customWidth="1"/>
    <col min="128" max="128" width="12.6640625" customWidth="1"/>
    <col min="129" max="129" width="10.83203125" customWidth="1"/>
    <col min="130" max="130" width="11.33203125" customWidth="1"/>
    <col min="131" max="131" width="10.5" customWidth="1"/>
    <col min="132" max="132" width="12.1640625" customWidth="1"/>
    <col min="133" max="134" width="10.5" customWidth="1"/>
    <col min="135" max="135" width="9.83203125" customWidth="1"/>
    <col min="136" max="136" width="11.5" customWidth="1"/>
    <col min="137" max="137" width="13.6640625" customWidth="1"/>
    <col min="138" max="138" width="11.33203125" customWidth="1"/>
    <col min="139" max="139" width="11.5" customWidth="1"/>
    <col min="140" max="140" width="12" customWidth="1"/>
    <col min="141" max="141" width="11.5" customWidth="1"/>
    <col min="142" max="142" width="12.1640625" customWidth="1"/>
    <col min="143" max="143" width="10.83203125" customWidth="1"/>
    <col min="144" max="144" width="12.5" customWidth="1"/>
    <col min="145" max="145" width="11.6640625" customWidth="1"/>
    <col min="146" max="146" width="12.33203125" customWidth="1"/>
    <col min="147" max="147" width="10.5" customWidth="1"/>
    <col min="149" max="149" width="12.33203125" customWidth="1"/>
    <col min="150" max="150" width="11.6640625" customWidth="1"/>
    <col min="151" max="151" width="11.33203125" customWidth="1"/>
    <col min="152" max="152" width="10.5" customWidth="1"/>
    <col min="153" max="154" width="11.5" customWidth="1"/>
    <col min="155" max="155" width="12" customWidth="1"/>
    <col min="156" max="156" width="10.5" customWidth="1"/>
    <col min="157" max="157" width="11.5" customWidth="1"/>
    <col min="158" max="158" width="9.6640625" customWidth="1"/>
    <col min="159" max="159" width="11.5" customWidth="1"/>
    <col min="160" max="160" width="9.5" customWidth="1"/>
    <col min="161" max="161" width="11.1640625" customWidth="1"/>
    <col min="162" max="162" width="11.5" customWidth="1"/>
    <col min="163" max="163" width="10.83203125" customWidth="1"/>
    <col min="164" max="164" width="11.6640625" customWidth="1"/>
    <col min="165" max="165" width="11.1640625" customWidth="1"/>
    <col min="166" max="166" width="11.5" customWidth="1"/>
    <col min="167" max="167" width="11.83203125" customWidth="1"/>
    <col min="168" max="168" width="11.5" customWidth="1"/>
    <col min="169" max="169" width="10.5" customWidth="1"/>
    <col min="170" max="170" width="11.5" customWidth="1"/>
    <col min="171" max="171" width="12.1640625" customWidth="1"/>
    <col min="172" max="172" width="12" customWidth="1"/>
    <col min="173" max="173" width="11.5" customWidth="1"/>
    <col min="174" max="174" width="10.5" customWidth="1"/>
    <col min="175" max="175" width="11.1640625" customWidth="1"/>
    <col min="176" max="176" width="11" customWidth="1"/>
    <col min="177" max="178" width="11.1640625" customWidth="1"/>
    <col min="179" max="179" width="10" customWidth="1"/>
    <col min="182" max="182" width="10" customWidth="1"/>
    <col min="183" max="183" width="9.5" customWidth="1"/>
    <col min="184" max="184" width="11.5" customWidth="1"/>
    <col min="185" max="185" width="10.83203125" customWidth="1"/>
    <col min="186" max="186" width="11.33203125" customWidth="1"/>
    <col min="187" max="187" width="11.5" customWidth="1"/>
    <col min="188" max="188" width="9.33203125" customWidth="1"/>
    <col min="189" max="189" width="11.33203125" customWidth="1"/>
    <col min="190" max="190" width="11.83203125" customWidth="1"/>
    <col min="191" max="191" width="11.5" customWidth="1"/>
    <col min="192" max="192" width="10.6640625" customWidth="1"/>
    <col min="193" max="193" width="13.1640625" customWidth="1"/>
    <col min="194" max="194" width="10.1640625" customWidth="1"/>
    <col min="195" max="195" width="11.1640625" customWidth="1"/>
    <col min="196" max="196" width="12" customWidth="1"/>
    <col min="197" max="197" width="12.5" customWidth="1"/>
    <col min="198" max="198" width="13.33203125" customWidth="1"/>
    <col min="199" max="199" width="13.6640625" customWidth="1"/>
    <col min="200" max="200" width="14.5" customWidth="1"/>
    <col min="201" max="201" width="11.6640625" customWidth="1"/>
    <col min="202" max="202" width="11" customWidth="1"/>
    <col min="203" max="204" width="14.6640625" customWidth="1"/>
    <col min="205" max="205" width="11.5" customWidth="1"/>
    <col min="206" max="206" width="12.1640625" customWidth="1"/>
    <col min="226" max="226" width="12.6640625" customWidth="1"/>
    <col min="227" max="227" width="11.5" customWidth="1"/>
    <col min="228" max="228" width="10.1640625" customWidth="1"/>
    <col min="234" max="234" width="11.6640625" customWidth="1"/>
    <col min="235" max="235" width="13.5" customWidth="1"/>
    <col min="236" max="236" width="13.83203125" customWidth="1"/>
    <col min="237" max="237" width="11.5" customWidth="1"/>
    <col min="258" max="258" width="12.33203125" customWidth="1"/>
  </cols>
  <sheetData>
    <row r="1" ht="17.5" customHeight="1" spans="140:140" x14ac:dyDescent="0.25">
      <c r="EJ1" s="682"/>
    </row>
    <row r="2" ht="25.5" customHeight="1" spans="47:52" x14ac:dyDescent="0.25">
      <c r="AU2" s="24"/>
      <c r="AV2" s="24"/>
      <c r="AW2" s="24"/>
      <c r="AX2" s="24"/>
      <c r="AY2" s="24"/>
      <c r="AZ2" s="24"/>
    </row>
    <row r="3" ht="24.75" customHeight="1" spans="47:258" x14ac:dyDescent="0.25">
      <c r="AU3" s="24"/>
      <c r="AV3" s="24"/>
      <c r="AW3" s="24"/>
      <c r="AX3" s="24"/>
      <c r="AY3" s="24"/>
      <c r="AZ3" s="24"/>
      <c r="DX3" s="59" t="s">
        <v>834</v>
      </c>
      <c r="DY3" s="59"/>
      <c r="DZ3" s="59"/>
      <c r="EA3" s="59"/>
      <c r="EB3" s="59" t="s">
        <v>835</v>
      </c>
      <c r="EC3" s="59"/>
      <c r="ED3" s="59"/>
      <c r="EE3" s="59" t="s">
        <v>836</v>
      </c>
      <c r="EF3" s="59"/>
      <c r="EG3" s="59"/>
      <c r="EH3" s="779"/>
      <c r="EI3" s="779"/>
      <c r="EJ3" s="779"/>
      <c r="EK3" s="779"/>
      <c r="GU3" s="780" t="s">
        <v>159</v>
      </c>
      <c r="GV3" s="781" t="s">
        <v>837</v>
      </c>
      <c r="GW3" s="781" t="s">
        <v>381</v>
      </c>
      <c r="GX3" s="781" t="s">
        <v>838</v>
      </c>
      <c r="HZ3" s="780" t="s">
        <v>159</v>
      </c>
      <c r="IA3" s="781" t="s">
        <v>839</v>
      </c>
      <c r="IB3" s="781" t="s">
        <v>839</v>
      </c>
      <c r="IC3" s="781" t="s">
        <v>839</v>
      </c>
      <c r="IX3" s="782" t="s">
        <v>839</v>
      </c>
    </row>
    <row r="4" ht="23.5" customHeight="1" spans="86:258" x14ac:dyDescent="0.25">
      <c r="CH4" s="187"/>
      <c r="CI4" s="187"/>
      <c r="CJ4" s="187"/>
      <c r="CK4" s="187"/>
      <c r="CL4" s="187"/>
      <c r="DX4" s="779"/>
      <c r="DY4" s="779"/>
      <c r="DZ4" s="779"/>
      <c r="EA4" s="779"/>
      <c r="EB4" s="779"/>
      <c r="EC4" s="779"/>
      <c r="ED4" s="779"/>
      <c r="EE4" s="779"/>
      <c r="EF4" s="779"/>
      <c r="EG4" s="779"/>
      <c r="EH4" s="779"/>
      <c r="EI4" s="779"/>
      <c r="EJ4" s="779"/>
      <c r="EK4" s="779"/>
      <c r="GU4" s="783">
        <v>43920</v>
      </c>
      <c r="GV4" s="784" t="s">
        <v>840</v>
      </c>
      <c r="GW4" s="785" t="s">
        <v>840</v>
      </c>
      <c r="GX4" s="786" t="s">
        <v>840</v>
      </c>
      <c r="HZ4" s="783">
        <v>43957</v>
      </c>
      <c r="IA4" s="787" t="s">
        <v>56</v>
      </c>
      <c r="IB4" s="787" t="s">
        <v>841</v>
      </c>
      <c r="IC4" s="787" t="s">
        <v>17</v>
      </c>
      <c r="IX4" s="788" t="s">
        <v>633</v>
      </c>
    </row>
    <row r="5" ht="21.5" customHeight="1" spans="12:258" x14ac:dyDescent="0.25">
      <c r="L5" s="789" t="s">
        <v>842</v>
      </c>
      <c r="M5" s="790"/>
      <c r="N5" s="790"/>
      <c r="O5" s="790"/>
      <c r="P5" s="790"/>
      <c r="Q5" s="790"/>
      <c r="R5" s="790"/>
      <c r="S5" s="790"/>
      <c r="T5" s="791"/>
      <c r="AN5" s="682"/>
      <c r="AO5" s="682"/>
      <c r="AP5" s="682"/>
      <c r="AQ5" s="622"/>
      <c r="DX5" s="792"/>
      <c r="DY5" s="792" t="s">
        <v>843</v>
      </c>
      <c r="DZ5" s="792"/>
      <c r="EA5" s="792" t="s">
        <v>844</v>
      </c>
      <c r="EB5" s="792"/>
      <c r="EC5" s="792"/>
      <c r="ED5" s="792"/>
      <c r="EE5" s="792" t="s">
        <v>844</v>
      </c>
      <c r="EF5" s="792"/>
      <c r="EG5" s="792"/>
      <c r="EH5" s="792"/>
      <c r="EI5" s="792" t="s">
        <v>845</v>
      </c>
      <c r="EJ5" s="792"/>
      <c r="EK5" s="792"/>
      <c r="EL5" s="793"/>
      <c r="EM5" s="793"/>
      <c r="FS5" s="794"/>
      <c r="GU5" s="795">
        <v>1995</v>
      </c>
      <c r="GV5" s="796">
        <v>1</v>
      </c>
      <c r="GW5" s="797">
        <v>1</v>
      </c>
      <c r="GX5" s="798"/>
      <c r="HY5" s="799">
        <v>1</v>
      </c>
      <c r="HZ5" s="795">
        <v>1995</v>
      </c>
      <c r="IA5" s="799">
        <v>5306</v>
      </c>
      <c r="IB5" s="799"/>
      <c r="IC5" s="797"/>
      <c r="IX5" s="799">
        <v>5306</v>
      </c>
    </row>
    <row r="6" ht="28.25" customHeight="1" spans="12:258" x14ac:dyDescent="0.25">
      <c r="L6" s="800" t="s">
        <v>846</v>
      </c>
      <c r="M6" s="801" t="s">
        <v>847</v>
      </c>
      <c r="N6" s="802"/>
      <c r="O6" s="802"/>
      <c r="P6" s="802"/>
      <c r="Q6" s="802"/>
      <c r="R6" s="802"/>
      <c r="S6" s="803" t="s">
        <v>520</v>
      </c>
      <c r="T6" s="804">
        <v>43908</v>
      </c>
      <c r="AN6" s="682"/>
      <c r="AO6" s="682"/>
      <c r="AP6" s="682"/>
      <c r="AQ6" s="805"/>
      <c r="CH6" s="187"/>
      <c r="CJ6" s="806"/>
      <c r="DX6" s="807" t="s">
        <v>520</v>
      </c>
      <c r="DY6" s="808" t="s">
        <v>848</v>
      </c>
      <c r="DZ6" s="808" t="s">
        <v>849</v>
      </c>
      <c r="EA6" s="808" t="s">
        <v>850</v>
      </c>
      <c r="EB6" s="808" t="s">
        <v>851</v>
      </c>
      <c r="EC6" s="809" t="s">
        <v>852</v>
      </c>
      <c r="ED6" s="810" t="s">
        <v>853</v>
      </c>
      <c r="EE6" s="808" t="s">
        <v>31</v>
      </c>
      <c r="EF6" s="808" t="s">
        <v>854</v>
      </c>
      <c r="EG6" s="809" t="s">
        <v>855</v>
      </c>
      <c r="EH6" s="811" t="s">
        <v>648</v>
      </c>
      <c r="EI6" s="809" t="s">
        <v>856</v>
      </c>
      <c r="EJ6" s="810" t="s">
        <v>857</v>
      </c>
      <c r="EK6" s="812" t="s">
        <v>858</v>
      </c>
      <c r="EL6" s="810" t="s">
        <v>859</v>
      </c>
      <c r="EM6" s="793"/>
      <c r="EO6" s="813" t="s">
        <v>520</v>
      </c>
      <c r="EP6" s="814" t="s">
        <v>860</v>
      </c>
      <c r="EQ6" s="815" t="s">
        <v>861</v>
      </c>
      <c r="FH6" s="816" t="s">
        <v>520</v>
      </c>
      <c r="FI6" s="817" t="s">
        <v>652</v>
      </c>
      <c r="FJ6" s="818" t="s">
        <v>862</v>
      </c>
      <c r="FK6" s="819" t="s">
        <v>862</v>
      </c>
      <c r="FL6" s="817"/>
      <c r="FQ6" s="24"/>
      <c r="FR6" s="187"/>
      <c r="FS6" s="187"/>
      <c r="FT6" s="820"/>
      <c r="FU6" s="24"/>
      <c r="GB6" s="821" t="s">
        <v>159</v>
      </c>
      <c r="GC6" s="781" t="s">
        <v>646</v>
      </c>
      <c r="GD6" s="781" t="s">
        <v>381</v>
      </c>
      <c r="GE6" s="781"/>
      <c r="GU6" s="795">
        <v>1996</v>
      </c>
      <c r="GV6" s="796">
        <f t="shared" ref="GV6:GV28" si="0">EH9</f>
        <v>1.695396731545807</v>
      </c>
      <c r="GW6" s="822">
        <f>DR137</f>
        <v>1.218</v>
      </c>
      <c r="GX6" s="823"/>
      <c r="HY6" s="824">
        <v>2</v>
      </c>
      <c r="HZ6" s="795">
        <v>1996</v>
      </c>
      <c r="IA6" s="824">
        <v>5300.694</v>
      </c>
      <c r="IB6" s="824"/>
      <c r="IC6" s="825"/>
      <c r="IX6" s="824">
        <f>IA6</f>
        <v>5300.694</v>
      </c>
    </row>
    <row r="7" ht="21.5" customHeight="1" spans="12:258" x14ac:dyDescent="0.25">
      <c r="L7" s="622"/>
      <c r="M7" s="622"/>
      <c r="N7" s="622"/>
      <c r="O7" s="622"/>
      <c r="P7" s="622"/>
      <c r="Q7" s="622"/>
      <c r="R7" s="622"/>
      <c r="S7" s="622"/>
      <c r="T7" s="622"/>
      <c r="U7" s="622"/>
      <c r="V7" s="622"/>
      <c r="W7" s="622"/>
      <c r="X7" s="622"/>
      <c r="Y7" s="622"/>
      <c r="Z7" s="622"/>
      <c r="AA7" s="622"/>
      <c r="AB7" s="622"/>
      <c r="AC7" s="622"/>
      <c r="AD7" s="622"/>
      <c r="AE7" s="622"/>
      <c r="AF7" s="622"/>
      <c r="AG7" s="622"/>
      <c r="AH7" s="622"/>
      <c r="AI7" s="622"/>
      <c r="AJ7" s="622"/>
      <c r="AK7" s="622"/>
      <c r="AL7" s="622"/>
      <c r="AM7" s="622"/>
      <c r="AN7" s="622"/>
      <c r="AO7" s="622"/>
      <c r="AP7" s="622"/>
      <c r="AQ7" s="622"/>
      <c r="BB7" s="24"/>
      <c r="BC7" s="24"/>
      <c r="BD7" s="24"/>
      <c r="BE7" s="24"/>
      <c r="BF7" s="24"/>
      <c r="BG7" s="24"/>
      <c r="BH7" s="24"/>
      <c r="CJ7" s="826" t="s">
        <v>520</v>
      </c>
      <c r="CK7" s="827" t="s">
        <v>863</v>
      </c>
      <c r="CL7" s="828" t="s">
        <v>864</v>
      </c>
      <c r="DA7" s="829" t="s">
        <v>865</v>
      </c>
      <c r="DX7" s="830">
        <v>43919</v>
      </c>
      <c r="DY7" s="831" t="s">
        <v>56</v>
      </c>
      <c r="DZ7" s="832" t="s">
        <v>866</v>
      </c>
      <c r="EA7" s="832" t="s">
        <v>866</v>
      </c>
      <c r="EB7" s="832" t="s">
        <v>866</v>
      </c>
      <c r="EC7" s="831" t="s">
        <v>56</v>
      </c>
      <c r="ED7" s="833" t="s">
        <v>56</v>
      </c>
      <c r="EE7" s="832" t="s">
        <v>56</v>
      </c>
      <c r="EF7" s="832" t="s">
        <v>866</v>
      </c>
      <c r="EG7" s="831" t="s">
        <v>56</v>
      </c>
      <c r="EH7" s="832" t="s">
        <v>866</v>
      </c>
      <c r="EI7" s="831" t="s">
        <v>56</v>
      </c>
      <c r="EJ7" s="833" t="s">
        <v>56</v>
      </c>
      <c r="EK7" s="834" t="s">
        <v>866</v>
      </c>
      <c r="EL7" s="835" t="s">
        <v>866</v>
      </c>
      <c r="EM7" s="793"/>
      <c r="EO7" s="836">
        <v>43919</v>
      </c>
      <c r="EP7" s="837" t="s">
        <v>866</v>
      </c>
      <c r="EQ7" s="838" t="s">
        <v>866</v>
      </c>
      <c r="FH7" s="839">
        <v>43957</v>
      </c>
      <c r="FI7" s="840" t="s">
        <v>56</v>
      </c>
      <c r="FJ7" s="841" t="s">
        <v>56</v>
      </c>
      <c r="FK7" s="841" t="s">
        <v>56</v>
      </c>
      <c r="FL7" s="841" t="s">
        <v>56</v>
      </c>
      <c r="FQ7" s="24"/>
      <c r="FR7" s="187"/>
      <c r="FS7" s="187"/>
      <c r="FT7" s="820"/>
      <c r="FU7" s="24"/>
      <c r="GB7" s="129">
        <v>43920</v>
      </c>
      <c r="GC7" s="842" t="s">
        <v>840</v>
      </c>
      <c r="GD7" s="843" t="s">
        <v>840</v>
      </c>
      <c r="GE7" s="844" t="s">
        <v>840</v>
      </c>
      <c r="GU7" s="795">
        <v>1997</v>
      </c>
      <c r="GV7" s="796">
        <f t="shared" si="0"/>
        <v>2.415292468742241</v>
      </c>
      <c r="GW7" s="822">
        <f t="shared" ref="GW7:GW45" si="1">DR138</f>
        <v>1.3519800000000002</v>
      </c>
      <c r="GX7" s="823"/>
      <c r="HY7" s="824">
        <v>3</v>
      </c>
      <c r="HZ7" s="795">
        <v>1997</v>
      </c>
      <c r="IA7" s="824">
        <v>5279.491224</v>
      </c>
      <c r="IB7" s="824"/>
      <c r="IC7" s="825"/>
      <c r="IX7" s="824">
        <f t="shared" ref="IX7:IX28" si="2">IA7</f>
        <v>5279.491224</v>
      </c>
    </row>
    <row r="8" ht="21.5" customHeight="1" spans="12:258" x14ac:dyDescent="0.25">
      <c r="L8" s="622"/>
      <c r="M8" s="622"/>
      <c r="N8" s="622"/>
      <c r="O8" s="622"/>
      <c r="P8" s="845" t="s">
        <v>867</v>
      </c>
      <c r="Q8" s="846"/>
      <c r="R8" s="846"/>
      <c r="S8" s="846"/>
      <c r="T8" s="846"/>
      <c r="U8" s="846"/>
      <c r="V8" s="846"/>
      <c r="W8" s="846"/>
      <c r="X8" s="846"/>
      <c r="Y8" s="846"/>
      <c r="Z8" s="846"/>
      <c r="AA8" s="847"/>
      <c r="AB8" s="805"/>
      <c r="AC8" s="805"/>
      <c r="AD8" s="805"/>
      <c r="AE8" s="805"/>
      <c r="AF8" s="805"/>
      <c r="AG8" s="805"/>
      <c r="AH8" s="805"/>
      <c r="AI8" s="805"/>
      <c r="AJ8" s="805"/>
      <c r="AK8" s="622"/>
      <c r="AL8" s="622"/>
      <c r="AM8" s="622"/>
      <c r="AN8" s="622"/>
      <c r="AO8" s="622"/>
      <c r="AP8" s="622"/>
      <c r="AQ8" s="622"/>
      <c r="BB8" s="24"/>
      <c r="BC8" s="24"/>
      <c r="BD8" s="24"/>
      <c r="BE8" s="24"/>
      <c r="BF8" s="24"/>
      <c r="CJ8" s="848">
        <v>43913</v>
      </c>
      <c r="CK8" s="849" t="s">
        <v>840</v>
      </c>
      <c r="CL8" s="849" t="s">
        <v>840</v>
      </c>
      <c r="DA8" s="850">
        <f>CJ8</f>
        <v>43913</v>
      </c>
      <c r="DX8" s="809">
        <v>1995</v>
      </c>
      <c r="DY8" s="851">
        <f t="array" ref="DY8:DY31">TRANSPOSE(ОТЧЁТ!U82:AR82)</f>
        <v>5306</v>
      </c>
      <c r="DZ8" s="852">
        <v>1</v>
      </c>
      <c r="EA8" s="852">
        <v>1</v>
      </c>
      <c r="EB8" s="852">
        <f t="array" ref="EB8:EB31">TRANSPOSE(ОТЧЁТ!U142:AR142)</f>
        <v>1.001</v>
      </c>
      <c r="EC8" s="853">
        <f>DY8</f>
        <v>5306</v>
      </c>
      <c r="ED8" s="474"/>
      <c r="EE8" s="854">
        <f t="array" ref="EE8:EE31">TRANSPOSE(ОТЧЁТ!U83:AR83)</f>
        <v>230.407</v>
      </c>
      <c r="EF8" s="855">
        <f t="array" ref="EF8:EF31">TRANSPOSE(ОТЧЁТ!U143:AR143)</f>
        <v>0.9273255813953489</v>
      </c>
      <c r="EG8" s="856">
        <f>EE8</f>
        <v>230.407</v>
      </c>
      <c r="EH8" s="857">
        <v>1</v>
      </c>
      <c r="EI8" s="858"/>
      <c r="EJ8" s="479"/>
      <c r="EK8" s="855">
        <f t="shared" ref="EK8:EK31" si="3">EG8/EC8</f>
        <v>0.043423859781379574</v>
      </c>
      <c r="EL8" s="859"/>
      <c r="EO8" s="860">
        <v>1995</v>
      </c>
      <c r="EP8" s="861">
        <f t="shared" ref="EP8:EP31" si="4">EK8</f>
        <v>0.043423859781379574</v>
      </c>
      <c r="EQ8" s="862"/>
      <c r="FH8" s="863">
        <v>1995</v>
      </c>
      <c r="FI8" s="856">
        <f>EG8</f>
        <v>230.407</v>
      </c>
      <c r="FJ8" s="855"/>
      <c r="FK8" s="855"/>
      <c r="FL8" s="859"/>
      <c r="GB8" s="795">
        <v>1995</v>
      </c>
      <c r="GC8" s="796">
        <v>1</v>
      </c>
      <c r="GD8" s="797">
        <v>1</v>
      </c>
      <c r="GE8" s="798"/>
      <c r="GU8" s="795">
        <v>1998</v>
      </c>
      <c r="GV8" s="796">
        <f t="shared" si="0"/>
        <v>2.6727462335842294</v>
      </c>
      <c r="GW8" s="822">
        <f t="shared" si="1"/>
        <v>2.4930511200000005</v>
      </c>
      <c r="GX8" s="823"/>
      <c r="HY8" s="824">
        <v>4</v>
      </c>
      <c r="HZ8" s="795">
        <v>1998</v>
      </c>
      <c r="IA8" s="824">
        <v>5263.652750328</v>
      </c>
      <c r="IB8" s="824"/>
      <c r="IC8" s="825"/>
      <c r="IX8" s="824">
        <f t="shared" si="2"/>
        <v>5263.652750328</v>
      </c>
    </row>
    <row r="9" ht="21.5" customHeight="1" spans="12:258" x14ac:dyDescent="0.25">
      <c r="L9" s="622"/>
      <c r="M9" s="864" t="s">
        <v>520</v>
      </c>
      <c r="N9" s="865">
        <v>43114</v>
      </c>
      <c r="O9" s="866"/>
      <c r="P9" s="867">
        <v>1995</v>
      </c>
      <c r="Q9" s="867">
        <v>1996</v>
      </c>
      <c r="R9" s="867">
        <v>1997</v>
      </c>
      <c r="S9" s="867">
        <v>1998</v>
      </c>
      <c r="T9" s="867">
        <v>1999</v>
      </c>
      <c r="U9" s="867">
        <v>2000</v>
      </c>
      <c r="V9" s="867">
        <v>2001</v>
      </c>
      <c r="W9" s="867">
        <v>2002</v>
      </c>
      <c r="X9" s="867">
        <v>2003</v>
      </c>
      <c r="Y9" s="867">
        <v>2004</v>
      </c>
      <c r="Z9" s="867">
        <v>2005</v>
      </c>
      <c r="AA9" s="867">
        <v>2006</v>
      </c>
      <c r="AB9" s="867">
        <v>2007</v>
      </c>
      <c r="AC9" s="867">
        <v>2008</v>
      </c>
      <c r="AD9" s="867">
        <v>2009</v>
      </c>
      <c r="AE9" s="867">
        <v>2010</v>
      </c>
      <c r="AF9" s="867">
        <v>2011</v>
      </c>
      <c r="AG9" s="867">
        <v>2012</v>
      </c>
      <c r="AH9" s="867">
        <v>2013</v>
      </c>
      <c r="AI9" s="867">
        <v>2014</v>
      </c>
      <c r="AJ9" s="868">
        <v>2015</v>
      </c>
      <c r="AK9" s="868">
        <v>2016</v>
      </c>
      <c r="AL9" s="868">
        <v>2017</v>
      </c>
      <c r="AM9" s="868">
        <v>2018</v>
      </c>
      <c r="AN9" s="868">
        <v>2019</v>
      </c>
      <c r="AO9" s="868">
        <v>2020</v>
      </c>
      <c r="AP9" s="868">
        <v>2021</v>
      </c>
      <c r="AQ9" s="867"/>
      <c r="BB9" s="24"/>
      <c r="BC9" s="24"/>
      <c r="BD9" s="869" t="s">
        <v>159</v>
      </c>
      <c r="BE9" s="870" t="s">
        <v>868</v>
      </c>
      <c r="BF9" s="871" t="s">
        <v>869</v>
      </c>
      <c r="BT9" s="869" t="s">
        <v>159</v>
      </c>
      <c r="BU9" s="785" t="s">
        <v>868</v>
      </c>
      <c r="BV9" s="785" t="s">
        <v>869</v>
      </c>
      <c r="CJ9" s="550">
        <v>1995</v>
      </c>
      <c r="CK9" s="872">
        <f t="array" ref="CK9:CK32">TRANSPOSE(ОТЧЁТ!U178:AR178)</f>
        <v>0.022490438989016016</v>
      </c>
      <c r="CL9" s="873"/>
      <c r="DA9" s="874">
        <f t="shared" ref="DA9:DA29" si="5">CK9</f>
        <v>0.022490438989016016</v>
      </c>
      <c r="DE9" s="869" t="s">
        <v>159</v>
      </c>
      <c r="DF9" s="875" t="s">
        <v>658</v>
      </c>
      <c r="DG9" s="703" t="s">
        <v>870</v>
      </c>
      <c r="DJ9" s="187"/>
      <c r="DK9" s="187"/>
      <c r="DL9" s="820"/>
      <c r="DM9" s="24"/>
      <c r="DX9" s="876">
        <v>1996</v>
      </c>
      <c r="DY9" s="877">
        <v>13072.378</v>
      </c>
      <c r="DZ9" s="878">
        <f>DY9/EC9</f>
        <v>2.4661634872716665</v>
      </c>
      <c r="EA9" s="879">
        <f>EB9*EA8</f>
        <v>0.9990000000000001</v>
      </c>
      <c r="EB9" s="879">
        <v>0.9990000000000001</v>
      </c>
      <c r="EC9" s="880">
        <f t="shared" ref="EC9:EC29" si="6">EC$8*EA9</f>
        <v>5300.694</v>
      </c>
      <c r="ED9" s="479"/>
      <c r="EE9" s="881">
        <v>334.302</v>
      </c>
      <c r="EF9" s="879">
        <v>0.8557993730407524</v>
      </c>
      <c r="EG9" s="857">
        <f>EF9*EG8</f>
        <v>197.18216614420064</v>
      </c>
      <c r="EH9" s="882">
        <f>EE9/EG9</f>
        <v>1.695396731545807</v>
      </c>
      <c r="EI9" s="857">
        <f t="shared" ref="EI9:EI31" si="7">EC8-EC9+EG9</f>
        <v>202.48816614420022</v>
      </c>
      <c r="EJ9" s="479"/>
      <c r="EK9" s="883">
        <f t="shared" si="3"/>
        <v>0.03719931128720138</v>
      </c>
      <c r="EL9" s="884">
        <f t="shared" ref="EL9:EL31" si="8">EI9/EC8</f>
        <v>0.0381621119759141</v>
      </c>
      <c r="EM9" s="793"/>
      <c r="EO9" s="885">
        <v>1996</v>
      </c>
      <c r="EP9" s="886">
        <f t="shared" si="4"/>
        <v>0.03719931128720138</v>
      </c>
      <c r="EQ9" s="887">
        <f t="shared" ref="EQ9:EQ31" si="9">EL9</f>
        <v>0.0381621119759141</v>
      </c>
      <c r="FH9" s="863">
        <v>1996</v>
      </c>
      <c r="FI9" s="888">
        <f>EG9</f>
        <v>197.18216614420064</v>
      </c>
      <c r="FJ9" s="889">
        <f>EI9</f>
        <v>202.48816614420022</v>
      </c>
      <c r="FK9" s="879"/>
      <c r="FL9" s="890"/>
      <c r="FQ9" s="24"/>
      <c r="FR9" s="187"/>
      <c r="FS9" s="187"/>
      <c r="FT9" s="820"/>
      <c r="FU9" s="24"/>
      <c r="GB9" s="795">
        <v>1996</v>
      </c>
      <c r="GC9" s="796">
        <f>DZ9</f>
        <v>2.4661634872716665</v>
      </c>
      <c r="GD9" s="822">
        <f t="shared" ref="GD9:GD31" si="10">CY137</f>
        <v>1.218</v>
      </c>
      <c r="GE9" s="823"/>
      <c r="GU9" s="795">
        <v>1999</v>
      </c>
      <c r="GV9" s="796">
        <f t="shared" si="0"/>
        <v>3.4893420575027583</v>
      </c>
      <c r="GW9" s="822">
        <f t="shared" si="1"/>
        <v>3.4030147788000007</v>
      </c>
      <c r="GX9" s="823"/>
      <c r="HY9" s="824">
        <v>5</v>
      </c>
      <c r="HZ9" s="795">
        <v>1999</v>
      </c>
      <c r="IA9" s="824">
        <v>5274.180055828657</v>
      </c>
      <c r="IB9" s="824"/>
      <c r="IC9" s="825"/>
      <c r="IX9" s="824">
        <f t="shared" si="2"/>
        <v>5274.180055828657</v>
      </c>
    </row>
    <row r="10" ht="21" customHeight="1" spans="7:258" x14ac:dyDescent="0.25">
      <c r="G10" s="187"/>
      <c r="L10" s="891" t="s">
        <v>871</v>
      </c>
      <c r="M10" s="790" t="s">
        <v>872</v>
      </c>
      <c r="N10" s="790"/>
      <c r="O10" s="892" t="s">
        <v>281</v>
      </c>
      <c r="P10" s="893">
        <f>ОТЧЁТ!U51</f>
        <v>2767.6205</v>
      </c>
      <c r="Q10" s="894">
        <f>ОТЧЁТ!V51</f>
        <v>3799.126</v>
      </c>
      <c r="R10" s="894">
        <f>ОТЧЁТ!W51</f>
        <v>4327.531</v>
      </c>
      <c r="S10" s="894">
        <f>ОТЧЁТ!X51</f>
        <v>4573.977</v>
      </c>
      <c r="T10" s="894">
        <f>ОТЧЁТ!Y51</f>
        <v>8303.202</v>
      </c>
      <c r="U10" s="894">
        <f>ОТЧЁТ!Z51</f>
        <v>12552.212</v>
      </c>
      <c r="V10" s="894">
        <f>ОТЧЁТ!AA51</f>
        <v>15922.788</v>
      </c>
      <c r="W10" s="894">
        <f>ОТЧЁТ!AB51</f>
        <v>18973.6736</v>
      </c>
      <c r="X10" s="894">
        <f>ОТЧЁТ!AC51</f>
        <v>23273.0895</v>
      </c>
      <c r="Y10" s="894">
        <f>ОТЧЁТ!AD51</f>
        <v>29490.6226</v>
      </c>
      <c r="Z10" s="895">
        <f>ОТЧЁТ!AE51</f>
        <v>37020.602</v>
      </c>
      <c r="AA10" s="895">
        <f>ОТЧЁТ!AF51</f>
        <v>46223.8665</v>
      </c>
      <c r="AB10" s="895">
        <f>ОТЧЁТ!AG51</f>
        <v>57752.1325</v>
      </c>
      <c r="AC10" s="895">
        <f>ОТЧЁТ!AH51</f>
        <v>71601.658</v>
      </c>
      <c r="AD10" s="895">
        <f>ОТЧЁТ!AI51</f>
        <v>68116.5</v>
      </c>
      <c r="AE10" s="896">
        <f>ОТЧЁТ!AJ51</f>
        <v>82054.6</v>
      </c>
      <c r="AF10" s="895">
        <f>ОТЧЁТ!AK51</f>
        <v>100960.3907</v>
      </c>
      <c r="AG10" s="895">
        <f>ОТЧЁТ!AL51</f>
        <v>113092.1725</v>
      </c>
      <c r="AH10" s="895">
        <f>ОТЧЁТ!AM51</f>
        <v>123165.48509999999</v>
      </c>
      <c r="AI10" s="895">
        <f>ОТЧЁТ!AN51</f>
        <v>132844.9</v>
      </c>
      <c r="AJ10" s="895">
        <f>ОТЧЁТ!AO51</f>
        <v>145956.1</v>
      </c>
      <c r="AK10" s="895">
        <f>ОТЧЁТ!AP51</f>
        <v>153856.5</v>
      </c>
      <c r="AL10" s="895">
        <f>ОТЧЁТ!AQ51</f>
        <v>166329.3</v>
      </c>
      <c r="AM10" s="895">
        <f>ОТЧЁТ!AR51</f>
        <v>185534.2</v>
      </c>
      <c r="AN10" s="682"/>
      <c r="AO10" s="897"/>
      <c r="AP10" s="682"/>
      <c r="AQ10" s="898" t="str">
        <f>O10</f>
        <v>XO</v>
      </c>
      <c r="BB10" s="24"/>
      <c r="BC10" s="24"/>
      <c r="BD10" s="899">
        <v>43909</v>
      </c>
      <c r="BE10" s="900" t="s">
        <v>873</v>
      </c>
      <c r="BF10" s="900" t="s">
        <v>874</v>
      </c>
      <c r="BT10" s="901">
        <v>43909</v>
      </c>
      <c r="BU10" s="828" t="s">
        <v>875</v>
      </c>
      <c r="BV10" s="902" t="s">
        <v>16</v>
      </c>
      <c r="CJ10" s="553">
        <v>1996</v>
      </c>
      <c r="CK10" s="903">
        <v>0.02795820438115608</v>
      </c>
      <c r="CL10" s="904"/>
      <c r="DA10" s="905">
        <f t="shared" si="5"/>
        <v>0.02795820438115608</v>
      </c>
      <c r="DE10" s="906">
        <v>43917</v>
      </c>
      <c r="DF10" s="253" t="s">
        <v>56</v>
      </c>
      <c r="DG10" s="253" t="s">
        <v>56</v>
      </c>
      <c r="DJ10" s="187"/>
      <c r="DK10" s="187"/>
      <c r="DL10" s="820"/>
      <c r="DM10" s="24"/>
      <c r="DX10" s="876">
        <v>1997</v>
      </c>
      <c r="DY10" s="877">
        <v>13286.272</v>
      </c>
      <c r="DZ10" s="878">
        <f t="shared" ref="DZ10:DZ31" si="11">DY10/EC10</f>
        <v>2.5165818894824628</v>
      </c>
      <c r="EA10" s="879">
        <f t="shared" ref="EA10:EA31" si="12">EB10*EA9</f>
        <v>0.9950040000000001</v>
      </c>
      <c r="EB10" s="879">
        <v>0.996</v>
      </c>
      <c r="EC10" s="880">
        <f t="shared" si="6"/>
        <v>5279.491224</v>
      </c>
      <c r="ED10" s="479"/>
      <c r="EE10" s="881">
        <v>406.472</v>
      </c>
      <c r="EF10" s="879">
        <v>0.8534798534798534</v>
      </c>
      <c r="EG10" s="857">
        <f t="shared" ref="EG10:EG27" si="13">EF10*EG9</f>
        <v>168.2910062695925</v>
      </c>
      <c r="EH10" s="882">
        <f t="shared" ref="EH10:EH31" si="14">EE10/EG10</f>
        <v>2.415292468742241</v>
      </c>
      <c r="EI10" s="857">
        <f t="shared" si="7"/>
        <v>189.49378226959257</v>
      </c>
      <c r="EJ10" s="479"/>
      <c r="EK10" s="883">
        <f t="shared" si="3"/>
        <v>0.03187636821983142</v>
      </c>
      <c r="EL10" s="884">
        <f t="shared" si="8"/>
        <v>0.03574886274695211</v>
      </c>
      <c r="EM10" s="793"/>
      <c r="EO10" s="885">
        <v>1997</v>
      </c>
      <c r="EP10" s="886">
        <f t="shared" si="4"/>
        <v>0.03187636821983142</v>
      </c>
      <c r="EQ10" s="887">
        <f t="shared" si="9"/>
        <v>0.03574886274695211</v>
      </c>
      <c r="FH10" s="863">
        <v>1997</v>
      </c>
      <c r="FI10" s="888">
        <f t="shared" ref="FI10:FI31" si="15">EG10</f>
        <v>168.2910062695925</v>
      </c>
      <c r="FJ10" s="889">
        <f t="shared" ref="FJ10:FJ31" si="16">EI10</f>
        <v>189.49378226959257</v>
      </c>
      <c r="FK10" s="879"/>
      <c r="FL10" s="890"/>
      <c r="GB10" s="795">
        <v>1997</v>
      </c>
      <c r="GC10" s="796">
        <f t="shared" ref="GC10:GC31" si="17">DZ10</f>
        <v>2.5165818894824628</v>
      </c>
      <c r="GD10" s="822">
        <f t="shared" si="10"/>
        <v>1.3519800000000002</v>
      </c>
      <c r="GE10" s="823"/>
      <c r="GU10" s="795">
        <v>2000</v>
      </c>
      <c r="GV10" s="796">
        <f t="shared" si="0"/>
        <v>3.9448052793534916</v>
      </c>
      <c r="GW10" s="822">
        <f t="shared" si="1"/>
        <v>4.090423764117601</v>
      </c>
      <c r="GX10" s="823"/>
      <c r="HY10" s="824">
        <v>6</v>
      </c>
      <c r="HZ10" s="795">
        <v>2000</v>
      </c>
      <c r="IA10" s="824">
        <v>5300.5509561078</v>
      </c>
      <c r="IB10" s="824"/>
      <c r="IC10" s="825"/>
      <c r="IX10" s="824">
        <f t="shared" si="2"/>
        <v>5300.5509561078</v>
      </c>
    </row>
    <row r="11" ht="22.75" customHeight="1" spans="7:258" x14ac:dyDescent="0.25">
      <c r="G11" s="907" t="s">
        <v>876</v>
      </c>
      <c r="H11" s="908"/>
      <c r="I11" s="15"/>
      <c r="J11" s="15"/>
      <c r="K11" s="15"/>
      <c r="L11" s="891" t="s">
        <v>871</v>
      </c>
      <c r="M11" s="909" t="s">
        <v>877</v>
      </c>
      <c r="N11" s="909"/>
      <c r="O11" s="910" t="s">
        <v>878</v>
      </c>
      <c r="P11" s="636">
        <f>ОТЧЁТ!U129</f>
        <v>0.959</v>
      </c>
      <c r="Q11" s="636">
        <f>ОТЧЁТ!V129</f>
        <v>0.972</v>
      </c>
      <c r="R11" s="636">
        <f>ОТЧЁТ!W129</f>
        <v>1.014</v>
      </c>
      <c r="S11" s="636">
        <f>ОТЧЁТ!X129</f>
        <v>0.949</v>
      </c>
      <c r="T11" s="636">
        <f>ОТЧЁТ!Y129</f>
        <v>1.058</v>
      </c>
      <c r="U11" s="636">
        <f>ОТЧЁТ!Z129</f>
        <v>1.094</v>
      </c>
      <c r="V11" s="636">
        <f>ОТЧЁТ!AA129</f>
        <v>1.049</v>
      </c>
      <c r="W11" s="636">
        <f>ОТЧЁТ!AB129</f>
        <v>1.044</v>
      </c>
      <c r="X11" s="636">
        <f>ОТЧЁТ!AC129</f>
        <v>1.076</v>
      </c>
      <c r="Y11" s="636">
        <f>ОТЧЁТ!AD129</f>
        <v>1.08</v>
      </c>
      <c r="Z11" s="636">
        <f>ОТЧЁТ!AE129</f>
        <v>1.057</v>
      </c>
      <c r="AA11" s="636">
        <f>ОТЧЁТ!AF129</f>
        <v>1.089</v>
      </c>
      <c r="AB11" s="636">
        <f>ОТЧЁТ!AG129</f>
        <v>1.088</v>
      </c>
      <c r="AC11" s="636">
        <f>ОТЧЁТ!AH129</f>
        <v>1.05</v>
      </c>
      <c r="AD11" s="636">
        <f>ОТЧЁТ!AI129</f>
        <v>0.926</v>
      </c>
      <c r="AE11" s="897">
        <f>ОТЧЁТ!AJ129</f>
        <v>1.05</v>
      </c>
      <c r="AF11" s="636">
        <f>ОТЧЁТ!AK129</f>
        <v>1.043</v>
      </c>
      <c r="AG11" s="636">
        <f>ОТЧЁТ!AL129</f>
        <v>1.0390000000000001</v>
      </c>
      <c r="AH11" s="636">
        <f>ОТЧЁТ!AM129</f>
        <v>1.021</v>
      </c>
      <c r="AI11" s="636">
        <f>ОТЧЁТ!AN129</f>
        <v>1.008</v>
      </c>
      <c r="AJ11" s="636">
        <f>ОТЧЁТ!AO129</f>
        <v>0.987</v>
      </c>
      <c r="AK11" s="636">
        <f>ОТЧЁТ!AP129</f>
        <v>1.012</v>
      </c>
      <c r="AL11" s="636">
        <f>ОТЧЁТ!AQ129</f>
        <v>1.025</v>
      </c>
      <c r="AM11" s="636">
        <f>ОТЧЁТ!AR129</f>
        <v>1.025</v>
      </c>
      <c r="AN11" s="682"/>
      <c r="AO11" s="911"/>
      <c r="AP11" s="682"/>
      <c r="AQ11" s="912" t="str">
        <f>O11</f>
        <v>pXO</v>
      </c>
      <c r="BB11" s="24"/>
      <c r="BC11" s="24"/>
      <c r="BD11" s="850"/>
      <c r="BE11" s="913" t="s">
        <v>840</v>
      </c>
      <c r="BF11" s="913" t="s">
        <v>840</v>
      </c>
      <c r="BT11" s="914"/>
      <c r="BU11" s="915" t="s">
        <v>840</v>
      </c>
      <c r="BV11" s="913" t="s">
        <v>840</v>
      </c>
      <c r="CJ11" s="553">
        <v>1997</v>
      </c>
      <c r="CK11" s="903">
        <v>0.02974721218072889</v>
      </c>
      <c r="CL11" s="904"/>
      <c r="DA11" s="905">
        <f t="shared" si="5"/>
        <v>0.02974721218072889</v>
      </c>
      <c r="DE11" s="795">
        <v>1995</v>
      </c>
      <c r="DF11" s="916">
        <f t="array" ref="DF11:DF34">TRANSPOSE(ОТЧЁТ!U197:AR197)</f>
        <v>5306</v>
      </c>
      <c r="DG11" s="917">
        <f t="array" ref="DG11:DG34">TRANSPOSE(ОТЧЁТ!U199:AR199)</f>
        <v>1428.5209</v>
      </c>
      <c r="DJ11" s="187"/>
      <c r="DK11" s="187"/>
      <c r="DL11" s="820"/>
      <c r="DM11" s="24"/>
      <c r="DX11" s="876">
        <v>1998</v>
      </c>
      <c r="DY11" s="877">
        <v>14125.67</v>
      </c>
      <c r="DZ11" s="878">
        <f t="shared" si="11"/>
        <v>2.6836249787031963</v>
      </c>
      <c r="EA11" s="879">
        <f t="shared" si="12"/>
        <v>0.9920189880000001</v>
      </c>
      <c r="EB11" s="879">
        <v>0.997</v>
      </c>
      <c r="EC11" s="880">
        <f t="shared" si="6"/>
        <v>5263.652750328</v>
      </c>
      <c r="ED11" s="479"/>
      <c r="EE11" s="881">
        <v>428.564</v>
      </c>
      <c r="EF11" s="879">
        <v>0.9527896995708154</v>
      </c>
      <c r="EG11" s="857">
        <f t="shared" si="13"/>
        <v>160.34593730407522</v>
      </c>
      <c r="EH11" s="882">
        <f t="shared" si="14"/>
        <v>2.6727462335842294</v>
      </c>
      <c r="EI11" s="857">
        <f t="shared" si="7"/>
        <v>176.18441097607518</v>
      </c>
      <c r="EJ11" s="479"/>
      <c r="EK11" s="883">
        <f t="shared" si="3"/>
        <v>0.030462863891255628</v>
      </c>
      <c r="EL11" s="884">
        <f t="shared" si="8"/>
        <v>0.03337147529958186</v>
      </c>
      <c r="EM11" s="793"/>
      <c r="EO11" s="885">
        <v>1998</v>
      </c>
      <c r="EP11" s="886">
        <f t="shared" si="4"/>
        <v>0.030462863891255628</v>
      </c>
      <c r="EQ11" s="887">
        <f t="shared" si="9"/>
        <v>0.03337147529958186</v>
      </c>
      <c r="FH11" s="863">
        <v>1998</v>
      </c>
      <c r="FI11" s="888">
        <f t="shared" si="15"/>
        <v>160.34593730407522</v>
      </c>
      <c r="FJ11" s="889">
        <f t="shared" si="16"/>
        <v>176.18441097607518</v>
      </c>
      <c r="FK11" s="879"/>
      <c r="FL11" s="890"/>
      <c r="GB11" s="795">
        <v>1998</v>
      </c>
      <c r="GC11" s="796">
        <f t="shared" si="17"/>
        <v>2.6836249787031963</v>
      </c>
      <c r="GD11" s="822">
        <f t="shared" si="10"/>
        <v>2.4930511200000005</v>
      </c>
      <c r="GE11" s="823"/>
      <c r="GR11" s="918"/>
      <c r="GS11" s="919"/>
      <c r="GT11" s="24"/>
      <c r="GU11" s="795">
        <v>2001</v>
      </c>
      <c r="GV11" s="796">
        <f t="shared" si="0"/>
        <v>4.396024616222597</v>
      </c>
      <c r="GW11" s="822">
        <f t="shared" si="1"/>
        <v>4.851242584243474</v>
      </c>
      <c r="GX11" s="823"/>
      <c r="HK11" s="918"/>
      <c r="HL11" s="919"/>
      <c r="HY11" s="824">
        <v>7</v>
      </c>
      <c r="HZ11" s="795">
        <v>2001</v>
      </c>
      <c r="IA11" s="824">
        <v>5348.25591471277</v>
      </c>
      <c r="IB11" s="824"/>
      <c r="IC11" s="825"/>
      <c r="IP11" s="918"/>
      <c r="IQ11" s="919"/>
      <c r="IX11" s="824">
        <f t="shared" si="2"/>
        <v>5348.25591471277</v>
      </c>
    </row>
    <row r="12" ht="22.75" customHeight="1" spans="12:258" x14ac:dyDescent="0.25">
      <c r="L12" s="920"/>
      <c r="M12" s="909"/>
      <c r="N12" s="909"/>
      <c r="O12" s="910" t="s">
        <v>819</v>
      </c>
      <c r="P12" s="636">
        <v>1</v>
      </c>
      <c r="Q12" s="921">
        <f>P12*Q11</f>
        <v>0.972</v>
      </c>
      <c r="R12" s="921">
        <f t="shared" ref="R12:AI12" si="18">Q12*R11</f>
        <v>0.985608</v>
      </c>
      <c r="S12" s="921">
        <f t="shared" si="18"/>
        <v>0.935341992</v>
      </c>
      <c r="T12" s="921">
        <f t="shared" si="18"/>
        <v>0.9895918275360001</v>
      </c>
      <c r="U12" s="921">
        <f t="shared" si="18"/>
        <v>1.0826134593243841</v>
      </c>
      <c r="V12" s="921">
        <f t="shared" si="18"/>
        <v>1.1356615188312789</v>
      </c>
      <c r="W12" s="921">
        <f t="shared" si="18"/>
        <v>1.1856306256598552</v>
      </c>
      <c r="X12" s="921">
        <f t="shared" si="18"/>
        <v>1.2757385532100043</v>
      </c>
      <c r="Y12" s="921">
        <f t="shared" si="18"/>
        <v>1.3777976374668046</v>
      </c>
      <c r="Z12" s="921">
        <f t="shared" si="18"/>
        <v>1.4563321028024123</v>
      </c>
      <c r="AA12" s="921">
        <f t="shared" si="18"/>
        <v>1.585945659951827</v>
      </c>
      <c r="AB12" s="921">
        <f t="shared" si="18"/>
        <v>1.7255088780275878</v>
      </c>
      <c r="AC12" s="921">
        <f t="shared" si="18"/>
        <v>1.8117843219289673</v>
      </c>
      <c r="AD12" s="921">
        <f t="shared" si="18"/>
        <v>1.6777122821062238</v>
      </c>
      <c r="AE12" s="911">
        <f t="shared" si="18"/>
        <v>1.761597896211535</v>
      </c>
      <c r="AF12" s="921">
        <f t="shared" si="18"/>
        <v>1.837346605748631</v>
      </c>
      <c r="AG12" s="921">
        <f t="shared" si="18"/>
        <v>1.9090031233728277</v>
      </c>
      <c r="AH12" s="921">
        <f t="shared" si="18"/>
        <v>1.949092188963657</v>
      </c>
      <c r="AI12" s="921">
        <f t="shared" si="18"/>
        <v>1.9646849264753663</v>
      </c>
      <c r="AJ12" s="921">
        <f>AI12*AJ11</f>
        <v>1.9391440224311864</v>
      </c>
      <c r="AK12" s="921">
        <f>AJ12*AK11</f>
        <v>1.9624137507003607</v>
      </c>
      <c r="AL12" s="921">
        <f>AK12*AL11</f>
        <v>2.0114740944678697</v>
      </c>
      <c r="AM12" s="921">
        <f>AL12*AM11</f>
        <v>2.0617609468295663</v>
      </c>
      <c r="AN12" s="682"/>
      <c r="AO12" s="911"/>
      <c r="AP12" s="682"/>
      <c r="AQ12" s="912" t="str">
        <f t="shared" ref="AQ12:AQ42" si="19">O12</f>
        <v>POx</v>
      </c>
      <c r="BB12" s="24"/>
      <c r="BC12" s="24"/>
      <c r="BD12" s="828">
        <v>1995</v>
      </c>
      <c r="BE12" s="872">
        <f t="array" ref="BE12:BE35">TRANSPOSE(ОТЧЁТ!U127:AR127)</f>
        <v>0.959</v>
      </c>
      <c r="BF12" s="922">
        <f>BE12</f>
        <v>0.959</v>
      </c>
      <c r="BT12" s="902">
        <v>1995</v>
      </c>
      <c r="BU12" s="872">
        <f t="array" ref="BU12:BU35">TRANSPOSE(P68:AM68)</f>
        <v>1</v>
      </c>
      <c r="BV12" s="922">
        <f t="array" ref="BV12:BV35">TRANSPOSE(P71:AM71)</f>
        <v>1</v>
      </c>
      <c r="CJ12" s="553">
        <v>1998</v>
      </c>
      <c r="CK12" s="903">
        <v>-0.010512157616833476</v>
      </c>
      <c r="CL12" s="904"/>
      <c r="DA12" s="905">
        <f t="shared" si="5"/>
        <v>-0.010512157616833476</v>
      </c>
      <c r="DE12" s="923">
        <v>1996</v>
      </c>
      <c r="DF12" s="924">
        <v>5300.694</v>
      </c>
      <c r="DG12" s="925">
        <v>1377.0941476</v>
      </c>
      <c r="DX12" s="876">
        <v>1999</v>
      </c>
      <c r="DY12" s="877">
        <v>14246.427</v>
      </c>
      <c r="DZ12" s="878">
        <f t="shared" si="11"/>
        <v>2.701164323022275</v>
      </c>
      <c r="EA12" s="879">
        <f t="shared" si="12"/>
        <v>0.9940030259760001</v>
      </c>
      <c r="EB12" s="879">
        <v>1.002</v>
      </c>
      <c r="EC12" s="880">
        <f t="shared" si="6"/>
        <v>5274.180055828657</v>
      </c>
      <c r="ED12" s="479"/>
      <c r="EE12" s="881">
        <v>597.306</v>
      </c>
      <c r="EF12" s="879">
        <v>1.0675675675675675</v>
      </c>
      <c r="EG12" s="857">
        <f t="shared" si="13"/>
        <v>171.18012225705328</v>
      </c>
      <c r="EH12" s="882">
        <f t="shared" si="14"/>
        <v>3.4893420575027583</v>
      </c>
      <c r="EI12" s="857">
        <f t="shared" si="7"/>
        <v>160.65281675639685</v>
      </c>
      <c r="EJ12" s="479"/>
      <c r="EK12" s="883">
        <f t="shared" si="3"/>
        <v>0.032456252999530595</v>
      </c>
      <c r="EL12" s="884">
        <f t="shared" si="8"/>
        <v>0.030521165505529576</v>
      </c>
      <c r="EM12" s="793"/>
      <c r="EO12" s="885">
        <v>1999</v>
      </c>
      <c r="EP12" s="886">
        <f t="shared" si="4"/>
        <v>0.032456252999530595</v>
      </c>
      <c r="EQ12" s="887">
        <f t="shared" si="9"/>
        <v>0.030521165505529576</v>
      </c>
      <c r="FH12" s="863">
        <v>1999</v>
      </c>
      <c r="FI12" s="888">
        <f t="shared" si="15"/>
        <v>171.18012225705328</v>
      </c>
      <c r="FJ12" s="889">
        <f t="shared" si="16"/>
        <v>160.65281675639685</v>
      </c>
      <c r="FK12" s="879"/>
      <c r="FL12" s="890"/>
      <c r="GB12" s="795">
        <v>1999</v>
      </c>
      <c r="GC12" s="796">
        <f t="shared" si="17"/>
        <v>2.701164323022275</v>
      </c>
      <c r="GD12" s="822">
        <f t="shared" si="10"/>
        <v>3.4030147788000007</v>
      </c>
      <c r="GE12" s="823"/>
      <c r="GR12" s="918"/>
      <c r="GS12" s="919"/>
      <c r="GT12" s="24"/>
      <c r="GU12" s="795">
        <v>2002</v>
      </c>
      <c r="GV12" s="796">
        <f t="shared" si="0"/>
        <v>5.884382361829743</v>
      </c>
      <c r="GW12" s="822">
        <f t="shared" si="1"/>
        <v>5.583780214464239</v>
      </c>
      <c r="GX12" s="823"/>
      <c r="HK12" s="918"/>
      <c r="HL12" s="919"/>
      <c r="HY12" s="824">
        <v>8</v>
      </c>
      <c r="HZ12" s="795">
        <v>2002</v>
      </c>
      <c r="IA12" s="824">
        <v>5401.7384738598985</v>
      </c>
      <c r="IB12" s="824"/>
      <c r="IC12" s="825"/>
      <c r="IP12" s="918"/>
      <c r="IQ12" s="919"/>
      <c r="IX12" s="824">
        <f t="shared" si="2"/>
        <v>5401.7384738598985</v>
      </c>
    </row>
    <row r="13" ht="22.75" customHeight="1" spans="12:258" x14ac:dyDescent="0.25">
      <c r="L13" s="920"/>
      <c r="M13" s="909"/>
      <c r="N13" s="909"/>
      <c r="O13" s="910" t="s">
        <v>879</v>
      </c>
      <c r="P13" s="636">
        <v>1</v>
      </c>
      <c r="Q13" s="926">
        <f>Q10/Q14</f>
        <v>1.412247757097261</v>
      </c>
      <c r="R13" s="926">
        <f t="shared" ref="R13:AM13" si="20">R10/R14</f>
        <v>1.5864611043969121</v>
      </c>
      <c r="S13" s="926">
        <f t="shared" si="20"/>
        <v>1.7669204828999698</v>
      </c>
      <c r="T13" s="926">
        <f t="shared" si="20"/>
        <v>3.031677249541913</v>
      </c>
      <c r="U13" s="926">
        <f t="shared" si="20"/>
        <v>4.189288839815487</v>
      </c>
      <c r="V13" s="926">
        <f t="shared" si="20"/>
        <v>5.065982250044759</v>
      </c>
      <c r="W13" s="926">
        <f t="shared" si="20"/>
        <v>5.7822315297952604</v>
      </c>
      <c r="X13" s="926">
        <f t="shared" si="20"/>
        <v>6.591523740762184</v>
      </c>
      <c r="Y13" s="926">
        <f t="shared" si="20"/>
        <v>7.7337827274937645</v>
      </c>
      <c r="Z13" s="926">
        <f t="shared" si="20"/>
        <v>9.184944042597673</v>
      </c>
      <c r="AA13" s="926">
        <f t="shared" si="20"/>
        <v>10.5310440318469</v>
      </c>
      <c r="AB13" s="926">
        <f t="shared" si="20"/>
        <v>12.09328500918834</v>
      </c>
      <c r="AC13" s="926">
        <f t="shared" si="20"/>
        <v>14.279402745112492</v>
      </c>
      <c r="AD13" s="926">
        <f t="shared" si="20"/>
        <v>14.669938798054028</v>
      </c>
      <c r="AE13" s="927">
        <f t="shared" si="20"/>
        <v>16.8302129453818</v>
      </c>
      <c r="AF13" s="926">
        <f t="shared" si="20"/>
        <v>19.85424571376991</v>
      </c>
      <c r="AG13" s="926">
        <f t="shared" si="20"/>
        <v>21.405203901528715</v>
      </c>
      <c r="AH13" s="926">
        <f t="shared" si="20"/>
        <v>22.832323118365768</v>
      </c>
      <c r="AI13" s="926">
        <f t="shared" si="20"/>
        <v>24.43123573923766</v>
      </c>
      <c r="AJ13" s="926">
        <f t="shared" si="20"/>
        <v>27.196038400434425</v>
      </c>
      <c r="AK13" s="926">
        <f t="shared" si="20"/>
        <v>28.328183799288354</v>
      </c>
      <c r="AL13" s="926">
        <f t="shared" si="20"/>
        <v>29.877742312507845</v>
      </c>
      <c r="AM13" s="926">
        <f t="shared" si="20"/>
        <v>32.51465333840346</v>
      </c>
      <c r="AN13" s="682"/>
      <c r="AO13" s="911"/>
      <c r="AP13" s="682"/>
      <c r="AQ13" s="912" t="str">
        <f t="shared" si="19"/>
        <v>DOx</v>
      </c>
      <c r="BB13" s="24"/>
      <c r="BC13" s="24"/>
      <c r="BD13" s="928">
        <v>1996</v>
      </c>
      <c r="BE13" s="903">
        <v>0.964</v>
      </c>
      <c r="BF13" s="607">
        <f>BV13/BV12</f>
        <v>0.953188350411954</v>
      </c>
      <c r="BT13" s="902">
        <v>1996</v>
      </c>
      <c r="BU13" s="903">
        <v>0.964</v>
      </c>
      <c r="BV13" s="607">
        <v>0.953188350411954</v>
      </c>
      <c r="CJ13" s="553">
        <v>1999</v>
      </c>
      <c r="CK13" s="903">
        <v>-0.018366803715713885</v>
      </c>
      <c r="CL13" s="904"/>
      <c r="DA13" s="905">
        <f t="shared" si="5"/>
        <v>-0.018366803715713885</v>
      </c>
      <c r="DE13" s="923">
        <v>1997</v>
      </c>
      <c r="DF13" s="924">
        <v>5279.491224</v>
      </c>
      <c r="DG13" s="925">
        <v>1396.3734656664</v>
      </c>
      <c r="DX13" s="876">
        <v>2000</v>
      </c>
      <c r="DY13" s="877">
        <v>17464</v>
      </c>
      <c r="DZ13" s="878">
        <f t="shared" si="11"/>
        <v>3.2947518370474893</v>
      </c>
      <c r="EA13" s="879">
        <f t="shared" si="12"/>
        <v>0.99897304110588</v>
      </c>
      <c r="EB13" s="879">
        <v>1.005</v>
      </c>
      <c r="EC13" s="880">
        <f t="shared" si="6"/>
        <v>5300.5509561078</v>
      </c>
      <c r="ED13" s="479"/>
      <c r="EE13" s="881">
        <v>843.378</v>
      </c>
      <c r="EF13" s="879">
        <v>1.2489451476793252</v>
      </c>
      <c r="EG13" s="857">
        <f t="shared" si="13"/>
        <v>213.79458307210035</v>
      </c>
      <c r="EH13" s="882">
        <f t="shared" si="14"/>
        <v>3.9448052793534916</v>
      </c>
      <c r="EI13" s="857">
        <f t="shared" si="7"/>
        <v>187.42368279295744</v>
      </c>
      <c r="EJ13" s="479"/>
      <c r="EK13" s="883">
        <f t="shared" si="3"/>
        <v>0.04033440765732963</v>
      </c>
      <c r="EL13" s="884">
        <f t="shared" si="8"/>
        <v>0.03553607969561635</v>
      </c>
      <c r="EM13" s="793"/>
      <c r="EO13" s="885">
        <v>2000</v>
      </c>
      <c r="EP13" s="886">
        <f t="shared" si="4"/>
        <v>0.04033440765732963</v>
      </c>
      <c r="EQ13" s="887">
        <f t="shared" si="9"/>
        <v>0.03553607969561635</v>
      </c>
      <c r="FH13" s="863">
        <v>2000</v>
      </c>
      <c r="FI13" s="888">
        <f t="shared" si="15"/>
        <v>213.79458307210035</v>
      </c>
      <c r="FJ13" s="889">
        <f t="shared" si="16"/>
        <v>187.42368279295744</v>
      </c>
      <c r="FK13" s="879"/>
      <c r="FL13" s="890"/>
      <c r="GB13" s="795">
        <v>2000</v>
      </c>
      <c r="GC13" s="796">
        <f t="shared" si="17"/>
        <v>3.2947518370474893</v>
      </c>
      <c r="GD13" s="822">
        <f t="shared" si="10"/>
        <v>4.090423764117601</v>
      </c>
      <c r="GE13" s="823"/>
      <c r="GR13" s="918"/>
      <c r="GS13" s="919"/>
      <c r="GT13" s="24"/>
      <c r="GU13" s="795">
        <v>2003</v>
      </c>
      <c r="GV13" s="796">
        <f t="shared" si="0"/>
        <v>5.90091640449027</v>
      </c>
      <c r="GW13" s="822">
        <f t="shared" si="1"/>
        <v>6.253833840199949</v>
      </c>
      <c r="GX13" s="823"/>
      <c r="HK13" s="918"/>
      <c r="HL13" s="919"/>
      <c r="HY13" s="824">
        <v>9</v>
      </c>
      <c r="HZ13" s="795">
        <v>2003</v>
      </c>
      <c r="IA13" s="824">
        <v>5471.961074020076</v>
      </c>
      <c r="IB13" s="824"/>
      <c r="IC13" s="825"/>
      <c r="IP13" s="918"/>
      <c r="IQ13" s="919"/>
      <c r="IX13" s="824">
        <f t="shared" si="2"/>
        <v>5471.961074020076</v>
      </c>
    </row>
    <row r="14" ht="22.75" customHeight="1" spans="12:258" x14ac:dyDescent="0.25">
      <c r="L14" s="920"/>
      <c r="M14" s="909" t="s">
        <v>880</v>
      </c>
      <c r="N14" s="909"/>
      <c r="O14" s="910" t="s">
        <v>589</v>
      </c>
      <c r="P14" s="929">
        <v>2767.6205</v>
      </c>
      <c r="Q14" s="929">
        <f t="shared" ref="Q14:AM14" si="21">$P10*Q12</f>
        <v>2690.127126</v>
      </c>
      <c r="R14" s="929">
        <f t="shared" si="21"/>
        <v>2727.788905764</v>
      </c>
      <c r="S14" s="929">
        <f t="shared" si="21"/>
        <v>2588.671671570036</v>
      </c>
      <c r="T14" s="929">
        <f t="shared" si="21"/>
        <v>2738.8146285210983</v>
      </c>
      <c r="U14" s="929">
        <f t="shared" si="21"/>
        <v>2996.263203602082</v>
      </c>
      <c r="V14" s="929">
        <f t="shared" si="21"/>
        <v>3143.0801005785834</v>
      </c>
      <c r="W14" s="929">
        <f t="shared" si="21"/>
        <v>3281.3756250040415</v>
      </c>
      <c r="X14" s="929">
        <f t="shared" si="21"/>
        <v>3530.7601725043487</v>
      </c>
      <c r="Y14" s="929">
        <f t="shared" si="21"/>
        <v>3813.2209863046965</v>
      </c>
      <c r="Z14" s="929">
        <f t="shared" si="21"/>
        <v>4030.5745825240638</v>
      </c>
      <c r="AA14" s="929">
        <f t="shared" si="21"/>
        <v>4389.295720368706</v>
      </c>
      <c r="AB14" s="929">
        <f t="shared" si="21"/>
        <v>4775.553743761152</v>
      </c>
      <c r="AC14" s="929">
        <f t="shared" si="21"/>
        <v>5014.33143094921</v>
      </c>
      <c r="AD14" s="929">
        <f t="shared" si="21"/>
        <v>4643.270905058968</v>
      </c>
      <c r="AE14" s="930">
        <f t="shared" si="21"/>
        <v>4875.434450311916</v>
      </c>
      <c r="AF14" s="929">
        <f t="shared" si="21"/>
        <v>5085.078131675329</v>
      </c>
      <c r="AG14" s="929">
        <f t="shared" si="21"/>
        <v>5283.396178810667</v>
      </c>
      <c r="AH14" s="929">
        <f t="shared" si="21"/>
        <v>5394.347498565691</v>
      </c>
      <c r="AI14" s="929">
        <f t="shared" si="21"/>
        <v>5437.502278554217</v>
      </c>
      <c r="AJ14" s="929">
        <f t="shared" si="21"/>
        <v>5366.814748933011</v>
      </c>
      <c r="AK14" s="929">
        <f t="shared" si="21"/>
        <v>5431.2165259202075</v>
      </c>
      <c r="AL14" s="929">
        <f t="shared" si="21"/>
        <v>5566.996939068213</v>
      </c>
      <c r="AM14" s="929">
        <f t="shared" si="21"/>
        <v>5706.1718625449175</v>
      </c>
      <c r="AN14" s="682"/>
      <c r="AO14" s="897"/>
      <c r="AP14" s="682"/>
      <c r="AQ14" s="912" t="str">
        <f t="shared" si="19"/>
        <v>XOS</v>
      </c>
      <c r="BB14" s="24"/>
      <c r="BC14" s="24"/>
      <c r="BD14" s="928">
        <v>1997</v>
      </c>
      <c r="BE14" s="903">
        <v>1.014</v>
      </c>
      <c r="BF14" s="607">
        <f>BV14/BV13</f>
        <v>1.007936766522404</v>
      </c>
      <c r="BT14" s="902">
        <v>1997</v>
      </c>
      <c r="BU14" s="903">
        <v>0.977496</v>
      </c>
      <c r="BV14" s="607">
        <v>0.960753583801049</v>
      </c>
      <c r="CJ14" s="553">
        <v>2000</v>
      </c>
      <c r="CK14" s="903">
        <v>0.00940334483209172</v>
      </c>
      <c r="CL14" s="931"/>
      <c r="DA14" s="905">
        <f t="shared" si="5"/>
        <v>0.00940334483209172</v>
      </c>
      <c r="DE14" s="923">
        <v>1998</v>
      </c>
      <c r="DF14" s="924">
        <v>5263.652750328</v>
      </c>
      <c r="DG14" s="925">
        <v>1322.3656719860808</v>
      </c>
      <c r="DX14" s="876">
        <v>2001</v>
      </c>
      <c r="DY14" s="877">
        <v>20241.428</v>
      </c>
      <c r="DZ14" s="878">
        <f t="shared" si="11"/>
        <v>3.7846782806927575</v>
      </c>
      <c r="EA14" s="879">
        <f t="shared" si="12"/>
        <v>1.0079637984758332</v>
      </c>
      <c r="EB14" s="879">
        <v>1.0090000000000001</v>
      </c>
      <c r="EC14" s="880">
        <f t="shared" si="6"/>
        <v>5348.25591471277</v>
      </c>
      <c r="ED14" s="479"/>
      <c r="EE14" s="881">
        <v>1117.655</v>
      </c>
      <c r="EF14" s="879">
        <v>1.189189189189189</v>
      </c>
      <c r="EG14" s="857">
        <f t="shared" si="13"/>
        <v>254.24220689655175</v>
      </c>
      <c r="EH14" s="882">
        <f t="shared" si="14"/>
        <v>4.396024616222597</v>
      </c>
      <c r="EI14" s="857">
        <f t="shared" si="7"/>
        <v>206.53724829158108</v>
      </c>
      <c r="EJ14" s="479"/>
      <c r="EK14" s="883">
        <f t="shared" si="3"/>
        <v>0.04753740489439647</v>
      </c>
      <c r="EL14" s="884">
        <f t="shared" si="8"/>
        <v>0.03896524153844596</v>
      </c>
      <c r="EM14" s="793"/>
      <c r="EO14" s="885">
        <v>2001</v>
      </c>
      <c r="EP14" s="886">
        <f t="shared" si="4"/>
        <v>0.04753740489439647</v>
      </c>
      <c r="EQ14" s="887">
        <f t="shared" si="9"/>
        <v>0.03896524153844596</v>
      </c>
      <c r="FH14" s="863">
        <v>2001</v>
      </c>
      <c r="FI14" s="888">
        <f t="shared" si="15"/>
        <v>254.24220689655175</v>
      </c>
      <c r="FJ14" s="889">
        <f t="shared" si="16"/>
        <v>206.53724829158108</v>
      </c>
      <c r="FK14" s="879"/>
      <c r="FL14" s="890"/>
      <c r="GB14" s="795">
        <v>2001</v>
      </c>
      <c r="GC14" s="796">
        <f t="shared" si="17"/>
        <v>3.7846782806927575</v>
      </c>
      <c r="GD14" s="822">
        <f t="shared" si="10"/>
        <v>4.851242584243474</v>
      </c>
      <c r="GE14" s="823"/>
      <c r="GR14" s="918"/>
      <c r="GS14" s="919"/>
      <c r="GT14" s="24"/>
      <c r="GU14" s="795">
        <v>2004</v>
      </c>
      <c r="GV14" s="796">
        <f t="shared" si="0"/>
        <v>5.736138604273994</v>
      </c>
      <c r="GW14" s="822">
        <f t="shared" si="1"/>
        <v>6.9855323995033425</v>
      </c>
      <c r="GX14" s="823"/>
      <c r="HK14" s="918"/>
      <c r="HL14" s="919"/>
      <c r="HY14" s="824">
        <v>10</v>
      </c>
      <c r="HZ14" s="795">
        <v>2004</v>
      </c>
      <c r="IA14" s="824">
        <v>5559.512451204397</v>
      </c>
      <c r="IB14" s="824"/>
      <c r="IC14" s="825"/>
      <c r="IP14" s="918"/>
      <c r="IQ14" s="919"/>
      <c r="IX14" s="824">
        <f t="shared" si="2"/>
        <v>5559.512451204397</v>
      </c>
    </row>
    <row r="15" ht="22.75" customHeight="1" spans="12:258" x14ac:dyDescent="0.25">
      <c r="L15" s="891" t="s">
        <v>871</v>
      </c>
      <c r="M15" s="909" t="s">
        <v>881</v>
      </c>
      <c r="N15" s="909"/>
      <c r="O15" s="932" t="s">
        <v>285</v>
      </c>
      <c r="P15" s="930">
        <f>ОТЧЁТ!U52</f>
        <v>369.9027</v>
      </c>
      <c r="Q15" s="929">
        <f>ОТЧЁТ!V52</f>
        <v>438.694</v>
      </c>
      <c r="R15" s="929">
        <f>ОТЧЁТ!W52</f>
        <v>527.711</v>
      </c>
      <c r="S15" s="929">
        <f>ОТЧЁТ!X52</f>
        <v>645.634</v>
      </c>
      <c r="T15" s="929">
        <f>ОТЧЁТ!Y52</f>
        <v>1262.349</v>
      </c>
      <c r="U15" s="929">
        <f>ОТЧЁТ!Z52</f>
        <v>1755.804</v>
      </c>
      <c r="V15" s="929">
        <f>ОТЧЁТ!AA52</f>
        <v>2165.928</v>
      </c>
      <c r="W15" s="929">
        <f>ОТЧЁТ!AB52</f>
        <v>2646.204</v>
      </c>
      <c r="X15" s="929">
        <f>ОТЧЁТ!AC52</f>
        <v>3153.9</v>
      </c>
      <c r="Y15" s="929">
        <f>ОТЧЁТ!AD52</f>
        <v>3773.9</v>
      </c>
      <c r="Z15" s="929">
        <f>ОТЧЁТ!AE52</f>
        <v>4648.3</v>
      </c>
      <c r="AA15" s="929">
        <f>ОТЧЁТ!AF52</f>
        <v>5653.4199</v>
      </c>
      <c r="AB15" s="929">
        <f>ОТЧЁТ!AG52</f>
        <v>7162.2108</v>
      </c>
      <c r="AC15" s="929">
        <f>ОТЧЁТ!AH52</f>
        <v>9110.9865</v>
      </c>
      <c r="AD15" s="929">
        <f>ОТЧЁТ!AI52</f>
        <v>7954.3271</v>
      </c>
      <c r="AE15" s="933">
        <f>ОТЧЁТ!AJ52</f>
        <v>9789.614</v>
      </c>
      <c r="AF15" s="934">
        <f>ОТЧЁТ!AK52</f>
        <v>12010.7569</v>
      </c>
      <c r="AG15" s="934">
        <f>ОТЧЁТ!AL52</f>
        <v>13786.8717</v>
      </c>
      <c r="AH15" s="934">
        <f>ОТЧЁТ!AM52</f>
        <v>14919.6208</v>
      </c>
      <c r="AI15" s="934">
        <f>ОТЧЁТ!AN52</f>
        <v>16351.5355</v>
      </c>
      <c r="AJ15" s="934">
        <f>ОТЧЁТ!AO52</f>
        <v>17153.42</v>
      </c>
      <c r="AK15" s="934">
        <f>ОТЧЁТ!AP52</f>
        <v>17689.044</v>
      </c>
      <c r="AL15" s="934">
        <f>ОТЧЁТ!AQ52</f>
        <v>19072.95</v>
      </c>
      <c r="AM15" s="934">
        <f>ОТЧЁТ!AR52</f>
        <v>21574.3</v>
      </c>
      <c r="AN15" s="682"/>
      <c r="AO15" s="897"/>
      <c r="AP15" s="682"/>
      <c r="AQ15" s="912" t="str">
        <f t="shared" si="19"/>
        <v>IM</v>
      </c>
      <c r="BB15" s="24"/>
      <c r="BC15" s="24"/>
      <c r="BD15" s="928">
        <v>1998</v>
      </c>
      <c r="BE15" s="903">
        <v>0.947</v>
      </c>
      <c r="BF15" s="607">
        <f t="shared" ref="BF15:BF35" si="22">BV15/BV14</f>
        <v>0.939258754281713</v>
      </c>
      <c r="BT15" s="902">
        <v>1998</v>
      </c>
      <c r="BU15" s="903">
        <v>0.925688712</v>
      </c>
      <c r="BV15" s="607">
        <v>0.9023962142926647</v>
      </c>
      <c r="CJ15" s="553">
        <v>2001</v>
      </c>
      <c r="CK15" s="903">
        <v>0.01543589803541467</v>
      </c>
      <c r="CL15" s="931"/>
      <c r="DA15" s="905">
        <f t="shared" si="5"/>
        <v>0.01543589803541467</v>
      </c>
      <c r="DE15" s="923">
        <v>1999</v>
      </c>
      <c r="DF15" s="924">
        <v>5274.180055828657</v>
      </c>
      <c r="DG15" s="925">
        <v>1406.99707499319</v>
      </c>
      <c r="DX15" s="876">
        <v>2002</v>
      </c>
      <c r="DY15" s="877">
        <v>24431</v>
      </c>
      <c r="DZ15" s="878">
        <f t="shared" si="11"/>
        <v>4.522803189792793</v>
      </c>
      <c r="EA15" s="879">
        <f t="shared" si="12"/>
        <v>1.0180434364605915</v>
      </c>
      <c r="EB15" s="879">
        <v>1.01</v>
      </c>
      <c r="EC15" s="880">
        <f t="shared" si="6"/>
        <v>5401.7384738598985</v>
      </c>
      <c r="ED15" s="479"/>
      <c r="EE15" s="881">
        <v>1615.063</v>
      </c>
      <c r="EF15" s="879">
        <v>1.0795454545454544</v>
      </c>
      <c r="EG15" s="857">
        <f t="shared" si="13"/>
        <v>274.4660188087774</v>
      </c>
      <c r="EH15" s="882">
        <f t="shared" si="14"/>
        <v>5.884382361829743</v>
      </c>
      <c r="EI15" s="857">
        <f t="shared" si="7"/>
        <v>220.9834596616493</v>
      </c>
      <c r="EJ15" s="479"/>
      <c r="EK15" s="883">
        <f t="shared" si="3"/>
        <v>0.05081068254914113</v>
      </c>
      <c r="EL15" s="884">
        <f t="shared" si="8"/>
        <v>0.04131878937463247</v>
      </c>
      <c r="EM15" s="793"/>
      <c r="EO15" s="885">
        <v>2002</v>
      </c>
      <c r="EP15" s="886">
        <f t="shared" si="4"/>
        <v>0.05081068254914113</v>
      </c>
      <c r="EQ15" s="887">
        <f t="shared" si="9"/>
        <v>0.04131878937463247</v>
      </c>
      <c r="FH15" s="863">
        <v>2002</v>
      </c>
      <c r="FI15" s="888">
        <f t="shared" si="15"/>
        <v>274.4660188087774</v>
      </c>
      <c r="FJ15" s="889">
        <f t="shared" si="16"/>
        <v>220.9834596616493</v>
      </c>
      <c r="FK15" s="879"/>
      <c r="FL15" s="890"/>
      <c r="GB15" s="795">
        <v>2002</v>
      </c>
      <c r="GC15" s="796">
        <f t="shared" si="17"/>
        <v>4.522803189792793</v>
      </c>
      <c r="GD15" s="822">
        <f t="shared" si="10"/>
        <v>5.583780214464239</v>
      </c>
      <c r="GE15" s="823"/>
      <c r="GR15" s="918"/>
      <c r="GS15" s="919"/>
      <c r="GT15" s="24"/>
      <c r="GU15" s="795">
        <v>2005</v>
      </c>
      <c r="GV15" s="796">
        <f t="shared" si="0"/>
        <v>7.718849506887088</v>
      </c>
      <c r="GW15" s="822">
        <f t="shared" si="1"/>
        <v>7.746955431049207</v>
      </c>
      <c r="GX15" s="823"/>
      <c r="HK15" s="918"/>
      <c r="HL15" s="919"/>
      <c r="HY15" s="824">
        <v>11</v>
      </c>
      <c r="HZ15" s="795">
        <v>2005</v>
      </c>
      <c r="IA15" s="824">
        <v>5665.143187777281</v>
      </c>
      <c r="IB15" s="824"/>
      <c r="IC15" s="825"/>
      <c r="IP15" s="918"/>
      <c r="IQ15" s="919"/>
      <c r="IX15" s="824">
        <f t="shared" si="2"/>
        <v>5665.143187777281</v>
      </c>
    </row>
    <row r="16" ht="22.75" customHeight="1" spans="12:258" x14ac:dyDescent="0.25">
      <c r="L16" s="891" t="s">
        <v>871</v>
      </c>
      <c r="M16" s="909"/>
      <c r="N16" s="909"/>
      <c r="O16" s="910" t="s">
        <v>528</v>
      </c>
      <c r="P16" s="636"/>
      <c r="Q16" s="921">
        <v>1.013</v>
      </c>
      <c r="R16" s="921">
        <v>1.004</v>
      </c>
      <c r="S16" s="921">
        <v>0.826</v>
      </c>
      <c r="T16" s="921">
        <v>0.83</v>
      </c>
      <c r="U16" s="921">
        <v>1.324</v>
      </c>
      <c r="V16" s="921">
        <v>1.187</v>
      </c>
      <c r="W16" s="921">
        <v>1.146</v>
      </c>
      <c r="X16" s="921">
        <v>1.173</v>
      </c>
      <c r="Y16" s="921">
        <v>1.233</v>
      </c>
      <c r="Z16" s="921">
        <v>1.166</v>
      </c>
      <c r="AA16" s="921">
        <v>1.213</v>
      </c>
      <c r="AB16" s="921">
        <v>1.262</v>
      </c>
      <c r="AC16" s="921">
        <f>ОТЧЁТ!AH140</f>
        <v>1.148</v>
      </c>
      <c r="AD16" s="921">
        <f>ОТЧЁТ!AI140</f>
        <v>0.696</v>
      </c>
      <c r="AE16" s="911">
        <f>ОТЧЁТ!AJ140</f>
        <v>1.258</v>
      </c>
      <c r="AF16" s="921">
        <f>ОТЧЁТ!AK140</f>
        <v>1.203</v>
      </c>
      <c r="AG16" s="921">
        <f>ОТЧЁТ!AL140</f>
        <v>1.097</v>
      </c>
      <c r="AH16" s="921">
        <f>ОТЧЁТ!AM140</f>
        <v>1.035</v>
      </c>
      <c r="AI16" s="921">
        <f>ОТЧЁТ!AN140</f>
        <v>0.927</v>
      </c>
      <c r="AJ16" s="921">
        <f>ОТЧЁТ!AO140</f>
        <v>0.749</v>
      </c>
      <c r="AK16" s="921">
        <f>ОТЧЁТ!AP140</f>
        <v>0.964</v>
      </c>
      <c r="AL16" s="921">
        <f>ОТЧЁТ!AQ140</f>
        <v>1.174</v>
      </c>
      <c r="AM16" s="921">
        <f>ОТЧЁТ!AR140</f>
        <v>1.027</v>
      </c>
      <c r="AN16" s="682"/>
      <c r="AO16" s="897"/>
      <c r="AP16" s="682"/>
      <c r="AQ16" s="912" t="str">
        <f t="shared" si="19"/>
        <v>pIM</v>
      </c>
      <c r="BB16" s="24"/>
      <c r="BC16" s="24"/>
      <c r="BD16" s="928">
        <v>1999</v>
      </c>
      <c r="BE16" s="903">
        <v>1.064</v>
      </c>
      <c r="BF16" s="607">
        <f t="shared" si="22"/>
        <v>1.064268335681992</v>
      </c>
      <c r="BT16" s="902">
        <v>1999</v>
      </c>
      <c r="BU16" s="903">
        <v>0.9849327895680001</v>
      </c>
      <c r="BV16" s="607">
        <v>0.9603917171109845</v>
      </c>
      <c r="CJ16" s="553">
        <v>2002</v>
      </c>
      <c r="CK16" s="903">
        <v>0.010420706842907277</v>
      </c>
      <c r="CL16" s="931"/>
      <c r="DA16" s="905">
        <f t="shared" si="5"/>
        <v>0.010420706842907277</v>
      </c>
      <c r="DE16" s="923">
        <v>2000</v>
      </c>
      <c r="DF16" s="924">
        <v>5300.5509561078</v>
      </c>
      <c r="DG16" s="925">
        <v>1547.696782492509</v>
      </c>
      <c r="DX16" s="876">
        <v>2003</v>
      </c>
      <c r="DY16" s="877">
        <v>30329.1</v>
      </c>
      <c r="DZ16" s="878">
        <f t="shared" si="11"/>
        <v>5.542638112686385</v>
      </c>
      <c r="EA16" s="879">
        <f t="shared" si="12"/>
        <v>1.031278001134579</v>
      </c>
      <c r="EB16" s="879">
        <v>1.013</v>
      </c>
      <c r="EC16" s="880">
        <f t="shared" si="6"/>
        <v>5471.961074020076</v>
      </c>
      <c r="ED16" s="479"/>
      <c r="EE16" s="881">
        <v>1815.658</v>
      </c>
      <c r="EF16" s="879">
        <v>1.1210526315789473</v>
      </c>
      <c r="EG16" s="857">
        <f t="shared" si="13"/>
        <v>307.69085266457677</v>
      </c>
      <c r="EH16" s="882">
        <f t="shared" si="14"/>
        <v>5.90091640449027</v>
      </c>
      <c r="EI16" s="857">
        <f t="shared" si="7"/>
        <v>237.46825250439923</v>
      </c>
      <c r="EJ16" s="479"/>
      <c r="EK16" s="883">
        <f t="shared" si="3"/>
        <v>0.05623045348868428</v>
      </c>
      <c r="EL16" s="884">
        <f t="shared" si="8"/>
        <v>0.04396144938403738</v>
      </c>
      <c r="EM16" s="793"/>
      <c r="EO16" s="885">
        <v>2003</v>
      </c>
      <c r="EP16" s="886">
        <f t="shared" si="4"/>
        <v>0.05623045348868428</v>
      </c>
      <c r="EQ16" s="887">
        <f t="shared" si="9"/>
        <v>0.04396144938403738</v>
      </c>
      <c r="FH16" s="863">
        <v>2003</v>
      </c>
      <c r="FI16" s="888">
        <f t="shared" si="15"/>
        <v>307.69085266457677</v>
      </c>
      <c r="FJ16" s="889">
        <f t="shared" si="16"/>
        <v>237.46825250439923</v>
      </c>
      <c r="FK16" s="879"/>
      <c r="FL16" s="935"/>
      <c r="GB16" s="795">
        <v>2003</v>
      </c>
      <c r="GC16" s="796">
        <f t="shared" si="17"/>
        <v>5.542638112686385</v>
      </c>
      <c r="GD16" s="822">
        <f t="shared" si="10"/>
        <v>6.253833840199949</v>
      </c>
      <c r="GE16" s="823"/>
      <c r="GR16" s="918"/>
      <c r="GS16" s="919"/>
      <c r="GT16" s="24"/>
      <c r="GU16" s="795">
        <v>2006</v>
      </c>
      <c r="GV16" s="796">
        <f t="shared" si="0"/>
        <v>7.333907061981483</v>
      </c>
      <c r="GW16" s="822">
        <f t="shared" si="1"/>
        <v>8.444181419843636</v>
      </c>
      <c r="GX16" s="823"/>
      <c r="HK16" s="918"/>
      <c r="HL16" s="919"/>
      <c r="HY16" s="824">
        <v>12</v>
      </c>
      <c r="HZ16" s="795">
        <v>2006</v>
      </c>
      <c r="IA16" s="824">
        <v>5801.106624283936</v>
      </c>
      <c r="IB16" s="824"/>
      <c r="IC16" s="825"/>
      <c r="IP16" s="918"/>
      <c r="IQ16" s="919"/>
      <c r="IX16" s="824">
        <f t="shared" si="2"/>
        <v>5801.106624283936</v>
      </c>
    </row>
    <row r="17" ht="22.75" customHeight="1" spans="12:258" x14ac:dyDescent="0.25">
      <c r="L17" s="920"/>
      <c r="M17" s="909"/>
      <c r="N17" s="909"/>
      <c r="O17" s="910" t="s">
        <v>882</v>
      </c>
      <c r="P17" s="636">
        <v>1</v>
      </c>
      <c r="Q17" s="921">
        <f>P17*Q16</f>
        <v>1.013</v>
      </c>
      <c r="R17" s="921">
        <f t="shared" ref="R17:AK17" si="23">Q17*R16</f>
        <v>1.0170519999999998</v>
      </c>
      <c r="S17" s="921">
        <f t="shared" si="23"/>
        <v>0.8400849519999998</v>
      </c>
      <c r="T17" s="921">
        <f t="shared" si="23"/>
        <v>0.6972705101599997</v>
      </c>
      <c r="U17" s="921">
        <f t="shared" si="23"/>
        <v>0.9231861554518397</v>
      </c>
      <c r="V17" s="921">
        <f t="shared" si="23"/>
        <v>1.0958219665213338</v>
      </c>
      <c r="W17" s="921">
        <f t="shared" si="23"/>
        <v>1.2558119736334483</v>
      </c>
      <c r="X17" s="921">
        <f t="shared" si="23"/>
        <v>1.473067445072035</v>
      </c>
      <c r="Y17" s="921">
        <f t="shared" si="23"/>
        <v>1.816292159773819</v>
      </c>
      <c r="Z17" s="921">
        <f t="shared" si="23"/>
        <v>2.117796658296273</v>
      </c>
      <c r="AA17" s="921">
        <f t="shared" si="23"/>
        <v>2.568887346513379</v>
      </c>
      <c r="AB17" s="921">
        <f t="shared" si="23"/>
        <v>3.2419358312998843</v>
      </c>
      <c r="AC17" s="921">
        <f t="shared" si="23"/>
        <v>3.7217423343322666</v>
      </c>
      <c r="AD17" s="921">
        <f t="shared" si="23"/>
        <v>2.5903326646952576</v>
      </c>
      <c r="AE17" s="911">
        <f t="shared" si="23"/>
        <v>3.258638492186634</v>
      </c>
      <c r="AF17" s="921">
        <f t="shared" si="23"/>
        <v>3.920142106100521</v>
      </c>
      <c r="AG17" s="921">
        <f t="shared" si="23"/>
        <v>4.300395890392272</v>
      </c>
      <c r="AH17" s="921">
        <f t="shared" si="23"/>
        <v>4.450909746556001</v>
      </c>
      <c r="AI17" s="921">
        <f t="shared" si="23"/>
        <v>4.125993335057413</v>
      </c>
      <c r="AJ17" s="921">
        <f t="shared" si="23"/>
        <v>3.0903690079580026</v>
      </c>
      <c r="AK17" s="921">
        <f t="shared" si="23"/>
        <v>2.9791157236715144</v>
      </c>
      <c r="AL17" s="921">
        <f>AK17*AL16</f>
        <v>3.4974818595903576</v>
      </c>
      <c r="AM17" s="921">
        <f>AL17*AM16</f>
        <v>3.591913869799297</v>
      </c>
      <c r="AN17" s="682"/>
      <c r="AO17" s="897"/>
      <c r="AP17" s="682"/>
      <c r="AQ17" s="912" t="str">
        <f t="shared" si="19"/>
        <v>Pm</v>
      </c>
      <c r="BB17" s="24"/>
      <c r="BC17" s="24"/>
      <c r="BD17" s="928">
        <v>2000</v>
      </c>
      <c r="BE17" s="903">
        <v>1.1</v>
      </c>
      <c r="BF17" s="607">
        <f t="shared" si="22"/>
        <v>1.0906275655384339</v>
      </c>
      <c r="BT17" s="902">
        <v>2000</v>
      </c>
      <c r="BU17" s="903">
        <v>1.0834260685248003</v>
      </c>
      <c r="BV17" s="607">
        <v>1.0474296803960292</v>
      </c>
      <c r="CJ17" s="553">
        <v>2003</v>
      </c>
      <c r="CK17" s="903">
        <v>0.01137831298258356</v>
      </c>
      <c r="CL17" s="931"/>
      <c r="DA17" s="905">
        <f t="shared" si="5"/>
        <v>0.01137831298258356</v>
      </c>
      <c r="DE17" s="923">
        <v>2001</v>
      </c>
      <c r="DF17" s="924">
        <v>5348.25591471277</v>
      </c>
      <c r="DG17" s="925">
        <v>1626.629318399627</v>
      </c>
      <c r="DX17" s="876">
        <v>2004</v>
      </c>
      <c r="DY17" s="877">
        <v>34874</v>
      </c>
      <c r="DZ17" s="878">
        <f t="shared" si="11"/>
        <v>6.272852216104849</v>
      </c>
      <c r="EA17" s="879">
        <f t="shared" si="12"/>
        <v>1.0477784491527322</v>
      </c>
      <c r="EB17" s="879">
        <v>1.016</v>
      </c>
      <c r="EC17" s="880">
        <f t="shared" si="6"/>
        <v>5559.512451204397</v>
      </c>
      <c r="ED17" s="479"/>
      <c r="EE17" s="881">
        <v>1972.112</v>
      </c>
      <c r="EF17" s="879">
        <v>1.1173708920187795</v>
      </c>
      <c r="EG17" s="857">
        <f t="shared" si="13"/>
        <v>343.804802507837</v>
      </c>
      <c r="EH17" s="882">
        <f t="shared" si="14"/>
        <v>5.736138604273994</v>
      </c>
      <c r="EI17" s="857">
        <f t="shared" si="7"/>
        <v>256.2534253235163</v>
      </c>
      <c r="EJ17" s="479"/>
      <c r="EK17" s="883">
        <f t="shared" si="3"/>
        <v>0.06184081887133037</v>
      </c>
      <c r="EL17" s="884">
        <f t="shared" si="8"/>
        <v>0.04683027197327174</v>
      </c>
      <c r="EM17" s="793"/>
      <c r="EO17" s="885">
        <v>2004</v>
      </c>
      <c r="EP17" s="886">
        <f t="shared" si="4"/>
        <v>0.06184081887133037</v>
      </c>
      <c r="EQ17" s="887">
        <f t="shared" si="9"/>
        <v>0.04683027197327174</v>
      </c>
      <c r="FH17" s="863">
        <v>2004</v>
      </c>
      <c r="FI17" s="888">
        <f t="shared" si="15"/>
        <v>343.804802507837</v>
      </c>
      <c r="FJ17" s="889">
        <f t="shared" si="16"/>
        <v>256.2534253235163</v>
      </c>
      <c r="FK17" s="879"/>
      <c r="FL17" s="935"/>
      <c r="GB17" s="795">
        <v>2004</v>
      </c>
      <c r="GC17" s="796">
        <f t="shared" si="17"/>
        <v>6.272852216104849</v>
      </c>
      <c r="GD17" s="822">
        <f t="shared" si="10"/>
        <v>6.9855323995033425</v>
      </c>
      <c r="GE17" s="823"/>
      <c r="GR17" s="918"/>
      <c r="GS17" s="919"/>
      <c r="GT17" s="24"/>
      <c r="GU17" s="795">
        <v>2007</v>
      </c>
      <c r="GV17" s="796">
        <f t="shared" si="0"/>
        <v>7.941801279807624</v>
      </c>
      <c r="GW17" s="822">
        <f t="shared" si="1"/>
        <v>9.446505754379075</v>
      </c>
      <c r="GX17" s="823"/>
      <c r="HK17" s="918"/>
      <c r="HL17" s="919"/>
      <c r="HY17" s="824">
        <v>13</v>
      </c>
      <c r="HZ17" s="795">
        <v>2007</v>
      </c>
      <c r="IA17" s="824">
        <v>5980.940929636738</v>
      </c>
      <c r="IB17" s="824"/>
      <c r="IC17" s="825"/>
      <c r="IP17" s="918"/>
      <c r="IQ17" s="919"/>
      <c r="IX17" s="824">
        <f t="shared" si="2"/>
        <v>5980.940929636738</v>
      </c>
    </row>
    <row r="18" ht="22.75" customHeight="1" spans="12:258" x14ac:dyDescent="0.25">
      <c r="L18" s="920"/>
      <c r="M18" s="909"/>
      <c r="N18" s="909"/>
      <c r="O18" s="910" t="s">
        <v>390</v>
      </c>
      <c r="P18" s="636">
        <v>1</v>
      </c>
      <c r="Q18" s="926">
        <v>1.170751567490661</v>
      </c>
      <c r="R18" s="926">
        <v>1.4027022303089887</v>
      </c>
      <c r="S18" s="926">
        <v>2.0776657762662096</v>
      </c>
      <c r="T18" s="926">
        <v>4.894300618534395</v>
      </c>
      <c r="U18" s="926">
        <v>5.141611399445178</v>
      </c>
      <c r="V18" s="926">
        <v>5.343385559062673</v>
      </c>
      <c r="W18" s="926">
        <v>5.696540648389543</v>
      </c>
      <c r="X18" s="926">
        <v>5.788123461724907</v>
      </c>
      <c r="Y18" s="926">
        <v>5.617164966343534</v>
      </c>
      <c r="Z18" s="926">
        <v>5.933656338117279</v>
      </c>
      <c r="AA18" s="926">
        <v>5.949475526803211</v>
      </c>
      <c r="AB18" s="926">
        <v>5.972486590341231</v>
      </c>
      <c r="AC18" s="926">
        <v>6.618063458613962</v>
      </c>
      <c r="AD18" s="926">
        <f t="shared" ref="AD18:AM18" si="24">AD15/AD19</f>
        <v>8.301573219607233</v>
      </c>
      <c r="AE18" s="927">
        <f t="shared" si="24"/>
        <v>8.121605375451495</v>
      </c>
      <c r="AF18" s="926">
        <f t="shared" si="24"/>
        <v>8.28287419187604</v>
      </c>
      <c r="AG18" s="926">
        <f t="shared" si="24"/>
        <v>8.667019917064366</v>
      </c>
      <c r="AH18" s="926">
        <f t="shared" si="24"/>
        <v>9.0619465420278</v>
      </c>
      <c r="AI18" s="926">
        <f t="shared" si="24"/>
        <v>10.713774916786438</v>
      </c>
      <c r="AJ18" s="926">
        <f t="shared" si="24"/>
        <v>15.005583237946574</v>
      </c>
      <c r="AK18" s="926">
        <f t="shared" si="24"/>
        <v>16.052012422908838</v>
      </c>
      <c r="AL18" s="926">
        <f t="shared" si="24"/>
        <v>14.742627700481556</v>
      </c>
      <c r="AM18" s="926">
        <f t="shared" si="24"/>
        <v>16.237654558609506</v>
      </c>
      <c r="AN18" s="682"/>
      <c r="AO18" s="897"/>
      <c r="AP18" s="682"/>
      <c r="AQ18" s="912" t="str">
        <f t="shared" si="19"/>
        <v>Dm</v>
      </c>
      <c r="BB18" s="24"/>
      <c r="BC18" s="24"/>
      <c r="BD18" s="928">
        <v>2001</v>
      </c>
      <c r="BE18" s="903">
        <v>1.051</v>
      </c>
      <c r="BF18" s="607">
        <f t="shared" si="22"/>
        <v>1.0404340769887175</v>
      </c>
      <c r="BT18" s="902">
        <v>2001</v>
      </c>
      <c r="BU18" s="903">
        <v>1.138680798019565</v>
      </c>
      <c r="BV18" s="607">
        <v>1.0897815327334301</v>
      </c>
      <c r="CJ18" s="553">
        <v>2004</v>
      </c>
      <c r="CK18" s="903">
        <v>0.011495203825421829</v>
      </c>
      <c r="CL18" s="931"/>
      <c r="DA18" s="905">
        <f t="shared" si="5"/>
        <v>0.011495203825421829</v>
      </c>
      <c r="DE18" s="923">
        <v>2002</v>
      </c>
      <c r="DF18" s="924">
        <v>5401.7384738598985</v>
      </c>
      <c r="DG18" s="925">
        <v>1703.0808963644092</v>
      </c>
      <c r="DX18" s="876">
        <v>2005</v>
      </c>
      <c r="DY18" s="877">
        <v>41494</v>
      </c>
      <c r="DZ18" s="878">
        <f t="shared" si="11"/>
        <v>7.324439758120248</v>
      </c>
      <c r="EA18" s="879">
        <f t="shared" si="12"/>
        <v>1.0676862396866342</v>
      </c>
      <c r="EB18" s="879">
        <v>1.0190000000000001</v>
      </c>
      <c r="EC18" s="880">
        <f t="shared" si="6"/>
        <v>5665.143187777281</v>
      </c>
      <c r="ED18" s="479"/>
      <c r="EE18" s="881">
        <v>2943.686</v>
      </c>
      <c r="EF18" s="879">
        <v>1.1092436974789917</v>
      </c>
      <c r="EG18" s="857">
        <f t="shared" si="13"/>
        <v>381.3633103448276</v>
      </c>
      <c r="EH18" s="882">
        <f t="shared" si="14"/>
        <v>7.718849506887088</v>
      </c>
      <c r="EI18" s="857">
        <f t="shared" si="7"/>
        <v>275.7325737719432</v>
      </c>
      <c r="EJ18" s="479"/>
      <c r="EK18" s="883">
        <f t="shared" si="3"/>
        <v>0.06731750596659773</v>
      </c>
      <c r="EL18" s="884">
        <f t="shared" si="8"/>
        <v>0.049596538579962934</v>
      </c>
      <c r="EM18" s="793"/>
      <c r="EO18" s="885">
        <v>2005</v>
      </c>
      <c r="EP18" s="886">
        <f t="shared" si="4"/>
        <v>0.06731750596659773</v>
      </c>
      <c r="EQ18" s="887">
        <f t="shared" si="9"/>
        <v>0.049596538579962934</v>
      </c>
      <c r="FH18" s="863">
        <v>2005</v>
      </c>
      <c r="FI18" s="888">
        <f t="shared" si="15"/>
        <v>381.3633103448276</v>
      </c>
      <c r="FJ18" s="889">
        <f t="shared" si="16"/>
        <v>275.7325737719432</v>
      </c>
      <c r="FK18" s="879"/>
      <c r="FL18" s="935"/>
      <c r="GB18" s="795">
        <v>2005</v>
      </c>
      <c r="GC18" s="796">
        <f t="shared" si="17"/>
        <v>7.324439758120248</v>
      </c>
      <c r="GD18" s="822">
        <f t="shared" si="10"/>
        <v>7.746955431049207</v>
      </c>
      <c r="GE18" s="823"/>
      <c r="GR18" s="918"/>
      <c r="GS18" s="919"/>
      <c r="GT18" s="24"/>
      <c r="GU18" s="795">
        <v>2008</v>
      </c>
      <c r="GV18" s="796">
        <f t="shared" si="0"/>
        <v>9.313557709187231</v>
      </c>
      <c r="GW18" s="822">
        <f t="shared" si="1"/>
        <v>10.701001718560617</v>
      </c>
      <c r="GX18" s="823"/>
      <c r="HK18" s="918"/>
      <c r="HL18" s="919"/>
      <c r="HY18" s="824">
        <v>14</v>
      </c>
      <c r="HZ18" s="795">
        <v>2008</v>
      </c>
      <c r="IA18" s="824">
        <v>6196.25480310366</v>
      </c>
      <c r="IB18" s="824"/>
      <c r="IC18" s="825"/>
      <c r="IP18" s="918"/>
      <c r="IQ18" s="919"/>
      <c r="IX18" s="824">
        <f t="shared" si="2"/>
        <v>6196.25480310366</v>
      </c>
    </row>
    <row r="19" ht="22.75" customHeight="1" spans="12:258" x14ac:dyDescent="0.25">
      <c r="L19" s="920"/>
      <c r="M19" s="909"/>
      <c r="N19" s="909"/>
      <c r="O19" s="910" t="s">
        <v>653</v>
      </c>
      <c r="P19" s="929">
        <v>369.9027</v>
      </c>
      <c r="Q19" s="929">
        <f t="shared" ref="Q19:AM19" si="25">$P19*Q17</f>
        <v>374.71143509999996</v>
      </c>
      <c r="R19" s="929">
        <f t="shared" si="25"/>
        <v>376.21028084039995</v>
      </c>
      <c r="S19" s="929">
        <f t="shared" si="25"/>
        <v>310.7496919741703</v>
      </c>
      <c r="T19" s="929">
        <f t="shared" si="25"/>
        <v>257.9222443385613</v>
      </c>
      <c r="U19" s="929">
        <f t="shared" si="25"/>
        <v>341.4890515042552</v>
      </c>
      <c r="V19" s="929">
        <f t="shared" si="25"/>
        <v>405.34750413555093</v>
      </c>
      <c r="W19" s="929">
        <f t="shared" si="25"/>
        <v>464.5282397393413</v>
      </c>
      <c r="X19" s="929">
        <f t="shared" si="25"/>
        <v>544.8916252142474</v>
      </c>
      <c r="Y19" s="929">
        <f t="shared" si="25"/>
        <v>671.851373889167</v>
      </c>
      <c r="Z19" s="929">
        <f t="shared" si="25"/>
        <v>783.3787019547686</v>
      </c>
      <c r="AA19" s="929">
        <f t="shared" si="25"/>
        <v>950.2383654711344</v>
      </c>
      <c r="AB19" s="929">
        <f t="shared" si="25"/>
        <v>1199.2008172245717</v>
      </c>
      <c r="AC19" s="929">
        <f t="shared" si="25"/>
        <v>1376.682538173808</v>
      </c>
      <c r="AD19" s="929">
        <f t="shared" si="25"/>
        <v>958.1710465689704</v>
      </c>
      <c r="AE19" s="930">
        <f t="shared" si="25"/>
        <v>1205.3791765837648</v>
      </c>
      <c r="AF19" s="929">
        <f t="shared" si="25"/>
        <v>1450.071149430269</v>
      </c>
      <c r="AG19" s="929">
        <f t="shared" si="25"/>
        <v>1590.7280509250054</v>
      </c>
      <c r="AH19" s="929">
        <f t="shared" si="25"/>
        <v>1646.4035327073805</v>
      </c>
      <c r="AI19" s="929">
        <f t="shared" si="25"/>
        <v>1526.2160748197416</v>
      </c>
      <c r="AJ19" s="929">
        <f t="shared" si="25"/>
        <v>1143.1358400399865</v>
      </c>
      <c r="AK19" s="929">
        <f t="shared" si="25"/>
        <v>1101.982949798547</v>
      </c>
      <c r="AL19" s="929">
        <f t="shared" si="25"/>
        <v>1293.727983063494</v>
      </c>
      <c r="AM19" s="929">
        <f t="shared" si="25"/>
        <v>1328.6586386062083</v>
      </c>
      <c r="AN19" s="682"/>
      <c r="AO19" s="897"/>
      <c r="AP19" s="682"/>
      <c r="AQ19" s="912" t="str">
        <f t="shared" si="19"/>
        <v>IMS</v>
      </c>
      <c r="BD19" s="928">
        <v>2002</v>
      </c>
      <c r="BE19" s="903">
        <v>1.047</v>
      </c>
      <c r="BF19" s="607">
        <f t="shared" si="22"/>
        <v>1.037846559048423</v>
      </c>
      <c r="BT19" s="902">
        <v>2002</v>
      </c>
      <c r="BU19" s="903">
        <v>1.1921987955264846</v>
      </c>
      <c r="BV19" s="607">
        <v>1.1310260138619068</v>
      </c>
      <c r="CJ19" s="553">
        <v>2005</v>
      </c>
      <c r="CK19" s="903">
        <v>0.011017693783579027</v>
      </c>
      <c r="CL19" s="931"/>
      <c r="DA19" s="905">
        <f t="shared" si="5"/>
        <v>0.011017693783579027</v>
      </c>
      <c r="DE19" s="923">
        <v>2003</v>
      </c>
      <c r="DF19" s="924">
        <v>5471.961074020077</v>
      </c>
      <c r="DG19" s="925">
        <v>1827.405801799011</v>
      </c>
      <c r="DX19" s="876">
        <v>2006</v>
      </c>
      <c r="DY19" s="877">
        <v>47489</v>
      </c>
      <c r="DZ19" s="878">
        <f t="shared" si="11"/>
        <v>8.186196716538</v>
      </c>
      <c r="EA19" s="879">
        <f t="shared" si="12"/>
        <v>1.0933107094391135</v>
      </c>
      <c r="EB19" s="879">
        <v>1.024</v>
      </c>
      <c r="EC19" s="880">
        <f t="shared" si="6"/>
        <v>5801.106624283936</v>
      </c>
      <c r="ED19" s="479"/>
      <c r="EE19" s="881">
        <v>3252.436</v>
      </c>
      <c r="EF19" s="879">
        <v>1.1628787878787878</v>
      </c>
      <c r="EG19" s="857">
        <f t="shared" si="13"/>
        <v>443.4793040752351</v>
      </c>
      <c r="EH19" s="882">
        <f t="shared" si="14"/>
        <v>7.333907061981483</v>
      </c>
      <c r="EI19" s="857">
        <f t="shared" si="7"/>
        <v>307.5158675685802</v>
      </c>
      <c r="EJ19" s="479"/>
      <c r="EK19" s="883">
        <f t="shared" si="3"/>
        <v>0.07644736302876975</v>
      </c>
      <c r="EL19" s="884">
        <f t="shared" si="8"/>
        <v>0.0542820997414602</v>
      </c>
      <c r="EM19" s="793"/>
      <c r="EO19" s="885">
        <v>2006</v>
      </c>
      <c r="EP19" s="886">
        <f t="shared" si="4"/>
        <v>0.07644736302876975</v>
      </c>
      <c r="EQ19" s="887">
        <f t="shared" si="9"/>
        <v>0.0542820997414602</v>
      </c>
      <c r="FH19" s="863">
        <v>2006</v>
      </c>
      <c r="FI19" s="888">
        <f t="shared" si="15"/>
        <v>443.4793040752351</v>
      </c>
      <c r="FJ19" s="889">
        <f t="shared" si="16"/>
        <v>307.5158675685802</v>
      </c>
      <c r="FK19" s="879"/>
      <c r="FL19" s="935"/>
      <c r="GB19" s="795">
        <v>2006</v>
      </c>
      <c r="GC19" s="796">
        <f t="shared" si="17"/>
        <v>8.186196716538</v>
      </c>
      <c r="GD19" s="822">
        <f t="shared" si="10"/>
        <v>8.444181419843636</v>
      </c>
      <c r="GE19" s="823"/>
      <c r="GR19" s="918"/>
      <c r="GS19" s="919"/>
      <c r="GT19" s="24"/>
      <c r="GU19" s="795">
        <v>2009</v>
      </c>
      <c r="GV19" s="796">
        <f t="shared" si="0"/>
        <v>10.66694831320229</v>
      </c>
      <c r="GW19" s="822">
        <f t="shared" si="1"/>
        <v>11.642689869793951</v>
      </c>
      <c r="GX19" s="823"/>
      <c r="HK19" s="918"/>
      <c r="HL19" s="919"/>
      <c r="HY19" s="824">
        <v>15</v>
      </c>
      <c r="HZ19" s="795">
        <v>2009</v>
      </c>
      <c r="IA19" s="824">
        <v>6394.534956802978</v>
      </c>
      <c r="IB19" s="824"/>
      <c r="IC19" s="825"/>
      <c r="IP19" s="918"/>
      <c r="IQ19" s="919"/>
      <c r="IX19" s="824">
        <f t="shared" si="2"/>
        <v>6394.534956802978</v>
      </c>
    </row>
    <row r="20" ht="22.75" customHeight="1" spans="12:258" x14ac:dyDescent="0.25">
      <c r="L20" s="891" t="s">
        <v>871</v>
      </c>
      <c r="M20" s="909" t="s">
        <v>883</v>
      </c>
      <c r="N20" s="909"/>
      <c r="O20" s="932" t="s">
        <v>316</v>
      </c>
      <c r="P20" s="936">
        <v>108.89559999999999</v>
      </c>
      <c r="Q20" s="929">
        <f>ОТЧЁТ!V66</f>
        <v>179.61600000000004</v>
      </c>
      <c r="R20" s="929">
        <f>ОТЧЁТ!W66</f>
        <v>214.59470000000002</v>
      </c>
      <c r="S20" s="929">
        <f>ОТЧЁТ!X66</f>
        <v>246.36329999999998</v>
      </c>
      <c r="T20" s="929">
        <f>ОТЧЁТ!Y66</f>
        <v>495.3602</v>
      </c>
      <c r="U20" s="929">
        <f>ОТЧЁТ!Z66</f>
        <v>833.4475</v>
      </c>
      <c r="V20" s="929">
        <f>ОТЧЁТ!AA66</f>
        <v>1097.4893</v>
      </c>
      <c r="W20" s="929">
        <f>ОТЧЁТ!AB66</f>
        <v>1249.3</v>
      </c>
      <c r="X20" s="929">
        <f>ОТЧЁТ!AC66</f>
        <v>1588.5</v>
      </c>
      <c r="Y20" s="929">
        <f>ОТЧЁТ!AD66</f>
        <v>2168.4</v>
      </c>
      <c r="Z20" s="929">
        <f>ОТЧЁТ!AE66</f>
        <v>3092.1</v>
      </c>
      <c r="AA20" s="929">
        <f>ОТЧЁТ!AF66</f>
        <v>3939.8599999999997</v>
      </c>
      <c r="AB20" s="929">
        <f>ОТЧЁТ!AG66</f>
        <v>4763.0419999999995</v>
      </c>
      <c r="AC20" s="929">
        <f>ОТЧЁТ!AH66</f>
        <v>6094.150799999999</v>
      </c>
      <c r="AD20" s="929">
        <f>ОТЧЁТ!AI66</f>
        <v>4975.894899999999</v>
      </c>
      <c r="AE20" s="930">
        <f>ОТЧЁТ!AJ66</f>
        <v>6268.468</v>
      </c>
      <c r="AF20" s="929">
        <f>ОТЧЁТ!AK66</f>
        <v>8198.4096</v>
      </c>
      <c r="AG20" s="929">
        <f>ОТЧЁТ!AL66</f>
        <v>9167.649899999999</v>
      </c>
      <c r="AH20" s="929">
        <f>ОТЧЁТ!AM66</f>
        <v>9264.445199999998</v>
      </c>
      <c r="AI20" s="929">
        <f>ОТЧЁТ!AN66</f>
        <v>10292.145999999999</v>
      </c>
      <c r="AJ20" s="929">
        <f>ОТЧЁТ!AO66</f>
        <v>8466.8596</v>
      </c>
      <c r="AK20" s="929">
        <f>ОТЧЁТ!AP66</f>
        <v>8538.92</v>
      </c>
      <c r="AL20" s="929">
        <f>ОТЧЁТ!AQ66</f>
        <v>8945.76</v>
      </c>
      <c r="AM20" s="929">
        <f>ОТЧЁТ!AR66</f>
        <v>11076.27</v>
      </c>
      <c r="AN20" s="682"/>
      <c r="AO20" s="897"/>
      <c r="AP20" s="682"/>
      <c r="AQ20" s="912" t="str">
        <f t="shared" si="19"/>
        <v>CN1</v>
      </c>
      <c r="BD20" s="928">
        <v>2003</v>
      </c>
      <c r="BE20" s="903">
        <v>1.073</v>
      </c>
      <c r="BF20" s="607">
        <f t="shared" si="22"/>
        <v>1.0696986263701993</v>
      </c>
      <c r="BT20" s="902">
        <v>2003</v>
      </c>
      <c r="BU20" s="903">
        <v>1.279229307599918</v>
      </c>
      <c r="BV20" s="607">
        <v>1.2098569734170437</v>
      </c>
      <c r="CJ20" s="553">
        <v>2006</v>
      </c>
      <c r="CK20" s="903">
        <v>0.01164388659610574</v>
      </c>
      <c r="CL20" s="931"/>
      <c r="DA20" s="905">
        <f t="shared" si="5"/>
        <v>0.01164388659610574</v>
      </c>
      <c r="DE20" s="923">
        <v>2004</v>
      </c>
      <c r="DF20" s="924">
        <v>5559.5124512043985</v>
      </c>
      <c r="DG20" s="925">
        <v>1958.97901952854</v>
      </c>
      <c r="DJ20" s="937" t="s">
        <v>816</v>
      </c>
      <c r="DX20" s="876">
        <v>2007</v>
      </c>
      <c r="DY20" s="877">
        <v>60391</v>
      </c>
      <c r="DZ20" s="878">
        <f t="shared" si="11"/>
        <v>10.097240670067603</v>
      </c>
      <c r="EA20" s="879">
        <f t="shared" si="12"/>
        <v>1.127203341431726</v>
      </c>
      <c r="EB20" s="879">
        <v>1.031</v>
      </c>
      <c r="EC20" s="880">
        <f t="shared" si="6"/>
        <v>5980.940929636738</v>
      </c>
      <c r="ED20" s="479"/>
      <c r="EE20" s="881">
        <v>4296.411</v>
      </c>
      <c r="EF20" s="879">
        <v>1.219869706840391</v>
      </c>
      <c r="EG20" s="857">
        <f t="shared" si="13"/>
        <v>540.9869686520377</v>
      </c>
      <c r="EH20" s="882">
        <f t="shared" si="14"/>
        <v>7.941801279807624</v>
      </c>
      <c r="EI20" s="857">
        <f t="shared" si="7"/>
        <v>361.1526632992362</v>
      </c>
      <c r="EJ20" s="479"/>
      <c r="EK20" s="883">
        <f t="shared" si="3"/>
        <v>0.09045181602970545</v>
      </c>
      <c r="EL20" s="884">
        <f t="shared" si="8"/>
        <v>0.06225582232662641</v>
      </c>
      <c r="EM20" s="793"/>
      <c r="EO20" s="885">
        <v>2007</v>
      </c>
      <c r="EP20" s="886">
        <f t="shared" si="4"/>
        <v>0.09045181602970545</v>
      </c>
      <c r="EQ20" s="887">
        <f t="shared" si="9"/>
        <v>0.06225582232662641</v>
      </c>
      <c r="FH20" s="863">
        <v>2007</v>
      </c>
      <c r="FI20" s="888">
        <f t="shared" si="15"/>
        <v>540.9869686520377</v>
      </c>
      <c r="FJ20" s="889">
        <f t="shared" si="16"/>
        <v>361.1526632992362</v>
      </c>
      <c r="FK20" s="879"/>
      <c r="FL20" s="935"/>
      <c r="GB20" s="795">
        <v>2007</v>
      </c>
      <c r="GC20" s="796">
        <f t="shared" si="17"/>
        <v>10.097240670067603</v>
      </c>
      <c r="GD20" s="822">
        <f t="shared" si="10"/>
        <v>9.446505754379075</v>
      </c>
      <c r="GE20" s="823"/>
      <c r="GR20" s="918"/>
      <c r="GS20" s="919"/>
      <c r="GT20" s="24"/>
      <c r="GU20" s="795">
        <v>2010</v>
      </c>
      <c r="GV20" s="796">
        <f t="shared" si="0"/>
        <v>11.27644871677545</v>
      </c>
      <c r="GW20" s="822">
        <f t="shared" si="1"/>
        <v>12.664918040361862</v>
      </c>
      <c r="GX20" s="823"/>
      <c r="HK20" s="918"/>
      <c r="HL20" s="919"/>
      <c r="HY20" s="824">
        <v>16</v>
      </c>
      <c r="HZ20" s="795">
        <v>2010</v>
      </c>
      <c r="IA20" s="824">
        <v>6586.371005507067</v>
      </c>
      <c r="IB20" s="824"/>
      <c r="IC20" s="825"/>
      <c r="IP20" s="918"/>
      <c r="IQ20" s="919"/>
      <c r="IX20" s="824">
        <f t="shared" si="2"/>
        <v>6586.371005507067</v>
      </c>
    </row>
    <row r="21" ht="22.75" customHeight="1" spans="12:258" x14ac:dyDescent="0.25">
      <c r="L21" s="920"/>
      <c r="M21" s="909"/>
      <c r="N21" s="909"/>
      <c r="O21" s="910" t="s">
        <v>884</v>
      </c>
      <c r="P21" s="929"/>
      <c r="Q21" s="921">
        <v>0.8670539121874536</v>
      </c>
      <c r="R21" s="921">
        <v>1.014000000000001</v>
      </c>
      <c r="S21" s="921">
        <v>0.9198299486256655</v>
      </c>
      <c r="T21" s="921">
        <v>1.1480950399346082</v>
      </c>
      <c r="U21" s="921">
        <v>1.1774958075386188</v>
      </c>
      <c r="V21" s="921">
        <v>1.0750002024931415</v>
      </c>
      <c r="W21" s="921">
        <v>1.0821295921018141</v>
      </c>
      <c r="X21" s="921">
        <v>1.050405482410496</v>
      </c>
      <c r="Y21" s="921">
        <v>1.1413706577567804</v>
      </c>
      <c r="Z21" s="921">
        <v>1.1071931675984876</v>
      </c>
      <c r="AA21" s="921">
        <v>1.1130140716594932</v>
      </c>
      <c r="AB21" s="921">
        <v>1.0950220905175947</v>
      </c>
      <c r="AC21" s="921">
        <v>1.0520000000000005</v>
      </c>
      <c r="AD21" s="921"/>
      <c r="AE21" s="897"/>
      <c r="AF21" s="636"/>
      <c r="AG21" s="636"/>
      <c r="AH21" s="636"/>
      <c r="AI21" s="636"/>
      <c r="AJ21" s="636"/>
      <c r="AK21" s="682"/>
      <c r="AL21" s="682"/>
      <c r="AM21" s="682"/>
      <c r="AN21" s="682"/>
      <c r="AO21" s="897"/>
      <c r="AP21" s="682"/>
      <c r="AQ21" s="912" t="str">
        <f t="shared" si="19"/>
        <v>pCN1</v>
      </c>
      <c r="BD21" s="928">
        <v>2004</v>
      </c>
      <c r="BE21" s="903">
        <v>1.072</v>
      </c>
      <c r="BF21" s="607">
        <f t="shared" si="22"/>
        <v>1.0658405716297876</v>
      </c>
      <c r="BT21" s="902">
        <v>2004</v>
      </c>
      <c r="BU21" s="903">
        <v>1.3713338177471122</v>
      </c>
      <c r="BV21" s="607">
        <v>1.2895146481371067</v>
      </c>
      <c r="CJ21" s="553">
        <v>2007</v>
      </c>
      <c r="CK21" s="903">
        <v>0.014011430848958683</v>
      </c>
      <c r="CL21" s="938"/>
      <c r="DA21" s="905">
        <f t="shared" si="5"/>
        <v>0.014011430848958683</v>
      </c>
      <c r="DE21" s="923">
        <v>2005</v>
      </c>
      <c r="DF21" s="924">
        <v>5665.143187777283</v>
      </c>
      <c r="DG21" s="925">
        <v>2084.3536767783667</v>
      </c>
      <c r="DX21" s="876">
        <v>2008</v>
      </c>
      <c r="DY21" s="877">
        <v>74447</v>
      </c>
      <c r="DZ21" s="878">
        <f t="shared" si="11"/>
        <v>12.014838376677154</v>
      </c>
      <c r="EA21" s="879">
        <f t="shared" si="12"/>
        <v>1.167782661723268</v>
      </c>
      <c r="EB21" s="879">
        <v>1.036</v>
      </c>
      <c r="EC21" s="880">
        <f t="shared" si="6"/>
        <v>6196.25480310366</v>
      </c>
      <c r="ED21" s="479"/>
      <c r="EE21" s="881">
        <v>5744.847</v>
      </c>
      <c r="EF21" s="879">
        <v>1.1401869158878504</v>
      </c>
      <c r="EG21" s="857">
        <f t="shared" si="13"/>
        <v>616.8262633228841</v>
      </c>
      <c r="EH21" s="882">
        <f t="shared" si="14"/>
        <v>9.313557709187231</v>
      </c>
      <c r="EI21" s="857">
        <f t="shared" si="7"/>
        <v>401.51238985596126</v>
      </c>
      <c r="EJ21" s="479"/>
      <c r="EK21" s="883">
        <f t="shared" si="3"/>
        <v>0.09954824049745664</v>
      </c>
      <c r="EL21" s="884">
        <f t="shared" si="8"/>
        <v>0.06713197715536505</v>
      </c>
      <c r="EM21" s="793"/>
      <c r="EO21" s="885">
        <v>2008</v>
      </c>
      <c r="EP21" s="886">
        <f t="shared" si="4"/>
        <v>0.09954824049745664</v>
      </c>
      <c r="EQ21" s="887">
        <f t="shared" si="9"/>
        <v>0.06713197715536505</v>
      </c>
      <c r="FH21" s="863">
        <v>2008</v>
      </c>
      <c r="FI21" s="888">
        <f t="shared" si="15"/>
        <v>616.8262633228841</v>
      </c>
      <c r="FJ21" s="889">
        <f t="shared" si="16"/>
        <v>401.51238985596126</v>
      </c>
      <c r="FK21" s="879"/>
      <c r="FL21" s="935"/>
      <c r="GB21" s="795">
        <v>2008</v>
      </c>
      <c r="GC21" s="796">
        <f t="shared" si="17"/>
        <v>12.014838376677154</v>
      </c>
      <c r="GD21" s="822">
        <f t="shared" si="10"/>
        <v>10.701001718560617</v>
      </c>
      <c r="GE21" s="823"/>
      <c r="GR21" s="918"/>
      <c r="GS21" s="919"/>
      <c r="GT21" s="24"/>
      <c r="GU21" s="795">
        <v>2011</v>
      </c>
      <c r="GV21" s="796">
        <f t="shared" si="0"/>
        <v>12.282914423380722</v>
      </c>
      <c r="GW21" s="822">
        <f t="shared" si="1"/>
        <v>13.437478040823935</v>
      </c>
      <c r="GX21" s="823"/>
      <c r="HK21" s="918"/>
      <c r="HL21" s="919"/>
      <c r="HY21" s="824">
        <v>17</v>
      </c>
      <c r="HZ21" s="795">
        <v>2011</v>
      </c>
      <c r="IA21" s="824">
        <v>6849.8258457273505</v>
      </c>
      <c r="IB21" s="824"/>
      <c r="IC21" s="825"/>
      <c r="IP21" s="918"/>
      <c r="IQ21" s="919"/>
      <c r="IX21" s="824">
        <f t="shared" si="2"/>
        <v>6849.8258457273505</v>
      </c>
    </row>
    <row r="22" ht="22.75" customHeight="1" spans="12:258" x14ac:dyDescent="0.25">
      <c r="L22" s="920"/>
      <c r="M22" s="909"/>
      <c r="N22" s="909"/>
      <c r="O22" s="910" t="s">
        <v>885</v>
      </c>
      <c r="P22" s="929">
        <v>1</v>
      </c>
      <c r="Q22" s="921">
        <v>0.8670539121874536</v>
      </c>
      <c r="R22" s="921">
        <v>0.8791926669580787</v>
      </c>
      <c r="S22" s="921">
        <v>0.8087077456801114</v>
      </c>
      <c r="T22" s="921">
        <v>0.9284733515720344</v>
      </c>
      <c r="U22" s="921">
        <v>1.0932734788874006</v>
      </c>
      <c r="V22" s="921">
        <v>1.175269211184337</v>
      </c>
      <c r="W22" s="921">
        <v>1.2717935921087276</v>
      </c>
      <c r="X22" s="921">
        <v>1.3358989616455457</v>
      </c>
      <c r="Y22" s="921">
        <v>1.5247558765499765</v>
      </c>
      <c r="Z22" s="921">
        <v>1.6881992887717772</v>
      </c>
      <c r="AA22" s="921">
        <v>1.8789895641685364</v>
      </c>
      <c r="AB22" s="921">
        <v>2.057535080616575</v>
      </c>
      <c r="AC22" s="921">
        <v>2.1645269048086377</v>
      </c>
      <c r="AD22" s="921"/>
      <c r="AE22" s="897"/>
      <c r="AF22" s="636"/>
      <c r="AG22" s="636"/>
      <c r="AH22" s="636"/>
      <c r="AI22" s="636"/>
      <c r="AJ22" s="636"/>
      <c r="AK22" s="682"/>
      <c r="AL22" s="682"/>
      <c r="AM22" s="682"/>
      <c r="AN22" s="682"/>
      <c r="AO22" s="897"/>
      <c r="AP22" s="682"/>
      <c r="AQ22" s="912" t="str">
        <f t="shared" si="19"/>
        <v>Pcn1</v>
      </c>
      <c r="BD22" s="928">
        <v>2005</v>
      </c>
      <c r="BE22" s="903">
        <v>1.064</v>
      </c>
      <c r="BF22" s="607">
        <f t="shared" si="22"/>
        <v>1.0544151027941575</v>
      </c>
      <c r="BT22" s="902">
        <v>2005</v>
      </c>
      <c r="BU22" s="903">
        <v>1.4590991820829273</v>
      </c>
      <c r="BV22" s="607">
        <v>1.3596837202700593</v>
      </c>
      <c r="CJ22" s="553">
        <v>2008</v>
      </c>
      <c r="CK22" s="903">
        <v>0.014635325905782108</v>
      </c>
      <c r="CL22" s="938"/>
      <c r="DA22" s="905">
        <f t="shared" si="5"/>
        <v>0.014635325905782108</v>
      </c>
      <c r="DE22" s="923">
        <v>2006</v>
      </c>
      <c r="DF22" s="924">
        <v>5801.106624283938</v>
      </c>
      <c r="DG22" s="925">
        <v>2255.270678274193</v>
      </c>
      <c r="DX22" s="876">
        <v>2009</v>
      </c>
      <c r="DY22" s="877">
        <v>82302.969</v>
      </c>
      <c r="DZ22" s="878">
        <f t="shared" si="11"/>
        <v>12.870829474853371</v>
      </c>
      <c r="EA22" s="879">
        <f t="shared" si="12"/>
        <v>1.2051517068984128</v>
      </c>
      <c r="EB22" s="879">
        <v>1.032</v>
      </c>
      <c r="EC22" s="880">
        <f t="shared" si="6"/>
        <v>6394.534956802978</v>
      </c>
      <c r="ED22" s="479"/>
      <c r="EE22" s="881">
        <v>6356.223</v>
      </c>
      <c r="EF22" s="879">
        <v>0.9660421545667446</v>
      </c>
      <c r="EG22" s="857">
        <f t="shared" si="13"/>
        <v>595.880172413793</v>
      </c>
      <c r="EH22" s="882">
        <f t="shared" si="14"/>
        <v>10.66694831320229</v>
      </c>
      <c r="EI22" s="857">
        <f t="shared" si="7"/>
        <v>397.6000187144756</v>
      </c>
      <c r="EJ22" s="479"/>
      <c r="EK22" s="883">
        <f t="shared" si="3"/>
        <v>0.09318584954795685</v>
      </c>
      <c r="EL22" s="884">
        <f t="shared" si="8"/>
        <v>0.06416779673349142</v>
      </c>
      <c r="EM22" s="793"/>
      <c r="EO22" s="885">
        <v>2009</v>
      </c>
      <c r="EP22" s="886">
        <f t="shared" si="4"/>
        <v>0.09318584954795685</v>
      </c>
      <c r="EQ22" s="887">
        <f t="shared" si="9"/>
        <v>0.06416779673349142</v>
      </c>
      <c r="FH22" s="863">
        <v>2009</v>
      </c>
      <c r="FI22" s="888">
        <f t="shared" si="15"/>
        <v>595.880172413793</v>
      </c>
      <c r="FJ22" s="889">
        <f t="shared" si="16"/>
        <v>397.6000187144756</v>
      </c>
      <c r="FK22" s="879"/>
      <c r="FL22" s="935"/>
      <c r="GB22" s="795">
        <v>2009</v>
      </c>
      <c r="GC22" s="796">
        <f t="shared" si="17"/>
        <v>12.870829474853371</v>
      </c>
      <c r="GD22" s="822">
        <f t="shared" si="10"/>
        <v>11.642689869793951</v>
      </c>
      <c r="GE22" s="823"/>
      <c r="GR22" s="918"/>
      <c r="GS22" s="919"/>
      <c r="GT22" s="24"/>
      <c r="GU22" s="795">
        <v>2012</v>
      </c>
      <c r="GV22" s="796">
        <f t="shared" si="0"/>
        <v>13.249096044334456</v>
      </c>
      <c r="GW22" s="822">
        <f t="shared" si="1"/>
        <v>14.321664095910151</v>
      </c>
      <c r="GX22" s="823"/>
      <c r="HK22" s="918"/>
      <c r="HL22" s="919"/>
      <c r="HY22" s="824">
        <v>18</v>
      </c>
      <c r="HZ22" s="795">
        <v>2012</v>
      </c>
      <c r="IA22" s="824">
        <v>7144.3683570936255</v>
      </c>
      <c r="IB22" s="824"/>
      <c r="IC22" s="825"/>
      <c r="IP22" s="918"/>
      <c r="IQ22" s="919"/>
      <c r="IX22" s="824">
        <f t="shared" si="2"/>
        <v>7144.3683570936255</v>
      </c>
    </row>
    <row r="23" ht="22.75" customHeight="1" spans="7:258" x14ac:dyDescent="0.25">
      <c r="G23" t="s">
        <v>886</v>
      </c>
      <c r="L23" s="920"/>
      <c r="M23" s="909"/>
      <c r="N23" s="909"/>
      <c r="O23" s="910" t="s">
        <v>887</v>
      </c>
      <c r="P23" s="636">
        <v>1</v>
      </c>
      <c r="Q23" s="926">
        <v>1.9023419556256602</v>
      </c>
      <c r="R23" s="926">
        <v>2.2414270170452033</v>
      </c>
      <c r="S23" s="926">
        <v>2.7975256544816887</v>
      </c>
      <c r="T23" s="926">
        <v>4.899382362692785</v>
      </c>
      <c r="U23" s="926">
        <v>7.000661890794433</v>
      </c>
      <c r="V23" s="926">
        <v>8.575364788965437</v>
      </c>
      <c r="W23" s="926">
        <v>9.020690353040685</v>
      </c>
      <c r="X23" s="926">
        <v>10.919513127003887</v>
      </c>
      <c r="Y23" s="926">
        <v>13.059566182233628</v>
      </c>
      <c r="Z23" s="926">
        <v>16.819748035095355</v>
      </c>
      <c r="AA23" s="926">
        <v>19.244557315998964</v>
      </c>
      <c r="AB23" s="926">
        <v>21.258216726394878</v>
      </c>
      <c r="AC23" s="926">
        <v>25.690599705116913</v>
      </c>
      <c r="AD23" s="636"/>
      <c r="AE23" s="897"/>
      <c r="AF23" s="636"/>
      <c r="AG23" s="636"/>
      <c r="AH23" s="636"/>
      <c r="AI23" s="636"/>
      <c r="AJ23" s="636"/>
      <c r="AK23" s="682"/>
      <c r="AL23" s="682"/>
      <c r="AM23" s="682"/>
      <c r="AN23" s="682"/>
      <c r="AO23" s="897"/>
      <c r="AP23" s="682"/>
      <c r="AQ23" s="912" t="str">
        <f t="shared" si="19"/>
        <v>Dcn1</v>
      </c>
      <c r="BD23" s="928">
        <v>2006</v>
      </c>
      <c r="BE23" s="903">
        <v>1.082</v>
      </c>
      <c r="BF23" s="607">
        <f t="shared" si="22"/>
        <v>1.0593502828774255</v>
      </c>
      <c r="BT23" s="902">
        <v>2006</v>
      </c>
      <c r="BU23" s="903">
        <v>1.5787453150137274</v>
      </c>
      <c r="BV23" s="607">
        <v>1.4403813336919178</v>
      </c>
      <c r="CJ23" s="553">
        <v>2009</v>
      </c>
      <c r="CK23" s="903">
        <v>-0.025634571644029994</v>
      </c>
      <c r="CL23" s="931"/>
      <c r="DA23" s="905">
        <f t="shared" si="5"/>
        <v>-0.025634571644029994</v>
      </c>
      <c r="DE23" s="923">
        <v>2007</v>
      </c>
      <c r="DF23" s="924">
        <v>5980.940929636739</v>
      </c>
      <c r="DG23" s="925">
        <v>2446.9686859274993</v>
      </c>
      <c r="DX23" s="876">
        <v>2010</v>
      </c>
      <c r="DY23" s="877">
        <v>93186</v>
      </c>
      <c r="DZ23" s="878">
        <f t="shared" si="11"/>
        <v>14.148307151553462</v>
      </c>
      <c r="EA23" s="879">
        <f t="shared" si="12"/>
        <v>1.241306258105365</v>
      </c>
      <c r="EB23" s="879">
        <v>1.03</v>
      </c>
      <c r="EC23" s="880">
        <f t="shared" si="6"/>
        <v>6586.371005507067</v>
      </c>
      <c r="ED23" s="479"/>
      <c r="EE23" s="881">
        <v>6275.931</v>
      </c>
      <c r="EF23" s="879">
        <v>0.934</v>
      </c>
      <c r="EG23" s="857">
        <f t="shared" si="13"/>
        <v>556.5520810344827</v>
      </c>
      <c r="EH23" s="882">
        <f t="shared" si="14"/>
        <v>11.27644871677545</v>
      </c>
      <c r="EI23" s="857">
        <f t="shared" si="7"/>
        <v>364.71603233039366</v>
      </c>
      <c r="EJ23" s="479"/>
      <c r="EK23" s="883">
        <f t="shared" si="3"/>
        <v>0.08450056648329292</v>
      </c>
      <c r="EL23" s="884">
        <f t="shared" si="8"/>
        <v>0.057035583477791744</v>
      </c>
      <c r="EM23" s="793"/>
      <c r="EO23" s="885">
        <v>2010</v>
      </c>
      <c r="EP23" s="886">
        <f t="shared" si="4"/>
        <v>0.08450056648329292</v>
      </c>
      <c r="EQ23" s="887">
        <f t="shared" si="9"/>
        <v>0.057035583477791744</v>
      </c>
      <c r="FH23" s="863">
        <v>2010</v>
      </c>
      <c r="FI23" s="888">
        <f t="shared" si="15"/>
        <v>556.5520810344827</v>
      </c>
      <c r="FJ23" s="889">
        <f t="shared" si="16"/>
        <v>364.71603233039366</v>
      </c>
      <c r="FK23" s="879"/>
      <c r="FL23" s="935"/>
      <c r="GB23" s="795">
        <v>2010</v>
      </c>
      <c r="GC23" s="796">
        <f t="shared" si="17"/>
        <v>14.148307151553462</v>
      </c>
      <c r="GD23" s="822">
        <f t="shared" si="10"/>
        <v>12.664918040361862</v>
      </c>
      <c r="GE23" s="823"/>
      <c r="GR23" s="918"/>
      <c r="GS23" s="919"/>
      <c r="GT23" s="24"/>
      <c r="GU23" s="795">
        <v>2013</v>
      </c>
      <c r="GV23" s="796">
        <f t="shared" si="0"/>
        <v>14.15863931501705</v>
      </c>
      <c r="GW23" s="822">
        <f t="shared" si="1"/>
        <v>15.245411430096356</v>
      </c>
      <c r="GX23" s="822">
        <f>0.1975*GW23+11.04</f>
        <v>14.050968757444029</v>
      </c>
      <c r="HK23" s="918"/>
      <c r="HL23" s="919"/>
      <c r="HY23" s="824">
        <v>19</v>
      </c>
      <c r="HZ23" s="795">
        <v>2013</v>
      </c>
      <c r="IA23" s="824">
        <v>7437.2874597344635</v>
      </c>
      <c r="IB23" s="824"/>
      <c r="IC23" s="825"/>
      <c r="IP23" s="918"/>
      <c r="IQ23" s="919"/>
      <c r="IX23" s="824">
        <f t="shared" si="2"/>
        <v>7437.2874597344635</v>
      </c>
    </row>
    <row r="24" ht="22.75" customHeight="1" spans="7:258" x14ac:dyDescent="0.25">
      <c r="G24" s="939" t="s">
        <v>888</v>
      </c>
      <c r="H24" s="939"/>
      <c r="I24" s="939"/>
      <c r="J24" s="15"/>
      <c r="K24" s="15"/>
      <c r="L24" s="920"/>
      <c r="M24" s="909"/>
      <c r="N24" s="909"/>
      <c r="O24" s="910" t="s">
        <v>889</v>
      </c>
      <c r="P24" s="929">
        <v>108.89560000000006</v>
      </c>
      <c r="Q24" s="929">
        <v>94.41835600000013</v>
      </c>
      <c r="R24" s="929">
        <v>95.74021298400021</v>
      </c>
      <c r="S24" s="929">
        <v>88.06471519048318</v>
      </c>
      <c r="T24" s="929">
        <v>101.10666270344768</v>
      </c>
      <c r="U24" s="929">
        <v>119.05267144753088</v>
      </c>
      <c r="V24" s="929">
        <v>127.98164591344516</v>
      </c>
      <c r="W24" s="929">
        <v>138.49272628883523</v>
      </c>
      <c r="X24" s="929">
        <v>145.47351896776877</v>
      </c>
      <c r="Y24" s="929">
        <v>166.0392060304357</v>
      </c>
      <c r="Z24" s="929">
        <v>183.83747447037604</v>
      </c>
      <c r="AA24" s="929">
        <v>204.61369598387137</v>
      </c>
      <c r="AB24" s="929">
        <v>224.0565171247904</v>
      </c>
      <c r="AC24" s="929">
        <v>235.7074560152796</v>
      </c>
      <c r="AD24" s="929">
        <v>196.0400345758485</v>
      </c>
      <c r="AE24" s="897"/>
      <c r="AF24" s="636"/>
      <c r="AG24" s="636"/>
      <c r="AH24" s="636"/>
      <c r="AI24" s="636"/>
      <c r="AJ24" s="636"/>
      <c r="AK24" s="682"/>
      <c r="AL24" s="682"/>
      <c r="AM24" s="682"/>
      <c r="AN24" s="682"/>
      <c r="AO24" s="897"/>
      <c r="AP24" s="682"/>
      <c r="AQ24" s="912" t="str">
        <f t="shared" si="19"/>
        <v>CNS1</v>
      </c>
      <c r="BD24" s="928">
        <v>2007</v>
      </c>
      <c r="BE24" s="903">
        <v>1.085</v>
      </c>
      <c r="BF24" s="607">
        <f t="shared" si="22"/>
        <v>1.0534473688515078</v>
      </c>
      <c r="BT24" s="902">
        <v>2007</v>
      </c>
      <c r="BU24" s="903">
        <v>1.7129386667898943</v>
      </c>
      <c r="BV24" s="607">
        <v>1.5173659261205765</v>
      </c>
      <c r="CJ24" s="553">
        <v>2010</v>
      </c>
      <c r="CK24" s="940">
        <v>-0.007157309506491951</v>
      </c>
      <c r="CL24" s="931"/>
      <c r="DA24" s="905">
        <f t="shared" si="5"/>
        <v>-0.007157309506491951</v>
      </c>
      <c r="DE24" s="923">
        <v>2008</v>
      </c>
      <c r="DF24" s="924">
        <v>6196.254803103662</v>
      </c>
      <c r="DG24" s="925">
        <v>2574.2110575957295</v>
      </c>
      <c r="DX24" s="876">
        <v>2011</v>
      </c>
      <c r="DY24" s="877">
        <v>108001</v>
      </c>
      <c r="DZ24" s="878">
        <f t="shared" si="11"/>
        <v>15.766970202222986</v>
      </c>
      <c r="EA24" s="879">
        <f t="shared" si="12"/>
        <v>1.2909585084295798</v>
      </c>
      <c r="EB24" s="879">
        <v>1.04</v>
      </c>
      <c r="EC24" s="880">
        <f t="shared" si="6"/>
        <v>6849.8258457273505</v>
      </c>
      <c r="ED24" s="479"/>
      <c r="EE24" s="881">
        <v>8813.314</v>
      </c>
      <c r="EF24" s="879">
        <v>1.289234760051881</v>
      </c>
      <c r="EG24" s="857">
        <f t="shared" si="13"/>
        <v>717.5262886488664</v>
      </c>
      <c r="EH24" s="882">
        <f t="shared" si="14"/>
        <v>12.282914423380722</v>
      </c>
      <c r="EI24" s="857">
        <f t="shared" si="7"/>
        <v>454.0714484285828</v>
      </c>
      <c r="EJ24" s="479"/>
      <c r="EK24" s="883">
        <f t="shared" si="3"/>
        <v>0.10475102649455399</v>
      </c>
      <c r="EL24" s="884">
        <f t="shared" si="8"/>
        <v>0.06894106755433603</v>
      </c>
      <c r="EM24" s="793"/>
      <c r="EO24" s="885">
        <v>2011</v>
      </c>
      <c r="EP24" s="886">
        <f t="shared" si="4"/>
        <v>0.10475102649455399</v>
      </c>
      <c r="EQ24" s="887">
        <f t="shared" si="9"/>
        <v>0.06894106755433603</v>
      </c>
      <c r="FH24" s="863">
        <v>2011</v>
      </c>
      <c r="FI24" s="888">
        <f t="shared" si="15"/>
        <v>717.5262886488664</v>
      </c>
      <c r="FJ24" s="889">
        <f t="shared" si="16"/>
        <v>454.0714484285828</v>
      </c>
      <c r="FK24" s="879"/>
      <c r="FL24" s="935"/>
      <c r="GB24" s="795">
        <v>2011</v>
      </c>
      <c r="GC24" s="796">
        <f t="shared" si="17"/>
        <v>15.766970202222986</v>
      </c>
      <c r="GD24" s="822">
        <f t="shared" si="10"/>
        <v>13.437478040823935</v>
      </c>
      <c r="GE24" s="823"/>
      <c r="GR24" s="918"/>
      <c r="GS24" s="919"/>
      <c r="GT24" s="24"/>
      <c r="GU24" s="795">
        <v>2014</v>
      </c>
      <c r="GV24" s="796">
        <f t="shared" si="0"/>
        <v>14.240158664898729</v>
      </c>
      <c r="GW24" s="822">
        <f t="shared" si="1"/>
        <v>17.31878738458946</v>
      </c>
      <c r="GX24" s="822">
        <f t="shared" ref="GX24:GX45" si="26">0.1975*GW24+11.04</f>
        <v>14.460460508456418</v>
      </c>
      <c r="HK24" s="918"/>
      <c r="HL24" s="919"/>
      <c r="HY24" s="824">
        <v>20</v>
      </c>
      <c r="HZ24" s="795">
        <v>2014</v>
      </c>
      <c r="IA24" s="824">
        <v>7712.467095744638</v>
      </c>
      <c r="IB24" s="824"/>
      <c r="IC24" s="824">
        <f t="shared" ref="IC24:IC45" si="27">9.2931*HY24*HY24-73.126*HY24+5393.1</f>
        <v>7647.8200000000015</v>
      </c>
      <c r="IP24" s="918"/>
      <c r="IQ24" s="919"/>
      <c r="IX24" s="824">
        <f t="shared" si="2"/>
        <v>7712.467095744638</v>
      </c>
    </row>
    <row r="25" ht="22.75" customHeight="1" spans="7:258" x14ac:dyDescent="0.25">
      <c r="G25" s="939" t="s">
        <v>111</v>
      </c>
      <c r="H25" s="939"/>
      <c r="I25" s="15"/>
      <c r="J25" s="15"/>
      <c r="K25" s="15"/>
      <c r="L25" s="920"/>
      <c r="M25" s="909" t="s">
        <v>890</v>
      </c>
      <c r="N25" s="909"/>
      <c r="O25" s="932" t="s">
        <v>293</v>
      </c>
      <c r="P25" s="930">
        <v>2876.5161</v>
      </c>
      <c r="Q25" s="929">
        <f>ОТЧЁТ!V55</f>
        <v>3978.7420000000006</v>
      </c>
      <c r="R25" s="929">
        <f>ОТЧЁТ!W55</f>
        <v>4542.1257</v>
      </c>
      <c r="S25" s="929">
        <f>ОТЧЁТ!X55</f>
        <v>4820.3403</v>
      </c>
      <c r="T25" s="929">
        <f>ОТЧЁТ!Y55</f>
        <v>8798.5622</v>
      </c>
      <c r="U25" s="929">
        <f>ОТЧЁТ!Z55</f>
        <v>13385.6595</v>
      </c>
      <c r="V25" s="929">
        <f>ОТЧЁТ!AA55</f>
        <v>17020.2773</v>
      </c>
      <c r="W25" s="929">
        <f>ОТЧЁТ!AB55</f>
        <v>20222.973599999998</v>
      </c>
      <c r="X25" s="929">
        <f>ОТЧЁТ!AC55</f>
        <v>24861.5895</v>
      </c>
      <c r="Y25" s="929">
        <f>ОТЧЁТ!AD55</f>
        <v>31659.022599999997</v>
      </c>
      <c r="Z25" s="929">
        <f>ОТЧЁТ!AE55</f>
        <v>40112.702</v>
      </c>
      <c r="AA25" s="934">
        <f>ОТЧЁТ!AF55</f>
        <v>50163.7265</v>
      </c>
      <c r="AB25" s="934">
        <f>ОТЧЁТ!AG55</f>
        <v>62515.1745</v>
      </c>
      <c r="AC25" s="934">
        <f>ОТЧЁТ!AH55</f>
        <v>77695.8088</v>
      </c>
      <c r="AD25" s="934">
        <f>ОТЧЁТ!AI55</f>
        <v>73092.3949</v>
      </c>
      <c r="AE25" s="933">
        <f>ОТЧЁТ!AJ55</f>
        <v>88323.068</v>
      </c>
      <c r="AF25" s="934">
        <f t="shared" ref="AF25:AM25" si="28">AF10+AF20</f>
        <v>109158.8003</v>
      </c>
      <c r="AG25" s="934">
        <f t="shared" si="28"/>
        <v>122259.8224</v>
      </c>
      <c r="AH25" s="934">
        <f t="shared" si="28"/>
        <v>132429.93029999998</v>
      </c>
      <c r="AI25" s="934">
        <f t="shared" si="28"/>
        <v>143137.046</v>
      </c>
      <c r="AJ25" s="934">
        <f t="shared" si="28"/>
        <v>154422.9596</v>
      </c>
      <c r="AK25" s="934">
        <f t="shared" si="28"/>
        <v>162395.42</v>
      </c>
      <c r="AL25" s="934">
        <f t="shared" si="28"/>
        <v>175275.06</v>
      </c>
      <c r="AM25" s="934">
        <f t="shared" si="28"/>
        <v>196610.47</v>
      </c>
      <c r="AN25" s="682"/>
      <c r="AO25" s="897"/>
      <c r="AP25" s="682"/>
      <c r="AQ25" s="912" t="str">
        <f t="shared" si="19"/>
        <v>X</v>
      </c>
      <c r="BD25" s="928">
        <v>2008</v>
      </c>
      <c r="BE25" s="903">
        <v>1.052</v>
      </c>
      <c r="BF25" s="607">
        <f t="shared" si="22"/>
        <v>1.0270529063726523</v>
      </c>
      <c r="BT25" s="902">
        <v>2008</v>
      </c>
      <c r="BU25" s="903">
        <v>1.8020114774629687</v>
      </c>
      <c r="BV25" s="607">
        <v>1.5584150844529694</v>
      </c>
      <c r="CJ25" s="553">
        <v>2011</v>
      </c>
      <c r="CK25" s="940">
        <v>0.0046424142281784484</v>
      </c>
      <c r="CL25" s="931"/>
      <c r="DA25" s="905">
        <f t="shared" si="5"/>
        <v>0.0046424142281784484</v>
      </c>
      <c r="DE25" s="923">
        <v>2009</v>
      </c>
      <c r="DF25" s="924">
        <v>6394.53495680298</v>
      </c>
      <c r="DG25" s="925">
        <v>2370.848384045667</v>
      </c>
      <c r="DX25" s="876">
        <v>2012</v>
      </c>
      <c r="DY25" s="877">
        <v>121269</v>
      </c>
      <c r="DZ25" s="878">
        <f t="shared" si="11"/>
        <v>16.974068796381744</v>
      </c>
      <c r="EA25" s="879">
        <f t="shared" si="12"/>
        <v>1.3464697242920516</v>
      </c>
      <c r="EB25" s="879">
        <v>1.043</v>
      </c>
      <c r="EC25" s="880">
        <f t="shared" si="6"/>
        <v>7144.3683570936255</v>
      </c>
      <c r="ED25" s="941"/>
      <c r="EE25" s="881">
        <v>10338.4</v>
      </c>
      <c r="EF25" s="879">
        <v>1.0875</v>
      </c>
      <c r="EG25" s="857">
        <f t="shared" si="13"/>
        <v>780.3098389056421</v>
      </c>
      <c r="EH25" s="882">
        <f t="shared" si="14"/>
        <v>13.249096044334456</v>
      </c>
      <c r="EI25" s="857">
        <f t="shared" si="7"/>
        <v>485.7673275393671</v>
      </c>
      <c r="EJ25" s="479"/>
      <c r="EK25" s="883">
        <f t="shared" si="3"/>
        <v>0.10922026971507907</v>
      </c>
      <c r="EL25" s="884">
        <f t="shared" si="8"/>
        <v>0.0709167413128276</v>
      </c>
      <c r="EM25" s="793"/>
      <c r="EO25" s="885">
        <v>2012</v>
      </c>
      <c r="EP25" s="886">
        <f t="shared" si="4"/>
        <v>0.10922026971507907</v>
      </c>
      <c r="EQ25" s="887">
        <f t="shared" si="9"/>
        <v>0.0709167413128276</v>
      </c>
      <c r="FH25" s="863">
        <v>2012</v>
      </c>
      <c r="FI25" s="888">
        <f t="shared" si="15"/>
        <v>780.3098389056421</v>
      </c>
      <c r="FJ25" s="889">
        <f t="shared" si="16"/>
        <v>485.7673275393671</v>
      </c>
      <c r="FK25" s="879"/>
      <c r="FL25" s="935"/>
      <c r="GB25" s="795">
        <v>2012</v>
      </c>
      <c r="GC25" s="796">
        <f t="shared" si="17"/>
        <v>16.974068796381744</v>
      </c>
      <c r="GD25" s="822">
        <f t="shared" si="10"/>
        <v>14.321664095910151</v>
      </c>
      <c r="GE25" s="823"/>
      <c r="GR25" s="918"/>
      <c r="GS25" s="919"/>
      <c r="GT25" s="24"/>
      <c r="GU25" s="795">
        <v>2015</v>
      </c>
      <c r="GV25" s="796">
        <f t="shared" si="0"/>
        <v>14.837823597492827</v>
      </c>
      <c r="GW25" s="822">
        <f t="shared" si="1"/>
        <v>19.5529109572015</v>
      </c>
      <c r="GX25" s="822">
        <f t="shared" si="26"/>
        <v>14.901699914047295</v>
      </c>
      <c r="HK25" s="918"/>
      <c r="HL25" s="919"/>
      <c r="HY25" s="824">
        <v>21</v>
      </c>
      <c r="HZ25" s="795">
        <v>2015</v>
      </c>
      <c r="IA25" s="824">
        <v>7959.266042808467</v>
      </c>
      <c r="IB25" s="824"/>
      <c r="IC25" s="824">
        <f t="shared" si="27"/>
        <v>7955.7111</v>
      </c>
      <c r="IP25" s="918"/>
      <c r="IQ25" s="919"/>
      <c r="IX25" s="824">
        <f t="shared" si="2"/>
        <v>7959.266042808467</v>
      </c>
    </row>
    <row r="26" ht="22.75" customHeight="1" spans="12:258" x14ac:dyDescent="0.25">
      <c r="L26" s="920"/>
      <c r="M26" s="909"/>
      <c r="N26" s="909"/>
      <c r="O26" s="910" t="s">
        <v>891</v>
      </c>
      <c r="P26" s="636">
        <f>P11</f>
        <v>0.959</v>
      </c>
      <c r="Q26" s="921">
        <f>Q11</f>
        <v>0.972</v>
      </c>
      <c r="R26" s="921">
        <f t="shared" ref="R26:AM26" si="29">R11</f>
        <v>1.014</v>
      </c>
      <c r="S26" s="921">
        <f t="shared" si="29"/>
        <v>0.949</v>
      </c>
      <c r="T26" s="921">
        <f t="shared" si="29"/>
        <v>1.058</v>
      </c>
      <c r="U26" s="921">
        <f t="shared" si="29"/>
        <v>1.094</v>
      </c>
      <c r="V26" s="921">
        <f t="shared" si="29"/>
        <v>1.049</v>
      </c>
      <c r="W26" s="921">
        <f t="shared" si="29"/>
        <v>1.044</v>
      </c>
      <c r="X26" s="921">
        <f t="shared" si="29"/>
        <v>1.076</v>
      </c>
      <c r="Y26" s="921">
        <f t="shared" si="29"/>
        <v>1.08</v>
      </c>
      <c r="Z26" s="921">
        <f t="shared" si="29"/>
        <v>1.057</v>
      </c>
      <c r="AA26" s="921">
        <f t="shared" si="29"/>
        <v>1.089</v>
      </c>
      <c r="AB26" s="921">
        <f t="shared" si="29"/>
        <v>1.088</v>
      </c>
      <c r="AC26" s="921">
        <f t="shared" si="29"/>
        <v>1.05</v>
      </c>
      <c r="AD26" s="921">
        <f t="shared" si="29"/>
        <v>0.926</v>
      </c>
      <c r="AE26" s="911">
        <f t="shared" si="29"/>
        <v>1.05</v>
      </c>
      <c r="AF26" s="636">
        <f t="shared" si="29"/>
        <v>1.043</v>
      </c>
      <c r="AG26" s="636">
        <f t="shared" si="29"/>
        <v>1.0390000000000001</v>
      </c>
      <c r="AH26" s="636">
        <f t="shared" si="29"/>
        <v>1.021</v>
      </c>
      <c r="AI26" s="636">
        <f t="shared" si="29"/>
        <v>1.008</v>
      </c>
      <c r="AJ26" s="636">
        <f t="shared" si="29"/>
        <v>0.987</v>
      </c>
      <c r="AK26" s="636">
        <f t="shared" si="29"/>
        <v>1.012</v>
      </c>
      <c r="AL26" s="636">
        <f t="shared" si="29"/>
        <v>1.025</v>
      </c>
      <c r="AM26" s="636">
        <f t="shared" si="29"/>
        <v>1.025</v>
      </c>
      <c r="AN26" s="682"/>
      <c r="AO26" s="897"/>
      <c r="AP26" s="682"/>
      <c r="AQ26" s="912" t="str">
        <f t="shared" si="19"/>
        <v>pX</v>
      </c>
      <c r="BD26" s="928">
        <v>2009</v>
      </c>
      <c r="BE26" s="903">
        <v>0.921</v>
      </c>
      <c r="BF26" s="607">
        <f t="shared" si="22"/>
        <v>1.0035769164587474</v>
      </c>
      <c r="BT26" s="902">
        <v>2009</v>
      </c>
      <c r="BU26" s="903">
        <v>1.6596525707433942</v>
      </c>
      <c r="BV26" s="607">
        <v>1.5639894050181093</v>
      </c>
      <c r="CJ26" s="553">
        <v>2012</v>
      </c>
      <c r="CK26" s="903">
        <v>0.0039793621240403485</v>
      </c>
      <c r="CL26" s="931"/>
      <c r="DA26" s="905">
        <f t="shared" si="5"/>
        <v>0.0039793621240403485</v>
      </c>
      <c r="DE26" s="923">
        <v>2010</v>
      </c>
      <c r="DF26" s="924">
        <v>6586.37100550707</v>
      </c>
      <c r="DG26" s="925">
        <v>2477.5365613277218</v>
      </c>
      <c r="DX26" s="876">
        <v>2013</v>
      </c>
      <c r="DY26" s="877">
        <v>133522.8</v>
      </c>
      <c r="DZ26" s="878">
        <f t="shared" si="11"/>
        <v>17.95315842273054</v>
      </c>
      <c r="EA26" s="879">
        <f t="shared" si="12"/>
        <v>1.4016749829880255</v>
      </c>
      <c r="EB26" s="879">
        <v>1.041</v>
      </c>
      <c r="EC26" s="880">
        <f t="shared" si="6"/>
        <v>7437.2874597344635</v>
      </c>
      <c r="ED26" s="941"/>
      <c r="EE26" s="881">
        <v>11160.485</v>
      </c>
      <c r="EF26" s="879">
        <v>1.01017</v>
      </c>
      <c r="EG26" s="857">
        <f t="shared" si="13"/>
        <v>788.2455899673125</v>
      </c>
      <c r="EH26" s="882">
        <f t="shared" si="14"/>
        <v>14.15863931501705</v>
      </c>
      <c r="EI26" s="857">
        <f t="shared" si="7"/>
        <v>495.32648732647453</v>
      </c>
      <c r="EJ26" s="890"/>
      <c r="EK26" s="883">
        <f t="shared" si="3"/>
        <v>0.10598562906636065</v>
      </c>
      <c r="EL26" s="884">
        <f t="shared" si="8"/>
        <v>0.06933103985808152</v>
      </c>
      <c r="EM26" s="793"/>
      <c r="EO26" s="885">
        <v>2013</v>
      </c>
      <c r="EP26" s="886">
        <f t="shared" si="4"/>
        <v>0.10598562906636065</v>
      </c>
      <c r="EQ26" s="887">
        <f t="shared" si="9"/>
        <v>0.06933103985808152</v>
      </c>
      <c r="FH26" s="863">
        <v>2013</v>
      </c>
      <c r="FI26" s="888">
        <f t="shared" si="15"/>
        <v>788.2455899673125</v>
      </c>
      <c r="FJ26" s="889">
        <f t="shared" si="16"/>
        <v>495.32648732647453</v>
      </c>
      <c r="FK26" s="879"/>
      <c r="FL26" s="935"/>
      <c r="GB26" s="795">
        <v>2013</v>
      </c>
      <c r="GC26" s="796">
        <f t="shared" si="17"/>
        <v>17.95315842273054</v>
      </c>
      <c r="GD26" s="822">
        <f t="shared" si="10"/>
        <v>15.245411430096356</v>
      </c>
      <c r="GE26" s="823"/>
      <c r="GR26" s="918"/>
      <c r="GS26" s="919"/>
      <c r="GT26" s="24"/>
      <c r="GU26" s="795">
        <v>2016</v>
      </c>
      <c r="GV26" s="796">
        <f t="shared" si="0"/>
        <v>15.707409284457475</v>
      </c>
      <c r="GW26" s="822">
        <f t="shared" si="1"/>
        <v>20.60681285779466</v>
      </c>
      <c r="GX26" s="822">
        <f t="shared" si="26"/>
        <v>15.109845539414444</v>
      </c>
      <c r="HK26" s="918"/>
      <c r="HL26" s="919"/>
      <c r="HY26" s="824">
        <v>22</v>
      </c>
      <c r="HZ26" s="795">
        <v>2016</v>
      </c>
      <c r="IA26" s="824">
        <v>8269.677418477997</v>
      </c>
      <c r="IB26" s="824"/>
      <c r="IC26" s="824">
        <f t="shared" si="27"/>
        <v>8282.188400000001</v>
      </c>
      <c r="IP26" s="918"/>
      <c r="IQ26" s="919"/>
      <c r="IX26" s="824">
        <f t="shared" si="2"/>
        <v>8269.677418477997</v>
      </c>
    </row>
    <row r="27" ht="21" customHeight="1" spans="7:258" x14ac:dyDescent="0.25">
      <c r="G27" s="939" t="s">
        <v>892</v>
      </c>
      <c r="H27" s="15"/>
      <c r="I27" s="15"/>
      <c r="J27" s="15"/>
      <c r="K27" s="15"/>
      <c r="L27" s="920"/>
      <c r="M27" s="909"/>
      <c r="N27" s="909"/>
      <c r="O27" s="910" t="s">
        <v>893</v>
      </c>
      <c r="P27" s="636">
        <v>1</v>
      </c>
      <c r="Q27" s="921">
        <f>P27*Q26</f>
        <v>0.972</v>
      </c>
      <c r="R27" s="921">
        <f t="shared" ref="R27:AK27" si="30">Q27*R26</f>
        <v>0.985608</v>
      </c>
      <c r="S27" s="921">
        <f t="shared" si="30"/>
        <v>0.935341992</v>
      </c>
      <c r="T27" s="921">
        <f t="shared" si="30"/>
        <v>0.9895918275360001</v>
      </c>
      <c r="U27" s="921">
        <f t="shared" si="30"/>
        <v>1.0826134593243841</v>
      </c>
      <c r="V27" s="921">
        <f t="shared" si="30"/>
        <v>1.1356615188312789</v>
      </c>
      <c r="W27" s="921">
        <f t="shared" si="30"/>
        <v>1.1856306256598552</v>
      </c>
      <c r="X27" s="921">
        <f t="shared" si="30"/>
        <v>1.2757385532100043</v>
      </c>
      <c r="Y27" s="921">
        <f t="shared" si="30"/>
        <v>1.3777976374668046</v>
      </c>
      <c r="Z27" s="921">
        <f t="shared" si="30"/>
        <v>1.4563321028024123</v>
      </c>
      <c r="AA27" s="921">
        <f t="shared" si="30"/>
        <v>1.585945659951827</v>
      </c>
      <c r="AB27" s="921">
        <f t="shared" si="30"/>
        <v>1.7255088780275878</v>
      </c>
      <c r="AC27" s="921">
        <f t="shared" si="30"/>
        <v>1.8117843219289673</v>
      </c>
      <c r="AD27" s="921">
        <f t="shared" si="30"/>
        <v>1.6777122821062238</v>
      </c>
      <c r="AE27" s="911">
        <f t="shared" si="30"/>
        <v>1.761597896211535</v>
      </c>
      <c r="AF27" s="921">
        <f t="shared" si="30"/>
        <v>1.837346605748631</v>
      </c>
      <c r="AG27" s="921">
        <f t="shared" si="30"/>
        <v>1.9090031233728277</v>
      </c>
      <c r="AH27" s="921">
        <f t="shared" si="30"/>
        <v>1.949092188963657</v>
      </c>
      <c r="AI27" s="921">
        <f t="shared" si="30"/>
        <v>1.9646849264753663</v>
      </c>
      <c r="AJ27" s="921">
        <f t="shared" si="30"/>
        <v>1.9391440224311864</v>
      </c>
      <c r="AK27" s="921">
        <f t="shared" si="30"/>
        <v>1.9624137507003607</v>
      </c>
      <c r="AL27" s="921">
        <f>AK27*AL26</f>
        <v>2.0114740944678697</v>
      </c>
      <c r="AM27" s="921">
        <f>AL27*AM26</f>
        <v>2.0617609468295663</v>
      </c>
      <c r="AN27" s="682"/>
      <c r="AO27" s="897"/>
      <c r="AP27" s="682"/>
      <c r="AQ27" s="912" t="str">
        <f t="shared" si="19"/>
        <v>Px</v>
      </c>
      <c r="BD27" s="928">
        <v>2010</v>
      </c>
      <c r="BE27" s="903">
        <v>1.045</v>
      </c>
      <c r="BF27" s="607">
        <f t="shared" si="22"/>
        <v>1.0044429903165417</v>
      </c>
      <c r="BT27" s="902">
        <v>2010</v>
      </c>
      <c r="BU27" s="604">
        <v>1.7343369364268468</v>
      </c>
      <c r="BV27" s="823">
        <v>1.5709381947997787</v>
      </c>
      <c r="CJ27" s="553">
        <v>2013</v>
      </c>
      <c r="CK27" s="903">
        <v>-0.0044266417622443694</v>
      </c>
      <c r="CL27" s="931"/>
      <c r="DA27" s="905">
        <f t="shared" si="5"/>
        <v>-0.0044266417622443694</v>
      </c>
      <c r="DE27" s="923">
        <v>2011</v>
      </c>
      <c r="DF27" s="924">
        <v>6849.825845727352</v>
      </c>
      <c r="DG27" s="925">
        <v>2584.0706334648135</v>
      </c>
      <c r="DX27" s="876">
        <v>2014</v>
      </c>
      <c r="DY27" s="877">
        <v>147430</v>
      </c>
      <c r="DZ27" s="878">
        <f t="shared" si="11"/>
        <v>19.115802786548635</v>
      </c>
      <c r="EA27" s="879">
        <f t="shared" si="12"/>
        <v>1.4535369573585823</v>
      </c>
      <c r="EB27" s="879">
        <v>1.037</v>
      </c>
      <c r="EC27" s="880">
        <f t="shared" si="6"/>
        <v>7712.467095744638</v>
      </c>
      <c r="ED27" s="941"/>
      <c r="EE27" s="881">
        <v>10888</v>
      </c>
      <c r="EF27" s="879">
        <v>0.97</v>
      </c>
      <c r="EG27" s="857">
        <f t="shared" si="13"/>
        <v>764.5982222682932</v>
      </c>
      <c r="EH27" s="882">
        <f t="shared" si="14"/>
        <v>14.240158664898729</v>
      </c>
      <c r="EI27" s="857">
        <f t="shared" si="7"/>
        <v>489.4185862581188</v>
      </c>
      <c r="EJ27" s="890"/>
      <c r="EK27" s="883">
        <f t="shared" si="3"/>
        <v>0.09913795582870766</v>
      </c>
      <c r="EL27" s="884">
        <f t="shared" si="8"/>
        <v>0.06580606019436994</v>
      </c>
      <c r="EM27" s="793"/>
      <c r="EO27" s="885">
        <v>2014</v>
      </c>
      <c r="EP27" s="886">
        <f t="shared" si="4"/>
        <v>0.09913795582870766</v>
      </c>
      <c r="EQ27" s="887">
        <f t="shared" si="9"/>
        <v>0.06580606019436994</v>
      </c>
      <c r="FH27" s="863">
        <v>2014</v>
      </c>
      <c r="FI27" s="888">
        <f t="shared" si="15"/>
        <v>764.5982222682932</v>
      </c>
      <c r="FJ27" s="889">
        <f t="shared" si="16"/>
        <v>489.4185862581188</v>
      </c>
      <c r="FK27" s="889">
        <f>FJ27</f>
        <v>489.4185862581188</v>
      </c>
      <c r="FL27" s="935"/>
      <c r="GB27" s="795">
        <v>2014</v>
      </c>
      <c r="GC27" s="796">
        <f t="shared" si="17"/>
        <v>19.115802786548635</v>
      </c>
      <c r="GD27" s="822">
        <f t="shared" si="10"/>
        <v>17.31878738458946</v>
      </c>
      <c r="GE27" s="823"/>
      <c r="GU27" s="795">
        <v>2017</v>
      </c>
      <c r="GV27" s="796">
        <f t="shared" si="0"/>
        <v>14.777985159687598</v>
      </c>
      <c r="GW27" s="822">
        <f t="shared" si="1"/>
        <v>21.124043860525305</v>
      </c>
      <c r="GX27" s="822">
        <f t="shared" si="26"/>
        <v>15.211998662453748</v>
      </c>
      <c r="HY27" s="824">
        <v>23</v>
      </c>
      <c r="HZ27" s="795">
        <v>2017</v>
      </c>
      <c r="IA27" s="824">
        <v>8583.92516038016</v>
      </c>
      <c r="IB27" s="824"/>
      <c r="IC27" s="824">
        <f t="shared" si="27"/>
        <v>8627.251900000001</v>
      </c>
      <c r="IX27" s="824">
        <f t="shared" si="2"/>
        <v>8583.92516038016</v>
      </c>
    </row>
    <row r="28" ht="21" customHeight="1" spans="7:258" x14ac:dyDescent="0.25">
      <c r="G28" s="939" t="s">
        <v>894</v>
      </c>
      <c r="H28" s="15"/>
      <c r="I28" s="15"/>
      <c r="J28" s="15"/>
      <c r="K28" s="15"/>
      <c r="L28" s="920"/>
      <c r="M28" s="909" t="s">
        <v>244</v>
      </c>
      <c r="N28" s="909"/>
      <c r="O28" s="910" t="s">
        <v>895</v>
      </c>
      <c r="P28" s="636">
        <v>1</v>
      </c>
      <c r="Q28" s="926">
        <f>Q25/Q29</f>
        <v>1.4230255714814843</v>
      </c>
      <c r="R28" s="926">
        <f t="shared" ref="R28:AM28" si="31">R25/R29</f>
        <v>1.6020944641617487</v>
      </c>
      <c r="S28" s="926">
        <f t="shared" si="31"/>
        <v>1.7915975405266322</v>
      </c>
      <c r="T28" s="926">
        <f t="shared" si="31"/>
        <v>3.09092736397628</v>
      </c>
      <c r="U28" s="926">
        <f t="shared" si="31"/>
        <v>4.298327894095346</v>
      </c>
      <c r="V28" s="926">
        <f t="shared" si="31"/>
        <v>5.210158221421031</v>
      </c>
      <c r="W28" s="926">
        <f t="shared" si="31"/>
        <v>5.929646411246448</v>
      </c>
      <c r="X28" s="926">
        <f t="shared" si="31"/>
        <v>6.774861199391403</v>
      </c>
      <c r="Y28" s="926">
        <f t="shared" si="31"/>
        <v>7.988132464613646</v>
      </c>
      <c r="Z28" s="926">
        <f t="shared" si="31"/>
        <v>9.575350609009636</v>
      </c>
      <c r="AA28" s="926">
        <f t="shared" si="31"/>
        <v>10.99599868973123</v>
      </c>
      <c r="AB28" s="926">
        <f t="shared" si="31"/>
        <v>12.595094794725636</v>
      </c>
      <c r="AC28" s="926">
        <f t="shared" si="31"/>
        <v>14.908168255843353</v>
      </c>
      <c r="AD28" s="926">
        <f t="shared" si="31"/>
        <v>15.145649385720535</v>
      </c>
      <c r="AE28" s="927">
        <f t="shared" si="31"/>
        <v>17.430127110309737</v>
      </c>
      <c r="AF28" s="921">
        <f t="shared" si="31"/>
        <v>20.65384214415057</v>
      </c>
      <c r="AG28" s="921">
        <f t="shared" si="31"/>
        <v>22.264364965078677</v>
      </c>
      <c r="AH28" s="921">
        <f t="shared" si="31"/>
        <v>23.62038435752821</v>
      </c>
      <c r="AI28" s="921">
        <f t="shared" si="31"/>
        <v>25.3275002260147</v>
      </c>
      <c r="AJ28" s="921">
        <f t="shared" si="31"/>
        <v>27.684392425904843</v>
      </c>
      <c r="AK28" s="921">
        <f t="shared" si="31"/>
        <v>28.76844509227222</v>
      </c>
      <c r="AL28" s="921">
        <f t="shared" si="31"/>
        <v>30.292761918932758</v>
      </c>
      <c r="AM28" s="921">
        <f t="shared" si="31"/>
        <v>33.151373247864946</v>
      </c>
      <c r="AN28" s="682"/>
      <c r="AO28" s="897"/>
      <c r="AP28" s="682"/>
      <c r="AQ28" s="912" t="str">
        <f t="shared" si="19"/>
        <v>Dx</v>
      </c>
      <c r="BD28" s="928">
        <v>2011</v>
      </c>
      <c r="BE28" s="903">
        <v>1.043</v>
      </c>
      <c r="BF28" s="607">
        <f t="shared" si="22"/>
        <v>0.9913973544669107</v>
      </c>
      <c r="BT28" s="902">
        <v>2011</v>
      </c>
      <c r="BU28" s="903">
        <v>1.808913424693201</v>
      </c>
      <c r="BV28" s="607">
        <v>1.557423970355525</v>
      </c>
      <c r="CJ28" s="553">
        <v>2014</v>
      </c>
      <c r="CK28" s="903">
        <v>-0.009200184596660738</v>
      </c>
      <c r="CL28" s="931"/>
      <c r="DA28" s="905">
        <f t="shared" si="5"/>
        <v>-0.009200184596660738</v>
      </c>
      <c r="DE28" s="923">
        <v>2012</v>
      </c>
      <c r="DF28" s="924">
        <v>7144.368357093628</v>
      </c>
      <c r="DG28" s="925">
        <v>2678.541712402734</v>
      </c>
      <c r="DX28" s="876">
        <v>2015</v>
      </c>
      <c r="DY28" s="877">
        <v>160725</v>
      </c>
      <c r="DZ28" s="878">
        <f t="shared" si="11"/>
        <v>20.193444864834216</v>
      </c>
      <c r="EA28" s="879">
        <f t="shared" si="12"/>
        <v>1.5000501399940571</v>
      </c>
      <c r="EB28" s="879">
        <v>1.032</v>
      </c>
      <c r="EC28" s="880">
        <f t="shared" si="6"/>
        <v>7959.266042808467</v>
      </c>
      <c r="ED28" s="941"/>
      <c r="EE28" s="942">
        <v>10721</v>
      </c>
      <c r="EF28" s="879">
        <v>0.945</v>
      </c>
      <c r="EG28" s="857">
        <f>EF28*EG27</f>
        <v>722.545320043537</v>
      </c>
      <c r="EH28" s="882">
        <f t="shared" si="14"/>
        <v>14.837823597492827</v>
      </c>
      <c r="EI28" s="857">
        <f t="shared" si="7"/>
        <v>475.74637297970753</v>
      </c>
      <c r="EJ28" s="890"/>
      <c r="EK28" s="883">
        <f t="shared" si="3"/>
        <v>0.09078039559896194</v>
      </c>
      <c r="EL28" s="884">
        <f t="shared" si="8"/>
        <v>0.0616853682581286</v>
      </c>
      <c r="EM28" s="793"/>
      <c r="EO28" s="885">
        <v>2015</v>
      </c>
      <c r="EP28" s="886">
        <f t="shared" si="4"/>
        <v>0.09078039559896194</v>
      </c>
      <c r="EQ28" s="887">
        <f t="shared" si="9"/>
        <v>0.0616853682581286</v>
      </c>
      <c r="FH28" s="863">
        <v>2015</v>
      </c>
      <c r="FI28" s="888">
        <f t="shared" si="15"/>
        <v>722.545320043537</v>
      </c>
      <c r="FJ28" s="889">
        <f t="shared" si="16"/>
        <v>475.74637297970753</v>
      </c>
      <c r="FK28" s="889">
        <f t="shared" ref="FK28:FK31" si="32">FJ28</f>
        <v>475.74637297970753</v>
      </c>
      <c r="FL28" s="935"/>
      <c r="GB28" s="795">
        <v>2015</v>
      </c>
      <c r="GC28" s="796">
        <f t="shared" si="17"/>
        <v>20.193444864834216</v>
      </c>
      <c r="GD28" s="822">
        <f t="shared" si="10"/>
        <v>19.5529109572015</v>
      </c>
      <c r="GE28" s="823"/>
      <c r="GU28" s="795">
        <v>2018</v>
      </c>
      <c r="GV28" s="796">
        <f t="shared" si="0"/>
        <v>15.400454434924034</v>
      </c>
      <c r="GW28" s="822">
        <f t="shared" si="1"/>
        <v>22.02392812898368</v>
      </c>
      <c r="GX28" s="822">
        <f t="shared" si="26"/>
        <v>15.389725805474276</v>
      </c>
      <c r="HY28" s="824">
        <v>24</v>
      </c>
      <c r="HZ28" s="795">
        <v>2018</v>
      </c>
      <c r="IA28" s="824">
        <v>8944.450017116129</v>
      </c>
      <c r="IB28" s="824"/>
      <c r="IC28" s="824">
        <f t="shared" si="27"/>
        <v>8990.901600000001</v>
      </c>
      <c r="IX28" s="824">
        <f t="shared" si="2"/>
        <v>8944.450017116129</v>
      </c>
    </row>
    <row r="29" ht="21.5" customHeight="1" spans="7:258" x14ac:dyDescent="0.25">
      <c r="G29" s="939" t="s">
        <v>896</v>
      </c>
      <c r="H29" s="939"/>
      <c r="I29" s="939"/>
      <c r="J29" s="15"/>
      <c r="K29" s="15"/>
      <c r="L29" s="943"/>
      <c r="M29" s="944"/>
      <c r="N29" s="944"/>
      <c r="O29" s="945" t="s">
        <v>556</v>
      </c>
      <c r="P29" s="946">
        <v>2876.5161</v>
      </c>
      <c r="Q29" s="946">
        <f t="shared" ref="Q29:AM29" si="33">$P29*Q27</f>
        <v>2795.9736491999997</v>
      </c>
      <c r="R29" s="946">
        <f t="shared" si="33"/>
        <v>2835.1172802888</v>
      </c>
      <c r="S29" s="946">
        <f t="shared" si="33"/>
        <v>2690.526298994071</v>
      </c>
      <c r="T29" s="946">
        <f t="shared" si="33"/>
        <v>2846.5768243357275</v>
      </c>
      <c r="U29" s="946">
        <f t="shared" si="33"/>
        <v>3114.155045823286</v>
      </c>
      <c r="V29" s="946">
        <f t="shared" si="33"/>
        <v>3266.7486430686267</v>
      </c>
      <c r="W29" s="946">
        <f t="shared" si="33"/>
        <v>3410.4855833636466</v>
      </c>
      <c r="X29" s="946">
        <f t="shared" si="33"/>
        <v>3669.6824876992837</v>
      </c>
      <c r="Y29" s="946">
        <f t="shared" si="33"/>
        <v>3963.2570867152263</v>
      </c>
      <c r="Z29" s="946">
        <f t="shared" si="33"/>
        <v>4189.162740657994</v>
      </c>
      <c r="AA29" s="946">
        <f t="shared" si="33"/>
        <v>4561.998224576555</v>
      </c>
      <c r="AB29" s="946">
        <f t="shared" si="33"/>
        <v>4963.4540683392925</v>
      </c>
      <c r="AC29" s="946">
        <f t="shared" si="33"/>
        <v>5211.626771756257</v>
      </c>
      <c r="AD29" s="946">
        <f t="shared" si="33"/>
        <v>4825.966390646295</v>
      </c>
      <c r="AE29" s="947">
        <f t="shared" si="33"/>
        <v>5067.26471017861</v>
      </c>
      <c r="AF29" s="946">
        <f t="shared" si="33"/>
        <v>5285.157092716289</v>
      </c>
      <c r="AG29" s="946">
        <f t="shared" si="33"/>
        <v>5491.278219332225</v>
      </c>
      <c r="AH29" s="946">
        <f t="shared" si="33"/>
        <v>5606.595061938201</v>
      </c>
      <c r="AI29" s="946">
        <f t="shared" si="33"/>
        <v>5651.447822433707</v>
      </c>
      <c r="AJ29" s="946">
        <f t="shared" si="33"/>
        <v>5577.979000742069</v>
      </c>
      <c r="AK29" s="946">
        <f t="shared" si="33"/>
        <v>5644.914748750974</v>
      </c>
      <c r="AL29" s="946">
        <f t="shared" si="33"/>
        <v>5786.037617469748</v>
      </c>
      <c r="AM29" s="946">
        <f t="shared" si="33"/>
        <v>5930.688557906491</v>
      </c>
      <c r="AN29" s="948"/>
      <c r="AO29" s="897"/>
      <c r="AP29" s="948"/>
      <c r="AQ29" s="912" t="str">
        <f t="shared" si="19"/>
        <v>XS</v>
      </c>
      <c r="BD29" s="928">
        <v>2012</v>
      </c>
      <c r="BE29" s="903">
        <v>1.0365590157306384</v>
      </c>
      <c r="BF29" s="607">
        <f t="shared" si="22"/>
        <v>1.0203913635015827</v>
      </c>
      <c r="BT29" s="902">
        <v>2012</v>
      </c>
      <c r="BU29" s="903">
        <v>1.8750455190419226</v>
      </c>
      <c r="BV29" s="607">
        <v>1.5891819686611226</v>
      </c>
      <c r="CJ29" s="553">
        <v>2015</v>
      </c>
      <c r="CK29" s="903">
        <v>-0.009513516876504924</v>
      </c>
      <c r="CL29" s="931"/>
      <c r="DA29" s="905">
        <f t="shared" si="5"/>
        <v>-0.009513516876504924</v>
      </c>
      <c r="DE29" s="923">
        <v>2013</v>
      </c>
      <c r="DF29" s="924">
        <v>7437.287459734466</v>
      </c>
      <c r="DG29" s="925">
        <v>2726.3631774238834</v>
      </c>
      <c r="DX29" s="876">
        <v>2016</v>
      </c>
      <c r="DY29" s="877">
        <v>183404</v>
      </c>
      <c r="DZ29" s="878">
        <f t="shared" si="11"/>
        <v>22.177890468882982</v>
      </c>
      <c r="EA29" s="879">
        <f t="shared" si="12"/>
        <v>1.5585520954538252</v>
      </c>
      <c r="EB29" s="879">
        <v>1.039</v>
      </c>
      <c r="EC29" s="880">
        <f t="shared" si="6"/>
        <v>8269.677418477997</v>
      </c>
      <c r="ED29" s="941"/>
      <c r="EE29" s="942">
        <v>13256</v>
      </c>
      <c r="EF29" s="879">
        <v>1.168</v>
      </c>
      <c r="EG29" s="857">
        <f>EF29*EG28</f>
        <v>843.9329338108512</v>
      </c>
      <c r="EH29" s="882">
        <f t="shared" si="14"/>
        <v>15.707409284457475</v>
      </c>
      <c r="EI29" s="857">
        <f t="shared" si="7"/>
        <v>533.5215581413215</v>
      </c>
      <c r="EJ29" s="890"/>
      <c r="EK29" s="883">
        <f t="shared" si="3"/>
        <v>0.10205149380133546</v>
      </c>
      <c r="EL29" s="884">
        <f t="shared" si="8"/>
        <v>0.0670315020595876</v>
      </c>
      <c r="EM29" s="793"/>
      <c r="EO29" s="885">
        <v>2016</v>
      </c>
      <c r="EP29" s="886">
        <f t="shared" si="4"/>
        <v>0.10205149380133546</v>
      </c>
      <c r="EQ29" s="887">
        <f t="shared" si="9"/>
        <v>0.0670315020595876</v>
      </c>
      <c r="FH29" s="863">
        <v>2016</v>
      </c>
      <c r="FI29" s="888">
        <f t="shared" si="15"/>
        <v>843.9329338108512</v>
      </c>
      <c r="FJ29" s="889">
        <f t="shared" si="16"/>
        <v>533.5215581413215</v>
      </c>
      <c r="FK29" s="889">
        <f t="shared" si="32"/>
        <v>533.5215581413215</v>
      </c>
      <c r="FL29" s="935"/>
      <c r="GB29" s="795">
        <v>2016</v>
      </c>
      <c r="GC29" s="796">
        <f t="shared" si="17"/>
        <v>22.177890468882982</v>
      </c>
      <c r="GD29" s="822">
        <f t="shared" si="10"/>
        <v>20.60681285779466</v>
      </c>
      <c r="GE29" s="823"/>
      <c r="GU29" s="795">
        <v>2019</v>
      </c>
      <c r="GV29" s="949"/>
      <c r="GW29" s="822">
        <f t="shared" si="1"/>
        <v>22.693455544104783</v>
      </c>
      <c r="GX29" s="822">
        <f t="shared" si="26"/>
        <v>15.521957469960693</v>
      </c>
      <c r="HY29" s="824">
        <v>25</v>
      </c>
      <c r="HZ29" s="795">
        <v>2019</v>
      </c>
      <c r="IA29" s="950"/>
      <c r="IB29" s="824">
        <v>9315.47943646637</v>
      </c>
      <c r="IC29" s="824">
        <f t="shared" si="27"/>
        <v>9373.1375</v>
      </c>
      <c r="IX29" s="824">
        <f>IB29</f>
        <v>9315.47943646637</v>
      </c>
    </row>
    <row r="30" ht="21" customHeight="1" spans="12:258" x14ac:dyDescent="0.25">
      <c r="L30" s="622"/>
      <c r="M30" s="909" t="s">
        <v>897</v>
      </c>
      <c r="N30" s="909"/>
      <c r="O30" s="932" t="s">
        <v>898</v>
      </c>
      <c r="P30" s="930">
        <v>1447.9952</v>
      </c>
      <c r="Q30" s="929">
        <f>ОТЧЁТ!V56</f>
        <v>1970.9168</v>
      </c>
      <c r="R30" s="929">
        <f>ОТЧЁТ!W56</f>
        <v>2199.612</v>
      </c>
      <c r="S30" s="929">
        <f>ОТЧЁТ!X56</f>
        <v>2190.7174</v>
      </c>
      <c r="T30" s="929">
        <f>ОТЧЁТ!Y56</f>
        <v>3975.3293</v>
      </c>
      <c r="U30" s="929">
        <f>ОТЧЁТ!Z56</f>
        <v>6080.0129</v>
      </c>
      <c r="V30" s="929">
        <f>ОТЧЁТ!AA56</f>
        <v>8076.6947</v>
      </c>
      <c r="W30" s="934">
        <f>ОТЧЁТ!AB56</f>
        <v>9403.7027</v>
      </c>
      <c r="X30" s="934">
        <f>ОТЧЁТ!AC56</f>
        <v>11653.3392</v>
      </c>
      <c r="Y30" s="934">
        <f>ОТЧЁТ!AD56</f>
        <v>14631.8556</v>
      </c>
      <c r="Z30" s="934">
        <f>ОТЧЁТ!AE56</f>
        <v>18502.9362</v>
      </c>
      <c r="AA30" s="934">
        <f>ОТЧЁТ!AF56</f>
        <v>23246.5228</v>
      </c>
      <c r="AB30" s="934">
        <f>ОТЧЁТ!AG56</f>
        <v>29267.6613</v>
      </c>
      <c r="AC30" s="934">
        <f>ОТЧЁТ!AH56</f>
        <v>36418.9596</v>
      </c>
      <c r="AD30" s="934">
        <f>ОТЧЁТ!AI56</f>
        <v>34285.124</v>
      </c>
      <c r="AE30" s="933">
        <f>ОТЧЁТ!AJ56</f>
        <v>42014.537</v>
      </c>
      <c r="AF30" s="934">
        <f>ОТЧЁТ!AK56</f>
        <v>48876.2599</v>
      </c>
      <c r="AG30" s="934">
        <f>ОТЧЁТ!AL56</f>
        <v>54095.9393</v>
      </c>
      <c r="AH30" s="934">
        <f>ОТЧЁТ!AM56</f>
        <v>59296.035200000006</v>
      </c>
      <c r="AI30" s="934">
        <f>ОТЧЁТ!AN56</f>
        <v>64078.5</v>
      </c>
      <c r="AJ30" s="934">
        <f>ОТЧЁТ!AO56</f>
        <v>71328.7</v>
      </c>
      <c r="AK30" s="934">
        <f>ОТЧЁТ!AP56</f>
        <v>76381.24</v>
      </c>
      <c r="AL30" s="934">
        <f>ОТЧЁТ!AQ56</f>
        <v>83173.7</v>
      </c>
      <c r="AM30" s="934">
        <f>ОТЧЁТ!AR56</f>
        <v>92734.7</v>
      </c>
      <c r="AN30" s="682"/>
      <c r="AO30" s="897"/>
      <c r="AP30" s="682"/>
      <c r="AQ30" s="912" t="str">
        <f t="shared" si="19"/>
        <v>Z</v>
      </c>
      <c r="BD30" s="928">
        <v>2013</v>
      </c>
      <c r="BE30" s="903">
        <v>1.0178535450091057</v>
      </c>
      <c r="BF30" s="607">
        <f t="shared" si="22"/>
        <v>1.0231401323642648</v>
      </c>
      <c r="BT30" s="902">
        <v>2013</v>
      </c>
      <c r="BU30" s="903">
        <v>1.9085217286102596</v>
      </c>
      <c r="BV30" s="607">
        <v>1.6259558497668438</v>
      </c>
      <c r="CJ30" s="553">
        <v>2016</v>
      </c>
      <c r="CK30" s="940">
        <v>-0.011568183003116708</v>
      </c>
      <c r="CL30" s="931">
        <f>CK30</f>
        <v>-0.011568183003116708</v>
      </c>
      <c r="DA30" s="905">
        <f t="shared" ref="DA30:DA43" si="34">CL30</f>
        <v>-0.011568183003116708</v>
      </c>
      <c r="DE30" s="923">
        <v>2014</v>
      </c>
      <c r="DF30" s="924">
        <v>7712.467095744641</v>
      </c>
      <c r="DG30" s="925">
        <v>2746.5001169353304</v>
      </c>
      <c r="DX30" s="876">
        <v>2017</v>
      </c>
      <c r="DY30" s="877">
        <v>194649</v>
      </c>
      <c r="DZ30" s="878">
        <f t="shared" si="11"/>
        <v>22.67598987214137</v>
      </c>
      <c r="EA30" s="879">
        <f t="shared" si="12"/>
        <v>1.6177770750810707</v>
      </c>
      <c r="EB30" s="942">
        <v>1.038</v>
      </c>
      <c r="EC30" s="880">
        <f t="shared" ref="EC30:EC31" si="35">EC$8*EA30</f>
        <v>8583.92516038016</v>
      </c>
      <c r="ED30" s="890"/>
      <c r="EE30" s="881">
        <v>12484.1</v>
      </c>
      <c r="EF30" s="942">
        <v>1.001</v>
      </c>
      <c r="EG30" s="857">
        <f t="shared" ref="EG30:EG31" si="36">EF30*EG29</f>
        <v>844.7768667446619</v>
      </c>
      <c r="EH30" s="882">
        <f t="shared" si="14"/>
        <v>14.777985159687598</v>
      </c>
      <c r="EI30" s="857">
        <f t="shared" si="7"/>
        <v>530.5291248424985</v>
      </c>
      <c r="EJ30" s="890"/>
      <c r="EK30" s="883">
        <f t="shared" si="3"/>
        <v>0.09841382013018958</v>
      </c>
      <c r="EL30" s="884">
        <f t="shared" si="8"/>
        <v>0.06415354529513684</v>
      </c>
      <c r="EM30" s="793"/>
      <c r="EO30" s="885">
        <v>2017</v>
      </c>
      <c r="EP30" s="886">
        <f t="shared" si="4"/>
        <v>0.09841382013018958</v>
      </c>
      <c r="EQ30" s="887">
        <f t="shared" si="9"/>
        <v>0.06415354529513684</v>
      </c>
      <c r="FH30" s="863">
        <v>2017</v>
      </c>
      <c r="FI30" s="888">
        <f t="shared" si="15"/>
        <v>844.7768667446619</v>
      </c>
      <c r="FJ30" s="889">
        <f t="shared" si="16"/>
        <v>530.5291248424985</v>
      </c>
      <c r="FK30" s="889">
        <f t="shared" si="32"/>
        <v>530.5291248424985</v>
      </c>
      <c r="FL30" s="935"/>
      <c r="GB30" s="795">
        <v>2017</v>
      </c>
      <c r="GC30" s="796">
        <f t="shared" si="17"/>
        <v>22.67598987214137</v>
      </c>
      <c r="GD30" s="822">
        <f t="shared" si="10"/>
        <v>21.124043860525305</v>
      </c>
      <c r="GE30" s="823"/>
      <c r="GU30" s="795">
        <v>2020</v>
      </c>
      <c r="GV30" s="949"/>
      <c r="GW30" s="822">
        <f t="shared" si="1"/>
        <v>23.807704211320324</v>
      </c>
      <c r="GX30" s="822">
        <f t="shared" si="26"/>
        <v>15.742021581735763</v>
      </c>
      <c r="HY30" s="824">
        <v>26</v>
      </c>
      <c r="HZ30" s="795">
        <v>2020</v>
      </c>
      <c r="IA30" s="950"/>
      <c r="IB30" s="824">
        <v>9701.563465887435</v>
      </c>
      <c r="IC30" s="824">
        <f t="shared" si="27"/>
        <v>9773.959600000002</v>
      </c>
      <c r="IX30" s="824">
        <f t="shared" ref="IX30:IX45" si="37">IB30</f>
        <v>9701.563465887435</v>
      </c>
    </row>
    <row r="31" ht="21" customHeight="1" spans="12:258" x14ac:dyDescent="0.25">
      <c r="L31" s="622"/>
      <c r="M31" s="909"/>
      <c r="N31" s="909"/>
      <c r="O31" s="910" t="s">
        <v>899</v>
      </c>
      <c r="P31" s="636"/>
      <c r="Q31" s="921">
        <f>Q34/P34</f>
        <v>0.9798924068256581</v>
      </c>
      <c r="R31" s="921">
        <f t="shared" ref="R31:AG31" si="38">R34/Q34</f>
        <v>1.0140000000000002</v>
      </c>
      <c r="S31" s="921">
        <f t="shared" si="38"/>
        <v>0.9509411009124413</v>
      </c>
      <c r="T31" s="921">
        <f t="shared" si="38"/>
        <v>1.0522008314847742</v>
      </c>
      <c r="U31" s="921">
        <f t="shared" si="38"/>
        <v>1.0881358007753201</v>
      </c>
      <c r="V31" s="921">
        <f t="shared" si="38"/>
        <v>1.0470239540130464</v>
      </c>
      <c r="W31" s="921">
        <f t="shared" si="38"/>
        <v>1.0410246750454066</v>
      </c>
      <c r="X31" s="921">
        <f t="shared" si="38"/>
        <v>1.07899240287203</v>
      </c>
      <c r="Y31" s="921">
        <f t="shared" si="38"/>
        <v>1.0879354238840881</v>
      </c>
      <c r="Z31" s="921">
        <f t="shared" si="38"/>
        <v>1.050158208254033</v>
      </c>
      <c r="AA31" s="921">
        <f t="shared" si="38"/>
        <v>1.0959319711644318</v>
      </c>
      <c r="AB31" s="921">
        <f t="shared" si="38"/>
        <v>1.0909330780939728</v>
      </c>
      <c r="AC31" s="921">
        <f t="shared" si="38"/>
        <v>1.0480552490365889</v>
      </c>
      <c r="AD31" s="921">
        <f t="shared" si="38"/>
        <v>0.9308801769166963</v>
      </c>
      <c r="AE31" s="911">
        <f t="shared" si="38"/>
        <v>1.0548283796902465</v>
      </c>
      <c r="AF31" s="921">
        <f t="shared" si="38"/>
        <v>1.0430000000000001</v>
      </c>
      <c r="AG31" s="921">
        <f t="shared" si="38"/>
        <v>1.0413352365288429</v>
      </c>
      <c r="AH31" s="921">
        <f t="shared" ref="AH31:AM31" si="39">AH34/AG34</f>
        <v>1.023996338590033</v>
      </c>
      <c r="AI31" s="921">
        <f t="shared" si="39"/>
        <v>1.0085811913675926</v>
      </c>
      <c r="AJ31" s="921">
        <f t="shared" si="39"/>
        <v>0.996454559583764</v>
      </c>
      <c r="AK31" s="921">
        <f t="shared" si="39"/>
        <v>1.0212699708426203</v>
      </c>
      <c r="AL31" s="921">
        <f t="shared" si="39"/>
        <v>1.031366541399087</v>
      </c>
      <c r="AM31" s="921">
        <f t="shared" si="39"/>
        <v>1.0223068439295477</v>
      </c>
      <c r="AN31" s="682"/>
      <c r="AO31" s="897"/>
      <c r="AP31" s="682"/>
      <c r="AQ31" s="912" t="str">
        <f t="shared" si="19"/>
        <v>pZ</v>
      </c>
      <c r="BD31" s="928">
        <v>2014</v>
      </c>
      <c r="BE31" s="903">
        <v>1.0073860077330101</v>
      </c>
      <c r="BF31" s="607">
        <f t="shared" si="22"/>
        <v>1.0514045360253677</v>
      </c>
      <c r="BT31" s="902">
        <v>2014</v>
      </c>
      <c r="BU31" s="903">
        <v>1.9226180848563927</v>
      </c>
      <c r="BV31" s="607">
        <v>1.7095373558218407</v>
      </c>
      <c r="CJ31" s="553">
        <v>2017</v>
      </c>
      <c r="CK31" s="940">
        <v>-0.011146134809817541</v>
      </c>
      <c r="CL31" s="931">
        <f t="shared" ref="CL31:CL32" si="40">CK31</f>
        <v>-0.011146134809817541</v>
      </c>
      <c r="DA31" s="905">
        <f t="shared" si="34"/>
        <v>-0.011146134809817541</v>
      </c>
      <c r="DE31" s="795">
        <v>2015</v>
      </c>
      <c r="DF31" s="924">
        <v>7959.266042808469</v>
      </c>
      <c r="DG31" s="925">
        <v>2683.3306142458177</v>
      </c>
      <c r="DX31" s="876">
        <v>2018</v>
      </c>
      <c r="DY31" s="877">
        <v>206484</v>
      </c>
      <c r="DZ31" s="878">
        <f t="shared" si="11"/>
        <v>23.085153319082956</v>
      </c>
      <c r="EA31" s="879">
        <f t="shared" si="12"/>
        <v>1.6857237122344757</v>
      </c>
      <c r="EB31" s="942">
        <v>1.042</v>
      </c>
      <c r="EC31" s="880">
        <f t="shared" si="35"/>
        <v>8944.450017116129</v>
      </c>
      <c r="ED31" s="890"/>
      <c r="EE31" s="881">
        <v>14909.4</v>
      </c>
      <c r="EF31" s="942">
        <v>1.146</v>
      </c>
      <c r="EG31" s="857">
        <f t="shared" si="36"/>
        <v>968.1142892893824</v>
      </c>
      <c r="EH31" s="882">
        <f t="shared" si="14"/>
        <v>15.400454434924034</v>
      </c>
      <c r="EI31" s="857">
        <f t="shared" si="7"/>
        <v>607.5894325534139</v>
      </c>
      <c r="EJ31" s="890"/>
      <c r="EK31" s="883">
        <f t="shared" si="3"/>
        <v>0.10823631273435434</v>
      </c>
      <c r="EL31" s="884">
        <f t="shared" si="8"/>
        <v>0.07078223786919705</v>
      </c>
      <c r="EM31" s="793"/>
      <c r="EO31" s="885">
        <v>2018</v>
      </c>
      <c r="EP31" s="886">
        <f t="shared" si="4"/>
        <v>0.10823631273435434</v>
      </c>
      <c r="EQ31" s="887">
        <f t="shared" si="9"/>
        <v>0.07078223786919705</v>
      </c>
      <c r="FH31" s="863">
        <v>2018</v>
      </c>
      <c r="FI31" s="888">
        <f t="shared" si="15"/>
        <v>968.1142892893824</v>
      </c>
      <c r="FJ31" s="889">
        <f t="shared" si="16"/>
        <v>607.5894325534139</v>
      </c>
      <c r="FK31" s="889">
        <f t="shared" si="32"/>
        <v>607.5894325534139</v>
      </c>
      <c r="FL31" s="935"/>
      <c r="GB31" s="795">
        <v>2018</v>
      </c>
      <c r="GC31" s="796">
        <f t="shared" si="17"/>
        <v>23.085153319082956</v>
      </c>
      <c r="GD31" s="822">
        <f t="shared" si="10"/>
        <v>22.02392812898368</v>
      </c>
      <c r="GE31" s="823"/>
      <c r="GU31" s="795">
        <v>2021</v>
      </c>
      <c r="GV31" s="949"/>
      <c r="GW31" s="822">
        <f t="shared" si="1"/>
        <v>24.99808942188634</v>
      </c>
      <c r="GX31" s="822">
        <f t="shared" si="26"/>
        <v>15.977122660822552</v>
      </c>
      <c r="HY31" s="824">
        <v>27</v>
      </c>
      <c r="HZ31" s="795">
        <v>2021</v>
      </c>
      <c r="IA31" s="950"/>
      <c r="IB31" s="824">
        <v>10100.449024754149</v>
      </c>
      <c r="IC31" s="824">
        <f t="shared" si="27"/>
        <v>10193.367900000001</v>
      </c>
      <c r="IX31" s="824">
        <f t="shared" si="37"/>
        <v>10100.449024754149</v>
      </c>
    </row>
    <row r="32" ht="21" customHeight="1" spans="12:258" x14ac:dyDescent="0.25">
      <c r="L32" s="622"/>
      <c r="M32" s="909"/>
      <c r="N32" s="909"/>
      <c r="O32" s="910" t="s">
        <v>900</v>
      </c>
      <c r="P32" s="636">
        <v>1</v>
      </c>
      <c r="Q32" s="921">
        <f>P32*Q31</f>
        <v>0.9798924068256581</v>
      </c>
      <c r="R32" s="921">
        <f t="shared" ref="R32:AH32" si="41">Q32*R31</f>
        <v>0.9936109005212176</v>
      </c>
      <c r="S32" s="921">
        <f t="shared" si="41"/>
        <v>0.9448654436202488</v>
      </c>
      <c r="T32" s="921">
        <f t="shared" si="41"/>
        <v>0.9941882054184559</v>
      </c>
      <c r="U32" s="921">
        <f t="shared" si="41"/>
        <v>1.08181177902439</v>
      </c>
      <c r="V32" s="921">
        <f t="shared" si="41"/>
        <v>1.1326828463720047</v>
      </c>
      <c r="W32" s="921">
        <f t="shared" si="41"/>
        <v>1.1791507920739224</v>
      </c>
      <c r="X32" s="921">
        <f t="shared" si="41"/>
        <v>1.2722947464882988</v>
      </c>
      <c r="Y32" s="921">
        <f t="shared" si="41"/>
        <v>1.3841745243262458</v>
      </c>
      <c r="Z32" s="921">
        <f t="shared" si="41"/>
        <v>1.4536022383773288</v>
      </c>
      <c r="AA32" s="921">
        <f t="shared" si="41"/>
        <v>1.5930491663938962</v>
      </c>
      <c r="AB32" s="921">
        <f t="shared" si="41"/>
        <v>1.7379100306491306</v>
      </c>
      <c r="AC32" s="921">
        <f t="shared" si="41"/>
        <v>1.8214257299751604</v>
      </c>
      <c r="AD32" s="921">
        <f t="shared" si="41"/>
        <v>1.6955291057599</v>
      </c>
      <c r="AE32" s="911">
        <f t="shared" si="41"/>
        <v>1.788492219346368</v>
      </c>
      <c r="AF32" s="921">
        <f t="shared" si="41"/>
        <v>1.8653973847782621</v>
      </c>
      <c r="AG32" s="921">
        <f t="shared" si="41"/>
        <v>1.9425040268983564</v>
      </c>
      <c r="AH32" s="921">
        <f t="shared" si="41"/>
        <v>1.989117011240312</v>
      </c>
      <c r="AI32" s="921">
        <f>AH32*AI31</f>
        <v>2.006186004966299</v>
      </c>
      <c r="AJ32" s="921">
        <f>AI32*AJ31</f>
        <v>1.9990731920218046</v>
      </c>
      <c r="AK32" s="921">
        <f>AJ32*AK31</f>
        <v>2.0415934205283723</v>
      </c>
      <c r="AL32" s="921">
        <f>AK32*AL31</f>
        <v>2.105631145073479</v>
      </c>
      <c r="AM32" s="921">
        <f>AL32*AM31</f>
        <v>2.1526011303998276</v>
      </c>
      <c r="AN32" s="682"/>
      <c r="AO32" s="897"/>
      <c r="AP32" s="682"/>
      <c r="AQ32" s="912" t="str">
        <f t="shared" si="19"/>
        <v>Pz</v>
      </c>
      <c r="BD32" s="928">
        <v>2015</v>
      </c>
      <c r="BE32" s="903">
        <v>0.977</v>
      </c>
      <c r="BF32" s="607">
        <f t="shared" si="22"/>
        <v>1.0623806022857043</v>
      </c>
      <c r="BT32" s="902">
        <v>2015</v>
      </c>
      <c r="BU32" s="903">
        <v>1.8783978689046956</v>
      </c>
      <c r="BV32" s="607">
        <v>1.8161793257079177</v>
      </c>
      <c r="CJ32" s="553">
        <v>2018</v>
      </c>
      <c r="CK32" s="940">
        <v>-0.01316254946451181</v>
      </c>
      <c r="CL32" s="931">
        <f t="shared" si="40"/>
        <v>-0.01316254946451181</v>
      </c>
      <c r="DA32" s="905">
        <f t="shared" si="34"/>
        <v>-0.01316254946451181</v>
      </c>
      <c r="DE32" s="795">
        <v>2016</v>
      </c>
      <c r="DF32" s="924">
        <v>8269.677418477999</v>
      </c>
      <c r="DG32" s="925">
        <v>2688.697275474309</v>
      </c>
      <c r="DX32" s="876">
        <v>2019</v>
      </c>
      <c r="DY32" s="951"/>
      <c r="DZ32" s="942"/>
      <c r="EA32" s="942"/>
      <c r="EB32" s="942"/>
      <c r="EC32" s="952"/>
      <c r="ED32" s="890"/>
      <c r="EE32" s="942"/>
      <c r="EF32" s="942"/>
      <c r="EG32" s="952"/>
      <c r="EH32" s="942"/>
      <c r="EI32" s="952"/>
      <c r="EJ32" s="890"/>
      <c r="EK32" s="942"/>
      <c r="EL32" s="890"/>
      <c r="EM32" s="793"/>
      <c r="EO32" s="885">
        <v>2019</v>
      </c>
      <c r="EP32" s="953"/>
      <c r="EQ32" s="954"/>
      <c r="FH32" s="863">
        <v>2019</v>
      </c>
      <c r="FI32" s="951"/>
      <c r="FJ32" s="879"/>
      <c r="FK32" s="879"/>
      <c r="FL32" s="935"/>
      <c r="GB32" s="795">
        <v>2019</v>
      </c>
      <c r="GC32" s="949"/>
      <c r="GD32" s="20"/>
      <c r="GE32" s="955"/>
      <c r="GU32" s="795">
        <v>2022</v>
      </c>
      <c r="GV32" s="949"/>
      <c r="GW32" s="822">
        <f t="shared" si="1"/>
        <v>26.24799389298066</v>
      </c>
      <c r="GX32" s="822">
        <f t="shared" si="26"/>
        <v>16.22397879386368</v>
      </c>
      <c r="HY32" s="824">
        <v>28</v>
      </c>
      <c r="HZ32" s="795">
        <v>2022</v>
      </c>
      <c r="IA32" s="950"/>
      <c r="IB32" s="824">
        <v>10526.2325363394</v>
      </c>
      <c r="IC32" s="824">
        <f t="shared" si="27"/>
        <v>10631.362400000002</v>
      </c>
      <c r="IX32" s="824">
        <f t="shared" si="37"/>
        <v>10526.2325363394</v>
      </c>
    </row>
    <row r="33" ht="21" customHeight="1" spans="7:258" x14ac:dyDescent="0.25">
      <c r="G33" s="187"/>
      <c r="H33" s="187"/>
      <c r="I33" s="187"/>
      <c r="L33" s="622"/>
      <c r="M33" s="909"/>
      <c r="N33" s="909"/>
      <c r="O33" s="910" t="s">
        <v>650</v>
      </c>
      <c r="P33" s="636">
        <v>1</v>
      </c>
      <c r="Q33" s="926">
        <f>Q30/Q34</f>
        <v>1.3890656660960248</v>
      </c>
      <c r="R33" s="926">
        <f t="shared" ref="R33:AM33" si="42">R30/R34</f>
        <v>1.5288420201321875</v>
      </c>
      <c r="S33" s="926">
        <f t="shared" si="42"/>
        <v>1.6012135978440234</v>
      </c>
      <c r="T33" s="926">
        <f t="shared" si="42"/>
        <v>2.761451251183235</v>
      </c>
      <c r="U33" s="926">
        <f t="shared" si="42"/>
        <v>3.8813756116757316</v>
      </c>
      <c r="V33" s="926">
        <f t="shared" si="42"/>
        <v>4.924455543275788</v>
      </c>
      <c r="W33" s="926">
        <f t="shared" si="42"/>
        <v>5.507600378283486</v>
      </c>
      <c r="X33" s="926">
        <f t="shared" si="42"/>
        <v>6.325509783187269</v>
      </c>
      <c r="Y33" s="926">
        <f t="shared" si="42"/>
        <v>7.300312186990133</v>
      </c>
      <c r="Z33" s="926">
        <f t="shared" si="42"/>
        <v>8.79079082161258</v>
      </c>
      <c r="AA33" s="926">
        <f t="shared" si="42"/>
        <v>10.077706332186347</v>
      </c>
      <c r="AB33" s="926">
        <f t="shared" si="42"/>
        <v>11.630372067549995</v>
      </c>
      <c r="AC33" s="926">
        <f t="shared" si="42"/>
        <v>13.808577618030881</v>
      </c>
      <c r="AD33" s="926">
        <f t="shared" si="42"/>
        <v>13.96475603527971</v>
      </c>
      <c r="AE33" s="927">
        <f t="shared" si="42"/>
        <v>16.223531809175668</v>
      </c>
      <c r="AF33" s="926">
        <f t="shared" si="42"/>
        <v>18.09503717757504</v>
      </c>
      <c r="AG33" s="926">
        <f t="shared" si="42"/>
        <v>19.23249446463563</v>
      </c>
      <c r="AH33" s="926">
        <f t="shared" si="42"/>
        <v>20.58724351980391</v>
      </c>
      <c r="AI33" s="926">
        <f t="shared" si="42"/>
        <v>22.05840052773225</v>
      </c>
      <c r="AJ33" s="926">
        <f t="shared" si="42"/>
        <v>24.641576618684894</v>
      </c>
      <c r="AK33" s="926">
        <f t="shared" si="42"/>
        <v>25.837490201740536</v>
      </c>
      <c r="AL33" s="926">
        <f t="shared" si="42"/>
        <v>27.279512414925115</v>
      </c>
      <c r="AM33" s="926">
        <f t="shared" si="42"/>
        <v>29.75168622717218</v>
      </c>
      <c r="AN33" s="682"/>
      <c r="AO33" s="897"/>
      <c r="AP33" s="682"/>
      <c r="AQ33" s="912" t="str">
        <f t="shared" si="19"/>
        <v>Dz</v>
      </c>
      <c r="BD33" s="928">
        <v>2016</v>
      </c>
      <c r="BE33" s="903">
        <v>1.002</v>
      </c>
      <c r="BF33" s="607">
        <f t="shared" si="22"/>
        <v>1.015429939184305</v>
      </c>
      <c r="BT33" s="902">
        <v>2016</v>
      </c>
      <c r="BU33" s="903">
        <v>1.882154664642505</v>
      </c>
      <c r="BV33" s="607">
        <v>1.8442028622513829</v>
      </c>
      <c r="CJ33" s="553">
        <v>2019</v>
      </c>
      <c r="CK33" s="940"/>
      <c r="CL33" s="931"/>
      <c r="DA33" s="905">
        <f t="shared" si="34"/>
        <v>0</v>
      </c>
      <c r="DE33" s="795">
        <v>2017</v>
      </c>
      <c r="DF33" s="924">
        <v>8583.925160380162</v>
      </c>
      <c r="DG33" s="925">
        <v>2737.093826432847</v>
      </c>
      <c r="DX33" s="876">
        <v>2020</v>
      </c>
      <c r="DY33" s="951"/>
      <c r="DZ33" s="942"/>
      <c r="EA33" s="942"/>
      <c r="EB33" s="942"/>
      <c r="EC33" s="952"/>
      <c r="ED33" s="890"/>
      <c r="EE33" s="942"/>
      <c r="EF33" s="942"/>
      <c r="EG33" s="952"/>
      <c r="EH33" s="942"/>
      <c r="EI33" s="952"/>
      <c r="EJ33" s="890"/>
      <c r="EK33" s="942"/>
      <c r="EL33" s="890"/>
      <c r="EM33" s="793"/>
      <c r="EO33" s="885">
        <v>2020</v>
      </c>
      <c r="EP33" s="953"/>
      <c r="EQ33" s="954"/>
      <c r="FH33" s="863">
        <v>2020</v>
      </c>
      <c r="FI33" s="951"/>
      <c r="FJ33" s="879"/>
      <c r="FK33" s="879"/>
      <c r="FL33" s="935"/>
      <c r="GB33" s="795">
        <v>2020</v>
      </c>
      <c r="GC33" s="949"/>
      <c r="GD33" s="20"/>
      <c r="GE33" s="955"/>
      <c r="GU33" s="795">
        <v>2023</v>
      </c>
      <c r="GV33" s="949"/>
      <c r="GW33" s="822">
        <f t="shared" si="1"/>
        <v>27.560393587629694</v>
      </c>
      <c r="GX33" s="822">
        <f t="shared" si="26"/>
        <v>16.483177733556865</v>
      </c>
      <c r="HY33" s="824">
        <v>29</v>
      </c>
      <c r="HZ33" s="795">
        <v>2023</v>
      </c>
      <c r="IA33" s="950"/>
      <c r="IB33" s="824">
        <v>10976.127338183813</v>
      </c>
      <c r="IC33" s="824">
        <f t="shared" si="27"/>
        <v>11087.9431</v>
      </c>
      <c r="IX33" s="824">
        <f t="shared" si="37"/>
        <v>10976.127338183813</v>
      </c>
    </row>
    <row r="34" ht="21" customHeight="1" spans="7:258" x14ac:dyDescent="0.25">
      <c r="G34" s="939" t="s">
        <v>901</v>
      </c>
      <c r="H34" s="939"/>
      <c r="I34" s="939"/>
      <c r="J34" s="15"/>
      <c r="K34" s="15"/>
      <c r="L34" s="622"/>
      <c r="M34" s="909"/>
      <c r="N34" s="909"/>
      <c r="O34" s="910" t="s">
        <v>544</v>
      </c>
      <c r="P34" s="929">
        <v>1447.9951999999998</v>
      </c>
      <c r="Q34" s="929">
        <f>ОТЧЁТ!V145</f>
        <v>1418.8795016000001</v>
      </c>
      <c r="R34" s="929">
        <f>ОТЧЁТ!W145</f>
        <v>1438.7438146224004</v>
      </c>
      <c r="S34" s="929">
        <f>ОТЧЁТ!X145</f>
        <v>1368.1606270079908</v>
      </c>
      <c r="T34" s="929">
        <f>ОТЧЁТ!Y145</f>
        <v>1439.579749342538</v>
      </c>
      <c r="U34" s="929">
        <f>ОТЧЁТ!Z145</f>
        <v>1566.4582633307773</v>
      </c>
      <c r="V34" s="929">
        <f>ОТЧЁТ!AA145</f>
        <v>1640.1193246690002</v>
      </c>
      <c r="W34" s="929">
        <f>ОТЧЁТ!AB145</f>
        <v>1707.4046869992378</v>
      </c>
      <c r="X34" s="929">
        <f>ОТЧЁТ!AC145</f>
        <v>1842.2766859002736</v>
      </c>
      <c r="Y34" s="929">
        <f>ОТЧЁТ!AD145</f>
        <v>2004.2780671866872</v>
      </c>
      <c r="Z34" s="929">
        <f>ОТЧЁТ!AE145</f>
        <v>2104.809063879628</v>
      </c>
      <c r="AA34" s="929">
        <f>ОТЧЁТ!AF145</f>
        <v>2306.727546302363</v>
      </c>
      <c r="AB34" s="929">
        <f>ОТЧЁТ!AG145</f>
        <v>2516.485382411794</v>
      </c>
      <c r="AC34" s="929">
        <f>ОТЧЁТ!AH145</f>
        <v>2637.4157141605283</v>
      </c>
      <c r="AD34" s="929">
        <f>ОТЧЁТ!AI145</f>
        <v>2455.1180066006277</v>
      </c>
      <c r="AE34" s="930">
        <f>ОТЧЁТ!AJ145</f>
        <v>2589.728148850888</v>
      </c>
      <c r="AF34" s="929">
        <f>ОТЧЁТ!AK145</f>
        <v>2701.0864592514768</v>
      </c>
      <c r="AG34" s="929">
        <f>ОТЧЁТ!AL145</f>
        <v>2812.7365069294915</v>
      </c>
      <c r="AH34" s="929">
        <f>ОТЧЁТ!AM145</f>
        <v>2880.2318845143186</v>
      </c>
      <c r="AI34" s="929">
        <f>ОТЧЁТ!AN145</f>
        <v>2904.9477054983777</v>
      </c>
      <c r="AJ34" s="929">
        <f>ОТЧЁТ!AO145</f>
        <v>2894.648386496252</v>
      </c>
      <c r="AK34" s="929">
        <f>ОТЧЁТ!AP145</f>
        <v>2956.2174732766653</v>
      </c>
      <c r="AL34" s="929">
        <f>ОТЧЁТ!AQ145</f>
        <v>3048.9437910369015</v>
      </c>
      <c r="AM34" s="929">
        <f>ОТЧЁТ!AR145</f>
        <v>3116.956104333525</v>
      </c>
      <c r="AN34" s="682"/>
      <c r="AO34" s="897"/>
      <c r="AP34" s="682"/>
      <c r="AQ34" s="912" t="str">
        <f t="shared" si="19"/>
        <v>ZS</v>
      </c>
      <c r="BD34" s="928">
        <v>2017</v>
      </c>
      <c r="BE34" s="549">
        <v>1.018</v>
      </c>
      <c r="BF34" s="607">
        <f t="shared" si="22"/>
        <v>0.9851539183094561</v>
      </c>
      <c r="BT34" s="902">
        <v>2017</v>
      </c>
      <c r="BU34" s="903">
        <v>1.91603344860607</v>
      </c>
      <c r="BV34" s="607">
        <v>1.816823675904464</v>
      </c>
      <c r="CJ34" s="553">
        <v>2020</v>
      </c>
      <c r="CK34" s="940"/>
      <c r="CL34" s="931"/>
      <c r="DA34" s="905">
        <f t="shared" si="34"/>
        <v>0</v>
      </c>
      <c r="DE34" s="795">
        <v>2018</v>
      </c>
      <c r="DF34" s="924">
        <v>8944.450017116129</v>
      </c>
      <c r="DG34" s="925">
        <v>2813.7324535729667</v>
      </c>
      <c r="DX34" s="876">
        <v>2021</v>
      </c>
      <c r="DY34" s="951"/>
      <c r="DZ34" s="942"/>
      <c r="EA34" s="942"/>
      <c r="EB34" s="942"/>
      <c r="EC34" s="952"/>
      <c r="ED34" s="890"/>
      <c r="EE34" s="942"/>
      <c r="EF34" s="942"/>
      <c r="EG34" s="952"/>
      <c r="EH34" s="942"/>
      <c r="EI34" s="952"/>
      <c r="EJ34" s="890"/>
      <c r="EK34" s="942"/>
      <c r="EL34" s="890"/>
      <c r="EM34" s="793"/>
      <c r="EO34" s="885">
        <v>2021</v>
      </c>
      <c r="EP34" s="953"/>
      <c r="EQ34" s="954"/>
      <c r="FH34" s="863">
        <v>2021</v>
      </c>
      <c r="FI34" s="951"/>
      <c r="FJ34" s="879"/>
      <c r="FK34" s="879"/>
      <c r="FL34" s="935"/>
      <c r="GB34" s="795">
        <v>2021</v>
      </c>
      <c r="GC34" s="949"/>
      <c r="GD34" s="20"/>
      <c r="GE34" s="955"/>
      <c r="GU34" s="795">
        <v>2024</v>
      </c>
      <c r="GV34" s="949"/>
      <c r="GW34" s="822">
        <f t="shared" si="1"/>
        <v>28.938413267011178</v>
      </c>
      <c r="GX34" s="822">
        <f t="shared" si="26"/>
        <v>16.755336620234708</v>
      </c>
      <c r="HY34" s="824">
        <v>30</v>
      </c>
      <c r="HZ34" s="795">
        <v>2024</v>
      </c>
      <c r="IA34" s="950"/>
      <c r="IB34" s="824">
        <v>11450.376438115263</v>
      </c>
      <c r="IC34" s="824">
        <f t="shared" si="27"/>
        <v>11563.11</v>
      </c>
      <c r="IX34" s="824">
        <f t="shared" si="37"/>
        <v>11450.376438115263</v>
      </c>
    </row>
    <row r="35" ht="21" customHeight="1" spans="12:258" x14ac:dyDescent="0.25">
      <c r="L35" s="956" t="s">
        <v>871</v>
      </c>
      <c r="M35" s="909" t="s">
        <v>902</v>
      </c>
      <c r="N35" s="909"/>
      <c r="O35" s="932" t="s">
        <v>306</v>
      </c>
      <c r="P35" s="930">
        <v>363.362</v>
      </c>
      <c r="Q35" s="929">
        <f>ОТЧЁТ!V61</f>
        <v>475.2564</v>
      </c>
      <c r="R35" s="929">
        <f>ОТЧЁТ!W61</f>
        <v>514.8013</v>
      </c>
      <c r="S35" s="929">
        <f>ОТЧЁТ!X61</f>
        <v>393.4822</v>
      </c>
      <c r="T35" s="929">
        <f>ОТЧЁТ!Y61</f>
        <v>715.3195</v>
      </c>
      <c r="U35" s="929">
        <f>ОТЧЁТ!Z61</f>
        <v>1365.7338</v>
      </c>
      <c r="V35" s="929">
        <f>ОТЧЁТ!AA61</f>
        <v>1963.1104</v>
      </c>
      <c r="W35" s="929">
        <f>ОТЧЁТ!AB61</f>
        <v>2169.3</v>
      </c>
      <c r="X35" s="929">
        <f>ОТЧЁТ!AC61</f>
        <v>2755</v>
      </c>
      <c r="Y35" s="934">
        <f>ОТЧЁТ!AD61</f>
        <v>3558.9514</v>
      </c>
      <c r="Z35" s="934">
        <f>ОТЧЁТ!AE61</f>
        <v>4338.7305</v>
      </c>
      <c r="AA35" s="934">
        <f>ОТЧЁТ!AF61</f>
        <v>5698.7273</v>
      </c>
      <c r="AB35" s="934">
        <f>ОТЧЁТ!AG61</f>
        <v>8034.0982</v>
      </c>
      <c r="AC35" s="934">
        <f>ОТЧЁТ!AH61</f>
        <v>10526.1161</v>
      </c>
      <c r="AD35" s="934">
        <f>ОТЧЁТ!AI61</f>
        <v>7344.756</v>
      </c>
      <c r="AE35" s="933">
        <f>ОТЧЁТ!AJ61</f>
        <v>10472.63</v>
      </c>
      <c r="AF35" s="934">
        <f>ОТЧЁТ!AK61</f>
        <v>14735.8874</v>
      </c>
      <c r="AG35" s="934">
        <f>ОТЧЁТ!AL61</f>
        <v>16730.202400000002</v>
      </c>
      <c r="AH35" s="934">
        <f>ОТЧЁТ!AM61</f>
        <v>16915.862100000002</v>
      </c>
      <c r="AI35" s="934">
        <f>ОТЧЁТ!AN61</f>
        <v>17883.66</v>
      </c>
      <c r="AJ35" s="934">
        <f>ОТЧЁТ!AO61</f>
        <v>18603.39</v>
      </c>
      <c r="AK35" s="934">
        <f>ОТЧЁТ!AP61</f>
        <v>20242.85</v>
      </c>
      <c r="AL35" s="934">
        <f>ОТЧЁТ!AQ61</f>
        <v>22189.209</v>
      </c>
      <c r="AM35" s="934">
        <f>ОТЧЁТ!AR61</f>
        <v>23611.22</v>
      </c>
      <c r="AN35" s="682"/>
      <c r="AO35" s="897"/>
      <c r="AP35" s="682"/>
      <c r="AQ35" s="912" t="str">
        <f t="shared" si="19"/>
        <v>WN</v>
      </c>
      <c r="BD35" s="928">
        <v>2018</v>
      </c>
      <c r="BE35" s="549">
        <v>1.028</v>
      </c>
      <c r="BF35" s="607">
        <f t="shared" si="22"/>
        <v>1.0296899351853275</v>
      </c>
      <c r="BT35" s="902">
        <v>2018</v>
      </c>
      <c r="BU35" s="903">
        <v>1.96968238516704</v>
      </c>
      <c r="BV35" s="607">
        <v>1.870765053085236</v>
      </c>
      <c r="CJ35" s="553">
        <v>2021</v>
      </c>
      <c r="CK35" s="940"/>
      <c r="CL35" s="931"/>
      <c r="DA35" s="905">
        <f t="shared" si="34"/>
        <v>0</v>
      </c>
      <c r="DE35" s="795">
        <v>2019</v>
      </c>
      <c r="DF35" s="949"/>
      <c r="DG35" s="957"/>
      <c r="DX35" s="876">
        <v>2022</v>
      </c>
      <c r="DY35" s="951"/>
      <c r="DZ35" s="942"/>
      <c r="EA35" s="942"/>
      <c r="EB35" s="942"/>
      <c r="EC35" s="952"/>
      <c r="ED35" s="890"/>
      <c r="EE35" s="942"/>
      <c r="EF35" s="942"/>
      <c r="EG35" s="952"/>
      <c r="EH35" s="942"/>
      <c r="EI35" s="952"/>
      <c r="EJ35" s="890"/>
      <c r="EK35" s="942"/>
      <c r="EL35" s="890"/>
      <c r="EM35" s="793"/>
      <c r="EO35" s="885">
        <v>2022</v>
      </c>
      <c r="EP35" s="953"/>
      <c r="EQ35" s="954"/>
      <c r="FH35" s="863">
        <v>2022</v>
      </c>
      <c r="FI35" s="951"/>
      <c r="FJ35" s="879"/>
      <c r="FK35" s="879"/>
      <c r="FL35" s="935"/>
      <c r="GB35" s="795">
        <v>2022</v>
      </c>
      <c r="GC35" s="949"/>
      <c r="GD35" s="20"/>
      <c r="GE35" s="955"/>
      <c r="GU35" s="795">
        <v>2025</v>
      </c>
      <c r="GV35" s="949"/>
      <c r="GW35" s="822">
        <f t="shared" si="1"/>
        <v>30.38533393036174</v>
      </c>
      <c r="GX35" s="822">
        <f t="shared" si="26"/>
        <v>17.041103451246443</v>
      </c>
      <c r="HY35" s="824">
        <v>31</v>
      </c>
      <c r="HZ35" s="795">
        <v>2025</v>
      </c>
      <c r="IA35" s="950"/>
      <c r="IB35" s="824">
        <v>11948.374451382973</v>
      </c>
      <c r="IC35" s="824">
        <f t="shared" si="27"/>
        <v>12056.863100000002</v>
      </c>
      <c r="IX35" s="824">
        <f t="shared" si="37"/>
        <v>11948.374451382973</v>
      </c>
    </row>
    <row r="36" ht="21" customHeight="1" spans="12:258" x14ac:dyDescent="0.25">
      <c r="L36" s="956" t="s">
        <v>871</v>
      </c>
      <c r="M36" s="909"/>
      <c r="N36" s="909"/>
      <c r="O36" s="910" t="s">
        <v>502</v>
      </c>
      <c r="P36" s="929"/>
      <c r="Q36" s="921">
        <f>ОТЧЁТ!V131</f>
        <v>0.86</v>
      </c>
      <c r="R36" s="921">
        <f>ОТЧЁТ!W131</f>
        <v>0.959</v>
      </c>
      <c r="S36" s="921">
        <f>ОТЧЁТ!X131</f>
        <v>0.548</v>
      </c>
      <c r="T36" s="921">
        <f>ОТЧЁТ!Y131</f>
        <v>0.934</v>
      </c>
      <c r="U36" s="921">
        <f>ОТЧЁТ!Z131</f>
        <v>1.752</v>
      </c>
      <c r="V36" s="921">
        <f>ОТЧЁТ!AA131</f>
        <v>1.167</v>
      </c>
      <c r="W36" s="921">
        <f>ОТЧЁТ!AB131</f>
        <v>0.978</v>
      </c>
      <c r="X36" s="921">
        <f>ОТЧЁТ!AC131</f>
        <v>1.143</v>
      </c>
      <c r="Y36" s="921">
        <f>ОТЧЁТ!AD131</f>
        <v>1.122</v>
      </c>
      <c r="Z36" s="921">
        <f>ОТЧЁТ!AE131</f>
        <v>1.0953654188948307</v>
      </c>
      <c r="AA36" s="921">
        <f>ОТЧЁТ!AF131</f>
        <v>1.177</v>
      </c>
      <c r="AB36" s="921">
        <f>ОТЧЁТ!AG131</f>
        <v>1.22</v>
      </c>
      <c r="AC36" s="921">
        <f>ОТЧЁТ!AH131</f>
        <v>1.105</v>
      </c>
      <c r="AD36" s="921">
        <f>ОТЧЁТ!AI131</f>
        <v>0.59</v>
      </c>
      <c r="AE36" s="911">
        <f>ОТЧЁТ!AJ131</f>
        <v>1.285</v>
      </c>
      <c r="AF36" s="921">
        <f>ОТЧЁТ!AK131</f>
        <v>1.21</v>
      </c>
      <c r="AG36" s="921">
        <f>ОТЧЁТ!AL131</f>
        <v>1.044</v>
      </c>
      <c r="AH36" s="921">
        <f>ОТЧЁТ!AM131</f>
        <v>0.9440000000000001</v>
      </c>
      <c r="AI36" s="921">
        <f>ОТЧЁТ!AN131</f>
        <v>0.9390000000000001</v>
      </c>
      <c r="AJ36" s="921">
        <f>ОТЧЁТ!AO131</f>
        <v>0.882</v>
      </c>
      <c r="AK36" s="921">
        <f>ОТЧЁТ!AP131</f>
        <v>0.988</v>
      </c>
      <c r="AL36" s="921">
        <f>ОТЧЁТ!AQ131</f>
        <v>1.06</v>
      </c>
      <c r="AM36" s="921">
        <f>ОТЧЁТ!AR131</f>
        <v>1.008</v>
      </c>
      <c r="AN36" s="682"/>
      <c r="AO36" s="897"/>
      <c r="AP36" s="682"/>
      <c r="AQ36" s="912" t="str">
        <f t="shared" si="19"/>
        <v>pWN</v>
      </c>
      <c r="BD36" s="928">
        <v>2019</v>
      </c>
      <c r="BE36" s="958"/>
      <c r="BF36" s="438"/>
      <c r="BT36" s="902">
        <v>2019</v>
      </c>
      <c r="BU36" s="959"/>
      <c r="BV36" s="607"/>
      <c r="CJ36" s="553">
        <v>2022</v>
      </c>
      <c r="CK36" s="940"/>
      <c r="CL36" s="931"/>
      <c r="DA36" s="905">
        <f t="shared" si="34"/>
        <v>0</v>
      </c>
      <c r="DE36" s="795">
        <v>2020</v>
      </c>
      <c r="DF36" s="949"/>
      <c r="DG36" s="957"/>
      <c r="DX36" s="876">
        <v>2023</v>
      </c>
      <c r="DY36" s="951"/>
      <c r="DZ36" s="942"/>
      <c r="EA36" s="942"/>
      <c r="EB36" s="942"/>
      <c r="EC36" s="952"/>
      <c r="ED36" s="890"/>
      <c r="EE36" s="942"/>
      <c r="EF36" s="942"/>
      <c r="EG36" s="952"/>
      <c r="EH36" s="942"/>
      <c r="EI36" s="952"/>
      <c r="EJ36" s="890"/>
      <c r="EK36" s="942"/>
      <c r="EL36" s="890"/>
      <c r="EM36" s="793"/>
      <c r="EO36" s="885">
        <v>2023</v>
      </c>
      <c r="EP36" s="953"/>
      <c r="EQ36" s="954"/>
      <c r="FH36" s="863">
        <v>2023</v>
      </c>
      <c r="FI36" s="951"/>
      <c r="FJ36" s="879"/>
      <c r="FK36" s="879"/>
      <c r="FL36" s="935"/>
      <c r="GB36" s="795">
        <v>2023</v>
      </c>
      <c r="GC36" s="949"/>
      <c r="GD36" s="20"/>
      <c r="GE36" s="955"/>
      <c r="GU36" s="795">
        <v>2026</v>
      </c>
      <c r="GV36" s="949"/>
      <c r="GW36" s="822">
        <f t="shared" si="1"/>
        <v>31.904600626879827</v>
      </c>
      <c r="GX36" s="822">
        <f t="shared" si="26"/>
        <v>17.341158623808766</v>
      </c>
      <c r="HY36" s="824">
        <v>32</v>
      </c>
      <c r="HZ36" s="795">
        <v>2026</v>
      </c>
      <c r="IA36" s="950"/>
      <c r="IB36" s="824">
        <v>12470.493165184831</v>
      </c>
      <c r="IC36" s="824">
        <f t="shared" si="27"/>
        <v>12569.202400000002</v>
      </c>
      <c r="IX36" s="824">
        <f t="shared" si="37"/>
        <v>12470.493165184831</v>
      </c>
    </row>
    <row r="37" ht="21" customHeight="1" spans="12:258" x14ac:dyDescent="0.25">
      <c r="L37" s="622"/>
      <c r="M37" s="909"/>
      <c r="N37" s="909"/>
      <c r="O37" s="910" t="s">
        <v>903</v>
      </c>
      <c r="P37" s="929">
        <v>1</v>
      </c>
      <c r="Q37" s="921">
        <f>P37*Q36</f>
        <v>0.86</v>
      </c>
      <c r="R37" s="921">
        <f t="shared" ref="R37:AI37" si="43">Q37*R36</f>
        <v>0.8247399999999999</v>
      </c>
      <c r="S37" s="921">
        <f t="shared" si="43"/>
        <v>0.45195752</v>
      </c>
      <c r="T37" s="921">
        <f t="shared" si="43"/>
        <v>0.42212832368000003</v>
      </c>
      <c r="U37" s="921">
        <f t="shared" si="43"/>
        <v>0.73956882308736</v>
      </c>
      <c r="V37" s="921">
        <f t="shared" si="43"/>
        <v>0.8630768165429492</v>
      </c>
      <c r="W37" s="921">
        <f t="shared" si="43"/>
        <v>0.8440891265790043</v>
      </c>
      <c r="X37" s="921">
        <f t="shared" si="43"/>
        <v>0.9647938716798019</v>
      </c>
      <c r="Y37" s="921">
        <f t="shared" si="43"/>
        <v>1.082498724024738</v>
      </c>
      <c r="Z37" s="921">
        <f t="shared" si="43"/>
        <v>1.1857316682944767</v>
      </c>
      <c r="AA37" s="921">
        <f t="shared" si="43"/>
        <v>1.395606173582599</v>
      </c>
      <c r="AB37" s="921">
        <f t="shared" si="43"/>
        <v>1.7026395317707708</v>
      </c>
      <c r="AC37" s="921">
        <f t="shared" si="43"/>
        <v>1.8814166826067016</v>
      </c>
      <c r="AD37" s="921">
        <f t="shared" si="43"/>
        <v>1.110035842737954</v>
      </c>
      <c r="AE37" s="911">
        <f t="shared" si="43"/>
        <v>1.4263960579182708</v>
      </c>
      <c r="AF37" s="921">
        <f t="shared" si="43"/>
        <v>1.7259392300811076</v>
      </c>
      <c r="AG37" s="921">
        <f t="shared" si="43"/>
        <v>1.8018805562046765</v>
      </c>
      <c r="AH37" s="921">
        <f t="shared" si="43"/>
        <v>1.7009752450572146</v>
      </c>
      <c r="AI37" s="921">
        <f t="shared" si="43"/>
        <v>1.5972157551087247</v>
      </c>
      <c r="AJ37" s="921">
        <f>AI37*AJ36</f>
        <v>1.4087442960058951</v>
      </c>
      <c r="AK37" s="921">
        <f>AJ37*AK36</f>
        <v>1.3918393644538243</v>
      </c>
      <c r="AL37" s="921">
        <f>AK37*AL36</f>
        <v>1.4753497263210538</v>
      </c>
      <c r="AM37" s="921">
        <f>AL37*AM36</f>
        <v>1.4871525241316221</v>
      </c>
      <c r="AN37" s="682"/>
      <c r="AO37" s="897"/>
      <c r="AP37" s="682"/>
      <c r="AQ37" s="912" t="str">
        <f t="shared" si="19"/>
        <v>Pk</v>
      </c>
      <c r="BD37" s="960">
        <v>2020</v>
      </c>
      <c r="BE37" s="961"/>
      <c r="BF37" s="514"/>
      <c r="BT37" s="902">
        <v>2020</v>
      </c>
      <c r="BU37" s="962"/>
      <c r="BV37" s="963"/>
      <c r="CJ37" s="553">
        <v>2023</v>
      </c>
      <c r="CK37" s="940"/>
      <c r="CL37" s="931"/>
      <c r="DA37" s="905">
        <f t="shared" si="34"/>
        <v>0</v>
      </c>
      <c r="DE37" s="795">
        <v>2021</v>
      </c>
      <c r="DF37" s="949"/>
      <c r="DG37" s="957"/>
      <c r="DX37" s="876">
        <v>2024</v>
      </c>
      <c r="DY37" s="951"/>
      <c r="DZ37" s="942"/>
      <c r="EA37" s="942"/>
      <c r="EB37" s="942"/>
      <c r="EC37" s="952"/>
      <c r="ED37" s="890"/>
      <c r="EE37" s="942"/>
      <c r="EF37" s="942"/>
      <c r="EG37" s="952"/>
      <c r="EH37" s="942"/>
      <c r="EI37" s="952"/>
      <c r="EJ37" s="890"/>
      <c r="EK37" s="942"/>
      <c r="EL37" s="890"/>
      <c r="EM37" s="793"/>
      <c r="EO37" s="885">
        <v>2024</v>
      </c>
      <c r="EP37" s="953"/>
      <c r="EQ37" s="954"/>
      <c r="FH37" s="863">
        <v>2024</v>
      </c>
      <c r="FI37" s="951"/>
      <c r="FJ37" s="879"/>
      <c r="FK37" s="879"/>
      <c r="FL37" s="935"/>
      <c r="GB37" s="795">
        <v>2024</v>
      </c>
      <c r="GC37" s="949"/>
      <c r="GD37" s="20"/>
      <c r="GE37" s="955"/>
      <c r="GU37" s="795">
        <v>2027</v>
      </c>
      <c r="GV37" s="949"/>
      <c r="GW37" s="822">
        <f t="shared" si="1"/>
        <v>33.49983065822382</v>
      </c>
      <c r="GX37" s="822">
        <f t="shared" si="26"/>
        <v>17.656216554999205</v>
      </c>
      <c r="HY37" s="824">
        <v>33</v>
      </c>
      <c r="HZ37" s="795">
        <v>2027</v>
      </c>
      <c r="IA37" s="950"/>
      <c r="IB37" s="824">
        <v>13017.144068658055</v>
      </c>
      <c r="IC37" s="824">
        <f t="shared" si="27"/>
        <v>13100.1279</v>
      </c>
      <c r="IX37" s="824">
        <f t="shared" si="37"/>
        <v>13017.144068658055</v>
      </c>
    </row>
    <row r="38" ht="21" customHeight="1" spans="12:258" x14ac:dyDescent="0.25">
      <c r="L38" s="622"/>
      <c r="M38" s="909"/>
      <c r="N38" s="909"/>
      <c r="O38" s="910" t="s">
        <v>631</v>
      </c>
      <c r="P38" s="929">
        <v>1</v>
      </c>
      <c r="Q38" s="929">
        <f>Q35/Q39</f>
        <v>1.5208627234830072</v>
      </c>
      <c r="R38" s="929">
        <f t="shared" ref="R38:AM38" si="44">R35/R39</f>
        <v>1.7178414165358655</v>
      </c>
      <c r="S38" s="929">
        <f t="shared" si="44"/>
        <v>2.396006361037087</v>
      </c>
      <c r="T38" s="929">
        <f t="shared" si="44"/>
        <v>4.663543841500785</v>
      </c>
      <c r="U38" s="929">
        <f t="shared" si="44"/>
        <v>5.082155573958843</v>
      </c>
      <c r="V38" s="929">
        <f t="shared" si="44"/>
        <v>6.2597323676099625</v>
      </c>
      <c r="W38" s="929">
        <f t="shared" si="44"/>
        <v>7.072806931090499</v>
      </c>
      <c r="X38" s="929">
        <f t="shared" si="44"/>
        <v>7.858642990356409</v>
      </c>
      <c r="Y38" s="929">
        <f t="shared" si="44"/>
        <v>9.048053441200452</v>
      </c>
      <c r="Z38" s="929">
        <f t="shared" si="44"/>
        <v>10.070168753275148</v>
      </c>
      <c r="AA38" s="929">
        <f t="shared" si="44"/>
        <v>11.237649593940658</v>
      </c>
      <c r="AB38" s="929">
        <f t="shared" si="44"/>
        <v>12.98598556755597</v>
      </c>
      <c r="AC38" s="929">
        <f t="shared" si="44"/>
        <v>15.397267606350981</v>
      </c>
      <c r="AD38" s="929">
        <f t="shared" si="44"/>
        <v>18.20961916652691</v>
      </c>
      <c r="AE38" s="930">
        <f t="shared" si="44"/>
        <v>20.205803391972644</v>
      </c>
      <c r="AF38" s="929">
        <f t="shared" si="44"/>
        <v>23.49693885735089</v>
      </c>
      <c r="AG38" s="929">
        <f t="shared" si="44"/>
        <v>25.55263484638468</v>
      </c>
      <c r="AH38" s="929">
        <f t="shared" si="44"/>
        <v>27.368855432385335</v>
      </c>
      <c r="AI38" s="929">
        <f t="shared" si="44"/>
        <v>30.814371333057384</v>
      </c>
      <c r="AJ38" s="929">
        <f t="shared" si="44"/>
        <v>36.34296976353654</v>
      </c>
      <c r="AK38" s="929">
        <f t="shared" si="44"/>
        <v>40.02607773579315</v>
      </c>
      <c r="AL38" s="929">
        <f t="shared" si="44"/>
        <v>41.391134765439006</v>
      </c>
      <c r="AM38" s="929">
        <f t="shared" si="44"/>
        <v>43.69416133637967</v>
      </c>
      <c r="AN38" s="682"/>
      <c r="AO38" s="897"/>
      <c r="AP38" s="682"/>
      <c r="AQ38" s="912" t="str">
        <f t="shared" si="19"/>
        <v>Dk</v>
      </c>
      <c r="CJ38" s="553">
        <v>2024</v>
      </c>
      <c r="CK38" s="940"/>
      <c r="CL38" s="931"/>
      <c r="DA38" s="905">
        <f t="shared" si="34"/>
        <v>0</v>
      </c>
      <c r="DE38" s="795">
        <v>2022</v>
      </c>
      <c r="DF38" s="949"/>
      <c r="DG38" s="957"/>
      <c r="DX38" s="876">
        <v>2025</v>
      </c>
      <c r="DY38" s="951"/>
      <c r="DZ38" s="942"/>
      <c r="EA38" s="942"/>
      <c r="EB38" s="942"/>
      <c r="EC38" s="952"/>
      <c r="ED38" s="890"/>
      <c r="EE38" s="942"/>
      <c r="EF38" s="942"/>
      <c r="EG38" s="952"/>
      <c r="EH38" s="942"/>
      <c r="EI38" s="952"/>
      <c r="EJ38" s="890"/>
      <c r="EK38" s="942"/>
      <c r="EL38" s="890"/>
      <c r="EM38" s="793"/>
      <c r="EO38" s="885">
        <v>2025</v>
      </c>
      <c r="EP38" s="953"/>
      <c r="EQ38" s="954"/>
      <c r="FH38" s="863">
        <v>2025</v>
      </c>
      <c r="FI38" s="951"/>
      <c r="FJ38" s="879"/>
      <c r="FK38" s="879"/>
      <c r="FL38" s="935"/>
      <c r="GB38" s="795">
        <v>2025</v>
      </c>
      <c r="GC38" s="949"/>
      <c r="GD38" s="20"/>
      <c r="GE38" s="955"/>
      <c r="GU38" s="795">
        <v>2028</v>
      </c>
      <c r="GV38" s="949"/>
      <c r="GW38" s="822">
        <f t="shared" si="1"/>
        <v>35.174822191135014</v>
      </c>
      <c r="GX38" s="822">
        <f t="shared" si="26"/>
        <v>17.987027382749165</v>
      </c>
      <c r="HY38" s="824">
        <v>34</v>
      </c>
      <c r="HZ38" s="795">
        <v>2028</v>
      </c>
      <c r="IA38" s="950"/>
      <c r="IB38" s="824">
        <v>13588.769822736602</v>
      </c>
      <c r="IC38" s="824">
        <f t="shared" si="27"/>
        <v>13649.639600000002</v>
      </c>
      <c r="IX38" s="824">
        <f t="shared" si="37"/>
        <v>13588.769822736602</v>
      </c>
    </row>
    <row r="39" ht="21" customHeight="1" spans="12:258" x14ac:dyDescent="0.25">
      <c r="L39" s="622"/>
      <c r="M39" s="909"/>
      <c r="N39" s="909"/>
      <c r="O39" s="910" t="s">
        <v>609</v>
      </c>
      <c r="P39" s="929">
        <v>363.362</v>
      </c>
      <c r="Q39" s="929">
        <f t="shared" ref="Q39:AM39" si="45">$P39*Q37</f>
        <v>312.49132000000003</v>
      </c>
      <c r="R39" s="929">
        <f t="shared" si="45"/>
        <v>299.67917588</v>
      </c>
      <c r="S39" s="929">
        <f t="shared" si="45"/>
        <v>164.22418838224002</v>
      </c>
      <c r="T39" s="929">
        <f t="shared" si="45"/>
        <v>153.3853919490122</v>
      </c>
      <c r="U39" s="929">
        <f t="shared" si="45"/>
        <v>268.73120669466937</v>
      </c>
      <c r="V39" s="929">
        <f t="shared" si="45"/>
        <v>313.6093182126791</v>
      </c>
      <c r="W39" s="929">
        <f t="shared" si="45"/>
        <v>306.7099132120002</v>
      </c>
      <c r="X39" s="929">
        <f t="shared" si="45"/>
        <v>350.56943080131623</v>
      </c>
      <c r="Y39" s="929">
        <f t="shared" si="45"/>
        <v>393.33890135907683</v>
      </c>
      <c r="Z39" s="929">
        <f t="shared" si="45"/>
        <v>430.84983045481766</v>
      </c>
      <c r="AA39" s="929">
        <f t="shared" si="45"/>
        <v>507.1102504453204</v>
      </c>
      <c r="AB39" s="929">
        <f t="shared" si="45"/>
        <v>618.6745055432908</v>
      </c>
      <c r="AC39" s="929">
        <f t="shared" si="45"/>
        <v>683.6353286253363</v>
      </c>
      <c r="AD39" s="929">
        <f t="shared" si="45"/>
        <v>403.34484388894845</v>
      </c>
      <c r="AE39" s="930">
        <f t="shared" si="45"/>
        <v>518.2981243972988</v>
      </c>
      <c r="AF39" s="929">
        <f t="shared" si="45"/>
        <v>627.1407305207315</v>
      </c>
      <c r="AG39" s="929">
        <f t="shared" si="45"/>
        <v>654.7349226636437</v>
      </c>
      <c r="AH39" s="929">
        <f t="shared" si="45"/>
        <v>618.0697669944797</v>
      </c>
      <c r="AI39" s="929">
        <f t="shared" si="45"/>
        <v>580.3675112078165</v>
      </c>
      <c r="AJ39" s="929">
        <f t="shared" si="45"/>
        <v>511.8841448852941</v>
      </c>
      <c r="AK39" s="929">
        <f t="shared" si="45"/>
        <v>505.7415351466705</v>
      </c>
      <c r="AL39" s="929">
        <f t="shared" si="45"/>
        <v>536.0860272554708</v>
      </c>
      <c r="AM39" s="929">
        <f t="shared" si="45"/>
        <v>540.3747154735145</v>
      </c>
      <c r="AN39" s="682"/>
      <c r="AO39" s="897"/>
      <c r="AP39" s="682"/>
      <c r="AQ39" s="912" t="str">
        <f t="shared" si="19"/>
        <v>WNS</v>
      </c>
      <c r="CJ39" s="553">
        <v>2025</v>
      </c>
      <c r="CK39" s="940"/>
      <c r="CL39" s="931"/>
      <c r="DA39" s="905">
        <f t="shared" si="34"/>
        <v>0</v>
      </c>
      <c r="DE39" s="795">
        <v>2023</v>
      </c>
      <c r="DF39" s="949"/>
      <c r="DG39" s="957"/>
      <c r="DX39" s="876">
        <v>2026</v>
      </c>
      <c r="DY39" s="951"/>
      <c r="DZ39" s="942"/>
      <c r="EA39" s="942"/>
      <c r="EB39" s="942"/>
      <c r="EC39" s="952"/>
      <c r="ED39" s="890"/>
      <c r="EE39" s="942"/>
      <c r="EF39" s="942"/>
      <c r="EG39" s="952"/>
      <c r="EH39" s="942"/>
      <c r="EI39" s="952"/>
      <c r="EJ39" s="890"/>
      <c r="EK39" s="942"/>
      <c r="EL39" s="890"/>
      <c r="EM39" s="793"/>
      <c r="EO39" s="885">
        <v>2026</v>
      </c>
      <c r="EP39" s="953"/>
      <c r="EQ39" s="954"/>
      <c r="FH39" s="863">
        <v>2026</v>
      </c>
      <c r="FI39" s="951"/>
      <c r="FJ39" s="879"/>
      <c r="FK39" s="879"/>
      <c r="FL39" s="935"/>
      <c r="GB39" s="795">
        <v>2026</v>
      </c>
      <c r="GC39" s="949"/>
      <c r="GD39" s="20"/>
      <c r="GE39" s="955"/>
      <c r="GU39" s="795">
        <v>2029</v>
      </c>
      <c r="GV39" s="949"/>
      <c r="GW39" s="822">
        <f t="shared" si="1"/>
        <v>36.933563300691766</v>
      </c>
      <c r="GX39" s="822">
        <f t="shared" si="26"/>
        <v>18.334378751886625</v>
      </c>
      <c r="HY39" s="824">
        <v>35</v>
      </c>
      <c r="HZ39" s="795">
        <v>2029</v>
      </c>
      <c r="IA39" s="950"/>
      <c r="IB39" s="824">
        <v>14185.83670455504</v>
      </c>
      <c r="IC39" s="824">
        <f t="shared" si="27"/>
        <v>14217.737500000001</v>
      </c>
      <c r="IX39" s="824">
        <f t="shared" si="37"/>
        <v>14185.83670455504</v>
      </c>
    </row>
    <row r="40" ht="21" customHeight="1" spans="7:258" x14ac:dyDescent="0.25">
      <c r="G40" s="187"/>
      <c r="H40" s="187"/>
      <c r="I40" s="187"/>
      <c r="J40" s="187"/>
      <c r="L40" s="622"/>
      <c r="M40" s="909" t="s">
        <v>904</v>
      </c>
      <c r="N40" s="909"/>
      <c r="O40" s="932" t="s">
        <v>327</v>
      </c>
      <c r="P40" s="930">
        <f>ОТЧЁТ!U70</f>
        <v>272.5015</v>
      </c>
      <c r="Q40" s="929">
        <f>ОТЧЁТ!V70</f>
        <v>391.3813</v>
      </c>
      <c r="R40" s="929">
        <f>ОТЧЁТ!W70</f>
        <v>493.5735</v>
      </c>
      <c r="S40" s="929">
        <f>ОТЧЁТ!X70</f>
        <v>492.6206</v>
      </c>
      <c r="T40" s="929">
        <f>ОТЧЁТ!Y70</f>
        <v>703.2091</v>
      </c>
      <c r="U40" s="929">
        <f>ОТЧЁТ!Z70</f>
        <v>1102.4971</v>
      </c>
      <c r="V40" s="929">
        <f>ОТЧЁТ!AA70</f>
        <v>1469.9576</v>
      </c>
      <c r="W40" s="929">
        <f>ОТЧЁТ!AB70</f>
        <v>1942.4418</v>
      </c>
      <c r="X40" s="929">
        <f>ОТЧЁТ!AC70</f>
        <v>2366.3687</v>
      </c>
      <c r="Y40" s="929">
        <f>ОТЧЁТ!AD70</f>
        <v>2889.8145</v>
      </c>
      <c r="Z40" s="929">
        <f>ОТЧЁТ!AE70</f>
        <v>3645.9185</v>
      </c>
      <c r="AA40" s="929">
        <f>ОТЧЁТ!AF70</f>
        <v>4680.4097</v>
      </c>
      <c r="AB40" s="934">
        <f>ОТЧЁТ!AG70</f>
        <v>5750.9641</v>
      </c>
      <c r="AC40" s="934">
        <f>ОТЧЁТ!AH70</f>
        <v>7359.8442</v>
      </c>
      <c r="AD40" s="934">
        <f>ОТЧЁТ!AI70</f>
        <v>8066.7</v>
      </c>
      <c r="AE40" s="964">
        <f>ОТЧЁТ!AJ70</f>
        <v>8671.323</v>
      </c>
      <c r="AF40" s="934">
        <f>ОТЧЁТ!AK70</f>
        <v>10527.4218</v>
      </c>
      <c r="AG40" s="934">
        <f>ОТЧЁТ!AL70</f>
        <v>12155.9717</v>
      </c>
      <c r="AH40" s="934">
        <f>ОТЧЁТ!AM70</f>
        <v>13551.9461</v>
      </c>
      <c r="AI40" s="934">
        <f>ОТЧЁТ!AN70</f>
        <v>14173.19</v>
      </c>
      <c r="AJ40" s="934">
        <f>ОТЧЁТ!AO70</f>
        <v>14684.12</v>
      </c>
      <c r="AK40" s="934">
        <f>ОТЧЁТ!AP70</f>
        <v>15728.49</v>
      </c>
      <c r="AL40" s="934">
        <f>ОТЧЁТ!AQ70</f>
        <v>16649.19</v>
      </c>
      <c r="AM40" s="934">
        <f>ОТЧЁТ!AR70</f>
        <v>18049.3</v>
      </c>
      <c r="AN40" s="682"/>
      <c r="AO40" s="897"/>
      <c r="AP40" s="682"/>
      <c r="AQ40" s="912" t="str">
        <f t="shared" si="19"/>
        <v>YG</v>
      </c>
      <c r="CJ40" s="553">
        <v>2026</v>
      </c>
      <c r="CK40" s="940"/>
      <c r="CL40" s="931"/>
      <c r="DA40" s="905">
        <f t="shared" si="34"/>
        <v>0</v>
      </c>
      <c r="DE40" s="795">
        <v>2024</v>
      </c>
      <c r="DF40" s="949"/>
      <c r="DG40" s="957"/>
      <c r="DX40" s="876">
        <v>2027</v>
      </c>
      <c r="DY40" s="951"/>
      <c r="DZ40" s="942"/>
      <c r="EA40" s="942"/>
      <c r="EB40" s="942"/>
      <c r="EC40" s="952"/>
      <c r="ED40" s="890"/>
      <c r="EE40" s="942"/>
      <c r="EF40" s="942"/>
      <c r="EG40" s="952"/>
      <c r="EH40" s="942"/>
      <c r="EI40" s="952"/>
      <c r="EJ40" s="890"/>
      <c r="EK40" s="942"/>
      <c r="EL40" s="890"/>
      <c r="EM40" s="793"/>
      <c r="EO40" s="885">
        <v>2027</v>
      </c>
      <c r="EP40" s="953"/>
      <c r="EQ40" s="954"/>
      <c r="FH40" s="863">
        <v>2027</v>
      </c>
      <c r="FI40" s="951"/>
      <c r="FJ40" s="879"/>
      <c r="FK40" s="879"/>
      <c r="FL40" s="935"/>
      <c r="GB40" s="795">
        <v>2027</v>
      </c>
      <c r="GC40" s="949"/>
      <c r="GD40" s="20"/>
      <c r="GE40" s="955"/>
      <c r="GU40" s="795">
        <v>2030</v>
      </c>
      <c r="GV40" s="949"/>
      <c r="GW40" s="822">
        <f t="shared" si="1"/>
        <v>38.780241465726355</v>
      </c>
      <c r="GX40" s="822">
        <f t="shared" si="26"/>
        <v>18.699097689480954</v>
      </c>
      <c r="HY40" s="824">
        <v>36</v>
      </c>
      <c r="HZ40" s="795">
        <v>2030</v>
      </c>
      <c r="IA40" s="950"/>
      <c r="IB40" s="824">
        <v>14808.82788562779</v>
      </c>
      <c r="IC40" s="824">
        <f t="shared" si="27"/>
        <v>14804.4216</v>
      </c>
      <c r="IX40" s="824">
        <f t="shared" si="37"/>
        <v>14808.82788562779</v>
      </c>
    </row>
    <row r="41" ht="21" customHeight="1" spans="12:258" x14ac:dyDescent="0.25">
      <c r="L41" s="622"/>
      <c r="M41" s="909"/>
      <c r="N41" s="909"/>
      <c r="O41" s="910" t="s">
        <v>518</v>
      </c>
      <c r="P41" s="636"/>
      <c r="Q41" s="921">
        <f>ОТЧЁТ!V136</f>
        <v>1.031</v>
      </c>
      <c r="R41" s="921">
        <f>ОТЧЁТ!W136</f>
        <v>0.976</v>
      </c>
      <c r="S41" s="921">
        <f>ОТЧЁТ!X136</f>
        <v>1.01</v>
      </c>
      <c r="T41" s="921">
        <f>ОТЧЁТ!Y136</f>
        <v>1.031</v>
      </c>
      <c r="U41" s="921">
        <f>ОТЧЁТ!Z136</f>
        <v>1.02</v>
      </c>
      <c r="V41" s="921">
        <f>ОТЧЁТ!AA136</f>
        <v>0.992</v>
      </c>
      <c r="W41" s="921">
        <f>ОТЧЁТ!AB136</f>
        <v>1.026</v>
      </c>
      <c r="X41" s="921">
        <f>ОТЧЁТ!AC136</f>
        <v>1.024</v>
      </c>
      <c r="Y41" s="921">
        <f>ОТЧЁТ!AD136</f>
        <v>1.021</v>
      </c>
      <c r="Z41" s="921">
        <f>ОТЧЁТ!AE136</f>
        <v>1.014</v>
      </c>
      <c r="AA41" s="921">
        <f>ОТЧЁТ!AF136</f>
        <v>1.023</v>
      </c>
      <c r="AB41" s="921">
        <f>ОТЧЁТ!AG136</f>
        <v>1.027</v>
      </c>
      <c r="AC41" s="921">
        <f>ОТЧЁТ!AH136</f>
        <v>1.034</v>
      </c>
      <c r="AD41" s="921">
        <f>ОТЧЁТ!AI136</f>
        <v>0.994</v>
      </c>
      <c r="AE41" s="965">
        <f>ОТЧЁТ!AJ136</f>
        <v>0.985</v>
      </c>
      <c r="AF41" s="921">
        <f>ОТЧЁТ!AK136</f>
        <v>1.014</v>
      </c>
      <c r="AG41" s="921">
        <f>ОТЧЁТ!AL136</f>
        <v>1.026</v>
      </c>
      <c r="AH41" s="921">
        <f>ОТЧЁТ!AM136</f>
        <v>1.0090000000000001</v>
      </c>
      <c r="AI41" s="921">
        <f>ОТЧЁТ!AN136</f>
        <v>0.9790000000000001</v>
      </c>
      <c r="AJ41" s="921">
        <f>ОТЧЁТ!AO136</f>
        <v>0.964</v>
      </c>
      <c r="AK41" s="921">
        <f>ОТЧЁТ!AP136</f>
        <v>1.015</v>
      </c>
      <c r="AL41" s="921">
        <f>ОТЧЁТ!AQ136</f>
        <v>1.025</v>
      </c>
      <c r="AM41" s="921">
        <f>ОТЧЁТ!AR136</f>
        <v>1.003</v>
      </c>
      <c r="AN41" s="682"/>
      <c r="AO41" s="897"/>
      <c r="AP41" s="682"/>
      <c r="AQ41" s="912" t="str">
        <f t="shared" si="19"/>
        <v>pYG</v>
      </c>
      <c r="BD41" s="869" t="s">
        <v>159</v>
      </c>
      <c r="BE41" s="966" t="s">
        <v>905</v>
      </c>
      <c r="BF41" s="966" t="s">
        <v>906</v>
      </c>
      <c r="BT41" s="869" t="s">
        <v>159</v>
      </c>
      <c r="BU41" s="966" t="s">
        <v>713</v>
      </c>
      <c r="BV41" s="966" t="s">
        <v>391</v>
      </c>
      <c r="CJ41" s="553">
        <v>2027</v>
      </c>
      <c r="CK41" s="940"/>
      <c r="CL41" s="931"/>
      <c r="DA41" s="905">
        <f t="shared" si="34"/>
        <v>0</v>
      </c>
      <c r="DE41" s="795">
        <v>2025</v>
      </c>
      <c r="DF41" s="949"/>
      <c r="DG41" s="957"/>
      <c r="DX41" s="876">
        <v>2028</v>
      </c>
      <c r="DY41" s="951"/>
      <c r="DZ41" s="942"/>
      <c r="EA41" s="942"/>
      <c r="EB41" s="942"/>
      <c r="EC41" s="952"/>
      <c r="ED41" s="890"/>
      <c r="EE41" s="942"/>
      <c r="EF41" s="942"/>
      <c r="EG41" s="952"/>
      <c r="EH41" s="942"/>
      <c r="EI41" s="952"/>
      <c r="EJ41" s="890"/>
      <c r="EK41" s="942"/>
      <c r="EL41" s="890"/>
      <c r="EM41" s="793"/>
      <c r="EO41" s="885">
        <v>2028</v>
      </c>
      <c r="EP41" s="953"/>
      <c r="EQ41" s="954"/>
      <c r="FH41" s="863">
        <v>2028</v>
      </c>
      <c r="FI41" s="951"/>
      <c r="FJ41" s="879"/>
      <c r="FK41" s="879"/>
      <c r="FL41" s="935"/>
      <c r="GB41" s="795">
        <v>2028</v>
      </c>
      <c r="GC41" s="949"/>
      <c r="GD41" s="20"/>
      <c r="GE41" s="955"/>
      <c r="GU41" s="795">
        <v>2031</v>
      </c>
      <c r="GV41" s="949"/>
      <c r="GW41" s="822">
        <f t="shared" si="1"/>
        <v>40.719253539012676</v>
      </c>
      <c r="GX41" s="822">
        <f t="shared" si="26"/>
        <v>19.082052573955004</v>
      </c>
      <c r="HY41" s="824">
        <v>37</v>
      </c>
      <c r="HZ41" s="795">
        <v>2031</v>
      </c>
      <c r="IA41" s="950"/>
      <c r="IB41" s="824">
        <v>15458.237424001558</v>
      </c>
      <c r="IC41" s="824">
        <f t="shared" si="27"/>
        <v>15409.691900000002</v>
      </c>
      <c r="IX41" s="824">
        <f t="shared" si="37"/>
        <v>15458.237424001558</v>
      </c>
    </row>
    <row r="42" ht="21" customHeight="1" spans="12:258" x14ac:dyDescent="0.25">
      <c r="L42" s="622"/>
      <c r="M42" s="909"/>
      <c r="N42" s="909"/>
      <c r="O42" s="910" t="s">
        <v>769</v>
      </c>
      <c r="P42" s="636">
        <v>1</v>
      </c>
      <c r="Q42" s="921">
        <f>P42*Q41</f>
        <v>1.031</v>
      </c>
      <c r="R42" s="921">
        <f t="shared" ref="R42:AM42" si="46">Q42*R41</f>
        <v>1.0062559999999998</v>
      </c>
      <c r="S42" s="921">
        <f t="shared" si="46"/>
        <v>1.0163185599999998</v>
      </c>
      <c r="T42" s="921">
        <f t="shared" si="46"/>
        <v>1.0478244353599997</v>
      </c>
      <c r="U42" s="921">
        <f t="shared" si="46"/>
        <v>1.0687809240671997</v>
      </c>
      <c r="V42" s="921">
        <f t="shared" si="46"/>
        <v>1.060230676674662</v>
      </c>
      <c r="W42" s="921">
        <f t="shared" si="46"/>
        <v>1.0877966742682033</v>
      </c>
      <c r="X42" s="921">
        <f t="shared" si="46"/>
        <v>1.1139037944506402</v>
      </c>
      <c r="Y42" s="921">
        <f t="shared" si="46"/>
        <v>1.1372957741341037</v>
      </c>
      <c r="Z42" s="921">
        <f t="shared" si="46"/>
        <v>1.1532179149719812</v>
      </c>
      <c r="AA42" s="921">
        <f t="shared" si="46"/>
        <v>1.1797419270163367</v>
      </c>
      <c r="AB42" s="921">
        <f t="shared" si="46"/>
        <v>1.2115949590457777</v>
      </c>
      <c r="AC42" s="921">
        <f t="shared" si="46"/>
        <v>1.2527891876533341</v>
      </c>
      <c r="AD42" s="921">
        <f t="shared" si="46"/>
        <v>1.2452724525274141</v>
      </c>
      <c r="AE42" s="965">
        <f t="shared" si="46"/>
        <v>1.226593365739503</v>
      </c>
      <c r="AF42" s="921">
        <f t="shared" si="46"/>
        <v>1.243765672859856</v>
      </c>
      <c r="AG42" s="921">
        <f t="shared" si="46"/>
        <v>1.2761035803542125</v>
      </c>
      <c r="AH42" s="921">
        <f t="shared" si="46"/>
        <v>1.2875885125774005</v>
      </c>
      <c r="AI42" s="921">
        <f t="shared" si="46"/>
        <v>1.2605491538132751</v>
      </c>
      <c r="AJ42" s="921">
        <f t="shared" si="46"/>
        <v>1.2151693842759972</v>
      </c>
      <c r="AK42" s="921">
        <f t="shared" si="46"/>
        <v>1.233396925040137</v>
      </c>
      <c r="AL42" s="921">
        <f t="shared" si="46"/>
        <v>1.2642318481661403</v>
      </c>
      <c r="AM42" s="921">
        <f t="shared" si="46"/>
        <v>1.2680245437106386</v>
      </c>
      <c r="AN42" s="682"/>
      <c r="AO42" s="897"/>
      <c r="AP42" s="682"/>
      <c r="AQ42" s="912" t="str">
        <f t="shared" si="19"/>
        <v>Pg</v>
      </c>
      <c r="BD42" s="967">
        <v>43910</v>
      </c>
      <c r="BE42" s="913" t="s">
        <v>840</v>
      </c>
      <c r="BF42" s="913" t="s">
        <v>840</v>
      </c>
      <c r="BT42" s="967">
        <v>43910</v>
      </c>
      <c r="BU42" s="913" t="s">
        <v>840</v>
      </c>
      <c r="BV42" s="913" t="s">
        <v>840</v>
      </c>
      <c r="CJ42" s="553">
        <v>2028</v>
      </c>
      <c r="CK42" s="940"/>
      <c r="CL42" s="931"/>
      <c r="DA42" s="905">
        <f t="shared" si="34"/>
        <v>0</v>
      </c>
      <c r="DE42" s="795">
        <v>2026</v>
      </c>
      <c r="DF42" s="949"/>
      <c r="DG42" s="957"/>
      <c r="DX42" s="968">
        <v>2029</v>
      </c>
      <c r="DY42" s="951"/>
      <c r="DZ42" s="942"/>
      <c r="EA42" s="942"/>
      <c r="EB42" s="942"/>
      <c r="EC42" s="952"/>
      <c r="ED42" s="890"/>
      <c r="EE42" s="942"/>
      <c r="EF42" s="942"/>
      <c r="EG42" s="952"/>
      <c r="EH42" s="942"/>
      <c r="EI42" s="952"/>
      <c r="EJ42" s="890"/>
      <c r="EK42" s="942"/>
      <c r="EL42" s="890"/>
      <c r="EM42" s="793"/>
      <c r="EO42" s="885">
        <v>2029</v>
      </c>
      <c r="EP42" s="953"/>
      <c r="EQ42" s="954"/>
      <c r="FH42" s="863">
        <v>2029</v>
      </c>
      <c r="FI42" s="951"/>
      <c r="FJ42" s="879"/>
      <c r="FK42" s="879"/>
      <c r="FL42" s="935"/>
      <c r="GB42" s="795">
        <v>2029</v>
      </c>
      <c r="GC42" s="949"/>
      <c r="GD42" s="20"/>
      <c r="GE42" s="955"/>
      <c r="GU42" s="795">
        <v>2032</v>
      </c>
      <c r="GV42" s="949"/>
      <c r="GW42" s="822">
        <f t="shared" si="1"/>
        <v>42.755216215963316</v>
      </c>
      <c r="GX42" s="822">
        <f t="shared" si="26"/>
        <v>19.484155202652754</v>
      </c>
      <c r="HY42" s="824">
        <v>38</v>
      </c>
      <c r="HZ42" s="795">
        <v>2032</v>
      </c>
      <c r="IA42" s="950"/>
      <c r="IB42" s="824">
        <v>16134.564868588497</v>
      </c>
      <c r="IC42" s="824">
        <f t="shared" si="27"/>
        <v>16033.548400000001</v>
      </c>
      <c r="IX42" s="824">
        <f t="shared" si="37"/>
        <v>16134.564868588497</v>
      </c>
    </row>
    <row r="43" ht="21" customHeight="1" spans="12:258" x14ac:dyDescent="0.25">
      <c r="L43" s="622"/>
      <c r="M43" s="909"/>
      <c r="N43" s="909"/>
      <c r="O43" s="910" t="s">
        <v>636</v>
      </c>
      <c r="P43" s="636">
        <v>1</v>
      </c>
      <c r="Q43" s="926">
        <f>Q40/Q44</f>
        <v>1.3930686182271845</v>
      </c>
      <c r="R43" s="926">
        <f t="shared" ref="R43:AM43" si="47">R40/R44</f>
        <v>1.8000080782573098</v>
      </c>
      <c r="S43" s="926">
        <f t="shared" si="47"/>
        <v>1.7787455021088285</v>
      </c>
      <c r="T43" s="926">
        <f t="shared" si="47"/>
        <v>2.4627881934761957</v>
      </c>
      <c r="U43" s="926">
        <f t="shared" si="47"/>
        <v>3.785470488529565</v>
      </c>
      <c r="V43" s="926">
        <f t="shared" si="47"/>
        <v>5.08786459563914</v>
      </c>
      <c r="W43" s="926">
        <f t="shared" si="47"/>
        <v>6.552867571558401</v>
      </c>
      <c r="X43" s="926">
        <f t="shared" si="47"/>
        <v>7.795892317615872</v>
      </c>
      <c r="Y43" s="926">
        <f t="shared" si="47"/>
        <v>9.32454487174126</v>
      </c>
      <c r="Z43" s="926">
        <f t="shared" si="47"/>
        <v>11.601834838997735</v>
      </c>
      <c r="AA43" s="926">
        <f t="shared" si="47"/>
        <v>14.558879763670303</v>
      </c>
      <c r="AB43" s="926">
        <f t="shared" si="47"/>
        <v>17.41864233141954</v>
      </c>
      <c r="AC43" s="926">
        <f t="shared" si="47"/>
        <v>21.558658204106848</v>
      </c>
      <c r="AD43" s="926">
        <f t="shared" si="47"/>
        <v>23.77183065299093</v>
      </c>
      <c r="AE43" s="969">
        <f t="shared" si="47"/>
        <v>25.942740710668115</v>
      </c>
      <c r="AF43" s="926">
        <f t="shared" si="47"/>
        <v>31.060937552257776</v>
      </c>
      <c r="AG43" s="926">
        <f t="shared" si="47"/>
        <v>34.957056458668305</v>
      </c>
      <c r="AH43" s="926">
        <f t="shared" si="47"/>
        <v>38.62386007303689</v>
      </c>
      <c r="AI43" s="926">
        <f t="shared" si="47"/>
        <v>41.26092184765976</v>
      </c>
      <c r="AJ43" s="926">
        <f t="shared" si="47"/>
        <v>44.34474977239534</v>
      </c>
      <c r="AK43" s="926">
        <f t="shared" si="47"/>
        <v>46.796704667591264</v>
      </c>
      <c r="AL43" s="926">
        <f t="shared" si="47"/>
        <v>48.3278511972651</v>
      </c>
      <c r="AM43" s="926">
        <f t="shared" si="47"/>
        <v>52.23526550148644</v>
      </c>
      <c r="AN43" s="682"/>
      <c r="AO43" s="897"/>
      <c r="AP43" s="682"/>
      <c r="AQ43" s="912" t="str">
        <f t="shared" ref="AQ43:AQ57" si="48">O43</f>
        <v>Dg</v>
      </c>
      <c r="BD43" s="828">
        <v>1995</v>
      </c>
      <c r="BE43" s="872">
        <f t="array" ref="BE43:BE66">TRANSPOSE(P60:AM60)</f>
        <v>1</v>
      </c>
      <c r="BF43" s="922">
        <f t="array" ref="BF43:BF66">TRANSPOSE(P80:AM80)</f>
        <v>1</v>
      </c>
      <c r="BT43" s="828">
        <v>1995</v>
      </c>
      <c r="BU43" s="872">
        <f t="array" ref="BU43:BU66">TRANSPOSE(P61:AM61)</f>
        <v>1</v>
      </c>
      <c r="BV43" s="922">
        <f t="array" ref="BV43:BV66">TRANSPOSE(P81:AM81)</f>
        <v>1</v>
      </c>
      <c r="CJ43" s="553">
        <v>2029</v>
      </c>
      <c r="CK43" s="940"/>
      <c r="CL43" s="931"/>
      <c r="DA43" s="905">
        <f t="shared" si="34"/>
        <v>0</v>
      </c>
      <c r="DE43" s="795">
        <v>2027</v>
      </c>
      <c r="DF43" s="949"/>
      <c r="DG43" s="957"/>
      <c r="DX43" s="808"/>
      <c r="DY43" s="952"/>
      <c r="DZ43" s="942"/>
      <c r="EA43" s="942"/>
      <c r="EB43" s="942"/>
      <c r="EC43" s="952"/>
      <c r="ED43" s="890"/>
      <c r="EE43" s="942"/>
      <c r="EF43" s="942"/>
      <c r="EG43" s="952"/>
      <c r="EH43" s="942"/>
      <c r="EI43" s="952"/>
      <c r="EJ43" s="890"/>
      <c r="EK43" s="942"/>
      <c r="EL43" s="890"/>
      <c r="EM43" s="793"/>
      <c r="EO43" s="970">
        <v>2030</v>
      </c>
      <c r="EP43" s="971"/>
      <c r="EQ43" s="972"/>
      <c r="FH43" s="973">
        <v>2030</v>
      </c>
      <c r="FI43" s="974"/>
      <c r="FJ43" s="975"/>
      <c r="FK43" s="975"/>
      <c r="FL43" s="976"/>
      <c r="GB43" s="977">
        <v>2030</v>
      </c>
      <c r="GC43" s="978"/>
      <c r="GD43" s="82"/>
      <c r="GE43" s="979"/>
      <c r="GU43" s="795">
        <v>2033</v>
      </c>
      <c r="GV43" s="949"/>
      <c r="GW43" s="822">
        <f t="shared" si="1"/>
        <v>44.892977026761486</v>
      </c>
      <c r="GX43" s="822">
        <f t="shared" si="26"/>
        <v>19.906362962785394</v>
      </c>
      <c r="HY43" s="824">
        <v>39</v>
      </c>
      <c r="HZ43" s="795">
        <v>2033</v>
      </c>
      <c r="IA43" s="950"/>
      <c r="IB43" s="824">
        <v>16838.3103893536</v>
      </c>
      <c r="IC43" s="824">
        <f t="shared" si="27"/>
        <v>16675.9911</v>
      </c>
      <c r="IX43" s="824">
        <f t="shared" si="37"/>
        <v>16838.3103893536</v>
      </c>
    </row>
    <row r="44" ht="21" customHeight="1" spans="12:258" x14ac:dyDescent="0.25">
      <c r="L44" s="622"/>
      <c r="M44" s="909"/>
      <c r="N44" s="909"/>
      <c r="O44" s="910" t="s">
        <v>907</v>
      </c>
      <c r="P44" s="929">
        <f>P40</f>
        <v>272.5015</v>
      </c>
      <c r="Q44" s="929">
        <f>$P44*Q42</f>
        <v>280.9490465</v>
      </c>
      <c r="R44" s="929">
        <f t="shared" ref="R44:AM44" si="49">$P44*R42</f>
        <v>274.206269384</v>
      </c>
      <c r="S44" s="929">
        <f t="shared" si="49"/>
        <v>276.94833207783995</v>
      </c>
      <c r="T44" s="929">
        <f t="shared" si="49"/>
        <v>285.533730372253</v>
      </c>
      <c r="U44" s="929">
        <f t="shared" si="49"/>
        <v>291.24440497969806</v>
      </c>
      <c r="V44" s="929">
        <f t="shared" si="49"/>
        <v>288.91444973986046</v>
      </c>
      <c r="W44" s="929">
        <f t="shared" si="49"/>
        <v>296.4262254330968</v>
      </c>
      <c r="X44" s="929">
        <f t="shared" si="49"/>
        <v>303.54045484349115</v>
      </c>
      <c r="Y44" s="929">
        <f t="shared" si="49"/>
        <v>309.9148043952045</v>
      </c>
      <c r="Z44" s="929">
        <f t="shared" si="49"/>
        <v>314.25361165673735</v>
      </c>
      <c r="AA44" s="929">
        <f t="shared" si="49"/>
        <v>321.48144472484233</v>
      </c>
      <c r="AB44" s="929">
        <f t="shared" si="49"/>
        <v>330.16144373241303</v>
      </c>
      <c r="AC44" s="929">
        <f t="shared" si="49"/>
        <v>341.38693281931506</v>
      </c>
      <c r="AD44" s="929">
        <f t="shared" si="49"/>
        <v>339.33861122239915</v>
      </c>
      <c r="AE44" s="929">
        <f t="shared" si="49"/>
        <v>334.24853205406316</v>
      </c>
      <c r="AF44" s="929">
        <f t="shared" si="49"/>
        <v>338.9280115028201</v>
      </c>
      <c r="AG44" s="929">
        <f t="shared" si="49"/>
        <v>347.74013980189346</v>
      </c>
      <c r="AH44" s="929">
        <f t="shared" si="49"/>
        <v>350.86980106011055</v>
      </c>
      <c r="AI44" s="929">
        <f t="shared" si="49"/>
        <v>343.5015352378482</v>
      </c>
      <c r="AJ44" s="929">
        <f t="shared" si="49"/>
        <v>331.13547996928565</v>
      </c>
      <c r="AK44" s="929">
        <f t="shared" si="49"/>
        <v>336.10251216882494</v>
      </c>
      <c r="AL44" s="929">
        <f t="shared" si="49"/>
        <v>344.5050749730455</v>
      </c>
      <c r="AM44" s="929">
        <f t="shared" si="49"/>
        <v>345.5385901979646</v>
      </c>
      <c r="AN44" s="682"/>
      <c r="AO44" s="897"/>
      <c r="AP44" s="682"/>
      <c r="AQ44" s="912" t="str">
        <f t="shared" si="48"/>
        <v>YGS</v>
      </c>
      <c r="BD44" s="928">
        <v>1996</v>
      </c>
      <c r="BE44" s="903">
        <v>1.037</v>
      </c>
      <c r="BF44" s="607">
        <v>1.0551214093635801</v>
      </c>
      <c r="BT44" s="928">
        <v>1996</v>
      </c>
      <c r="BU44" s="903">
        <v>1.2062700474653716</v>
      </c>
      <c r="BV44" s="607">
        <v>1.1463921152743082</v>
      </c>
      <c r="CJ44" s="553">
        <v>2030</v>
      </c>
      <c r="CK44" s="940"/>
      <c r="CL44" s="931"/>
      <c r="DA44" s="905">
        <f t="shared" ref="DA44:DA48" si="50">CL44</f>
        <v>0</v>
      </c>
      <c r="DE44" s="795">
        <v>2028</v>
      </c>
      <c r="DF44" s="949"/>
      <c r="DG44" s="957"/>
      <c r="DX44" s="808">
        <v>2030</v>
      </c>
      <c r="DY44" s="974"/>
      <c r="DZ44" s="980"/>
      <c r="EA44" s="980"/>
      <c r="EB44" s="980"/>
      <c r="EC44" s="974"/>
      <c r="ED44" s="981"/>
      <c r="EE44" s="980"/>
      <c r="EF44" s="980"/>
      <c r="EG44" s="974"/>
      <c r="EH44" s="980"/>
      <c r="EI44" s="974"/>
      <c r="EJ44" s="981"/>
      <c r="EK44" s="980"/>
      <c r="EL44" s="981"/>
      <c r="EM44" s="793"/>
      <c r="FS44" s="24"/>
      <c r="FT44" s="24"/>
      <c r="FU44" s="24"/>
      <c r="FV44" s="24"/>
      <c r="FW44" s="24"/>
      <c r="FX44" s="24"/>
      <c r="FY44" s="24"/>
      <c r="GB44" s="779"/>
      <c r="GU44" s="795">
        <v>2034</v>
      </c>
      <c r="GV44" s="949"/>
      <c r="GW44" s="822">
        <f t="shared" si="1"/>
        <v>47.13762587809956</v>
      </c>
      <c r="GX44" s="822">
        <f t="shared" si="26"/>
        <v>20.349681110924664</v>
      </c>
      <c r="HY44" s="824">
        <v>40</v>
      </c>
      <c r="HZ44" s="795">
        <v>2034</v>
      </c>
      <c r="IA44" s="950"/>
      <c r="IB44" s="824">
        <v>17569.97036030794</v>
      </c>
      <c r="IC44" s="824">
        <f t="shared" si="27"/>
        <v>17337.020000000004</v>
      </c>
      <c r="IX44" s="824">
        <f t="shared" si="37"/>
        <v>17569.97036030794</v>
      </c>
    </row>
    <row r="45" ht="20.5" customHeight="1" spans="7:258" x14ac:dyDescent="0.25">
      <c r="G45" s="187"/>
      <c r="H45" s="187"/>
      <c r="I45" s="187"/>
      <c r="J45" s="187"/>
      <c r="L45" s="956" t="s">
        <v>871</v>
      </c>
      <c r="M45" s="909" t="s">
        <v>908</v>
      </c>
      <c r="N45" s="909"/>
      <c r="O45" s="932" t="s">
        <v>909</v>
      </c>
      <c r="P45" s="930">
        <v>24.2993</v>
      </c>
      <c r="Q45" s="929">
        <f>ОТЧЁТ!V71</f>
        <v>36.6615</v>
      </c>
      <c r="R45" s="929">
        <f>ОТЧЁТ!W71</f>
        <v>47.3504</v>
      </c>
      <c r="S45" s="929">
        <f>ОТЧЁТ!X71</f>
        <v>48.8855</v>
      </c>
      <c r="T45" s="929">
        <f>ОТЧЁТ!Y71</f>
        <v>56.3011</v>
      </c>
      <c r="U45" s="929">
        <f>ОТЧЁТ!Z71</f>
        <v>79.1165</v>
      </c>
      <c r="V45" s="929">
        <f>ОТЧЁТ!AA71</f>
        <v>98.7819</v>
      </c>
      <c r="W45" s="929">
        <f>ОТЧЁТ!AB71</f>
        <v>132.516</v>
      </c>
      <c r="X45" s="929">
        <f>ОТЧЁТ!AC71</f>
        <v>154.9174</v>
      </c>
      <c r="Y45" s="929">
        <f>ОТЧЁТ!AD71</f>
        <v>149.551</v>
      </c>
      <c r="Z45" s="929">
        <f>ОТЧЁТ!AE71</f>
        <v>139.3729</v>
      </c>
      <c r="AA45" s="929">
        <f>ОТЧЁТ!AF71</f>
        <v>154.5876</v>
      </c>
      <c r="AB45" s="929">
        <f>ОТЧЁТ!AG71</f>
        <v>185.8756</v>
      </c>
      <c r="AC45" s="929">
        <f>ОТЧЁТ!AH71</f>
        <v>216.7125</v>
      </c>
      <c r="AD45" s="929">
        <f>ОТЧЁТ!AI71</f>
        <v>216.9964</v>
      </c>
      <c r="AE45" s="930">
        <f>ОТЧЁТ!AJ71</f>
        <v>225.726</v>
      </c>
      <c r="AF45" s="929">
        <f>ОТЧЁТ!AK71</f>
        <v>225.3324</v>
      </c>
      <c r="AG45" s="929">
        <f>ОТЧЁТ!AL71</f>
        <v>247.44670000000002</v>
      </c>
      <c r="AH45" s="929">
        <f>ОТЧЁТ!AM71</f>
        <v>257.1967</v>
      </c>
      <c r="AI45" s="929">
        <f>ОТЧЁТ!AN71</f>
        <v>290.191</v>
      </c>
      <c r="AJ45" s="929">
        <f>ОТЧЁТ!AO71</f>
        <v>314.087</v>
      </c>
      <c r="AK45" s="929">
        <f>ОТЧЁТ!AP71</f>
        <v>344.229</v>
      </c>
      <c r="AL45" s="929">
        <f>ОТЧЁТ!AQ71</f>
        <v>380.678</v>
      </c>
      <c r="AM45" s="929">
        <f>ОТЧЁТ!AR71</f>
        <v>432.626</v>
      </c>
      <c r="AN45" s="682"/>
      <c r="AO45" s="897"/>
      <c r="AP45" s="682"/>
      <c r="AQ45" s="912" t="str">
        <f t="shared" si="48"/>
        <v>YNK</v>
      </c>
      <c r="BD45" s="928">
        <v>1997</v>
      </c>
      <c r="BE45" s="903">
        <v>1.031815</v>
      </c>
      <c r="BF45" s="607">
        <v>1.0637119701590636</v>
      </c>
      <c r="BT45" s="928">
        <v>1997</v>
      </c>
      <c r="BU45" s="903">
        <v>1.3416177583578945</v>
      </c>
      <c r="BV45" s="607">
        <v>1.2513079717780973</v>
      </c>
      <c r="CJ45" s="553">
        <v>2031</v>
      </c>
      <c r="CK45" s="940"/>
      <c r="CL45" s="931"/>
      <c r="DA45" s="905">
        <f t="shared" si="50"/>
        <v>0</v>
      </c>
      <c r="DE45" s="795">
        <v>2029</v>
      </c>
      <c r="DF45" s="949"/>
      <c r="DG45" s="957"/>
      <c r="GU45" s="982">
        <v>2035</v>
      </c>
      <c r="GV45" s="692"/>
      <c r="GW45" s="983">
        <f t="shared" si="1"/>
        <v>49.494507172004546</v>
      </c>
      <c r="GX45" s="983">
        <f t="shared" si="26"/>
        <v>20.815165166470898</v>
      </c>
      <c r="HY45" s="984">
        <v>41</v>
      </c>
      <c r="HZ45" s="977">
        <v>2035</v>
      </c>
      <c r="IA45" s="985"/>
      <c r="IB45" s="984">
        <v>18330.033333654035</v>
      </c>
      <c r="IC45" s="984">
        <f t="shared" si="27"/>
        <v>18016.6351</v>
      </c>
      <c r="IX45" s="984">
        <f t="shared" si="37"/>
        <v>18330.033333654035</v>
      </c>
    </row>
    <row r="46" ht="21" customHeight="1" spans="12:111" x14ac:dyDescent="0.25">
      <c r="L46" s="956" t="s">
        <v>871</v>
      </c>
      <c r="M46" s="909"/>
      <c r="N46" s="909"/>
      <c r="O46" s="910" t="s">
        <v>524</v>
      </c>
      <c r="P46" s="636">
        <v>0.695</v>
      </c>
      <c r="Q46" s="636">
        <f>ОТЧЁТ!V137</f>
        <v>1.006</v>
      </c>
      <c r="R46" s="636">
        <f>ОТЧЁТ!W137</f>
        <v>0.992</v>
      </c>
      <c r="S46" s="636">
        <f>ОТЧЁТ!X137</f>
        <v>1.005</v>
      </c>
      <c r="T46" s="636">
        <f>ОТЧЁТ!Y137</f>
        <v>0.986</v>
      </c>
      <c r="U46" s="636">
        <f>ОТЧЁТ!Z137</f>
        <v>1.016</v>
      </c>
      <c r="V46" s="636">
        <f>ОТЧЁТ!AA137</f>
        <v>1.019</v>
      </c>
      <c r="W46" s="636">
        <f>ОТЧЁТ!AB137</f>
        <v>1.008</v>
      </c>
      <c r="X46" s="636">
        <f>ОТЧЁТ!AC137</f>
        <v>1.001</v>
      </c>
      <c r="Y46" s="636">
        <f>ОТЧЁТ!AD137</f>
        <v>0.889</v>
      </c>
      <c r="Z46" s="636">
        <f>ОТЧЁТ!AE137</f>
        <v>0.817</v>
      </c>
      <c r="AA46" s="636">
        <f>ОТЧЁТ!AF137</f>
        <v>0.983</v>
      </c>
      <c r="AB46" s="636">
        <f>ОТЧЁТ!AG137</f>
        <v>1.027</v>
      </c>
      <c r="AC46" s="636">
        <f>ОТЧЁТ!AH137</f>
        <v>0.986</v>
      </c>
      <c r="AD46" s="636">
        <f>ОТЧЁТ!AI137</f>
        <v>0.92</v>
      </c>
      <c r="AE46" s="897">
        <f>ОТЧЁТ!AJ137</f>
        <v>0.995</v>
      </c>
      <c r="AF46" s="636">
        <f>ОТЧЁТ!AK137</f>
        <v>0.951</v>
      </c>
      <c r="AG46" s="636">
        <f>ОТЧЁТ!AL137</f>
        <v>0.99</v>
      </c>
      <c r="AH46" s="636">
        <f>ОТЧЁТ!AM137</f>
        <v>0.988</v>
      </c>
      <c r="AI46" s="921">
        <f>ОТЧЁТ!AN137</f>
        <v>1</v>
      </c>
      <c r="AJ46" s="921">
        <f>ОТЧЁТ!AO137</f>
        <v>0.971</v>
      </c>
      <c r="AK46" s="636">
        <f>ОТЧЁТ!AP137</f>
        <v>1.01</v>
      </c>
      <c r="AL46" s="636">
        <f>ОТЧЁТ!AQ137</f>
        <v>1.005</v>
      </c>
      <c r="AM46" s="636">
        <f>ОТЧЁТ!AR137</f>
        <v>1.045</v>
      </c>
      <c r="AN46" s="682"/>
      <c r="AO46" s="897"/>
      <c r="AP46" s="682"/>
      <c r="AQ46" s="912" t="str">
        <f t="shared" si="48"/>
        <v>pYNK</v>
      </c>
      <c r="BD46" s="928">
        <v>1998</v>
      </c>
      <c r="BE46" s="903">
        <v>1.0514194849999998</v>
      </c>
      <c r="BF46" s="607">
        <v>0.8831414514784078</v>
      </c>
      <c r="BT46" s="928">
        <v>1998</v>
      </c>
      <c r="BU46" s="903">
        <v>1.86606737883619</v>
      </c>
      <c r="BV46" s="607">
        <v>1.7757982734232487</v>
      </c>
      <c r="CJ46" s="553">
        <v>2032</v>
      </c>
      <c r="CK46" s="940"/>
      <c r="CL46" s="931"/>
      <c r="DA46" s="905">
        <f t="shared" si="50"/>
        <v>0</v>
      </c>
      <c r="DE46" s="986">
        <v>2030</v>
      </c>
      <c r="DF46" s="978"/>
      <c r="DG46" s="987"/>
    </row>
    <row r="47" ht="27.5" customHeight="1" spans="12:237" x14ac:dyDescent="0.25">
      <c r="L47" s="622"/>
      <c r="M47" s="909"/>
      <c r="N47" s="909"/>
      <c r="O47" s="910" t="s">
        <v>772</v>
      </c>
      <c r="P47" s="636">
        <v>1</v>
      </c>
      <c r="Q47" s="921">
        <f>P47*Q46</f>
        <v>1.006</v>
      </c>
      <c r="R47" s="921">
        <f t="shared" ref="R47:AK47" si="51">Q47*R46</f>
        <v>0.997952</v>
      </c>
      <c r="S47" s="921">
        <f t="shared" si="51"/>
        <v>1.00294176</v>
      </c>
      <c r="T47" s="921">
        <f t="shared" si="51"/>
        <v>0.9889005753599999</v>
      </c>
      <c r="U47" s="921">
        <f t="shared" si="51"/>
        <v>1.00472298456576</v>
      </c>
      <c r="V47" s="921">
        <f t="shared" si="51"/>
        <v>1.0238127212725092</v>
      </c>
      <c r="W47" s="921">
        <f t="shared" si="51"/>
        <v>1.0320032230426892</v>
      </c>
      <c r="X47" s="921">
        <f t="shared" si="51"/>
        <v>1.0330352262657319</v>
      </c>
      <c r="Y47" s="921">
        <f t="shared" si="51"/>
        <v>0.9183683161502356</v>
      </c>
      <c r="Z47" s="921">
        <f t="shared" si="51"/>
        <v>0.7503069142947425</v>
      </c>
      <c r="AA47" s="921">
        <f t="shared" si="51"/>
        <v>0.7375516967517318</v>
      </c>
      <c r="AB47" s="921">
        <f t="shared" si="51"/>
        <v>0.7574655925640286</v>
      </c>
      <c r="AC47" s="921">
        <f t="shared" si="51"/>
        <v>0.7468610742681322</v>
      </c>
      <c r="AD47" s="921">
        <f t="shared" si="51"/>
        <v>0.6871121883266816</v>
      </c>
      <c r="AE47" s="911">
        <f t="shared" si="51"/>
        <v>0.6836766273850482</v>
      </c>
      <c r="AF47" s="921">
        <f t="shared" si="51"/>
        <v>0.6501764726431808</v>
      </c>
      <c r="AG47" s="921">
        <f t="shared" si="51"/>
        <v>0.643674707916749</v>
      </c>
      <c r="AH47" s="921">
        <f t="shared" si="51"/>
        <v>0.635950611421748</v>
      </c>
      <c r="AI47" s="921">
        <f t="shared" si="51"/>
        <v>0.635950611421748</v>
      </c>
      <c r="AJ47" s="921">
        <f t="shared" si="51"/>
        <v>0.6175080436905173</v>
      </c>
      <c r="AK47" s="921">
        <f t="shared" si="51"/>
        <v>0.6236831241274224</v>
      </c>
      <c r="AL47" s="921">
        <f>AK47*AL46</f>
        <v>0.6268015397480595</v>
      </c>
      <c r="AM47" s="921">
        <f>AL47*AM46</f>
        <v>0.6550076090367222</v>
      </c>
      <c r="AN47" s="682"/>
      <c r="AO47" s="897"/>
      <c r="AP47" s="682"/>
      <c r="AQ47" s="912" t="str">
        <f t="shared" si="48"/>
        <v>Pnk</v>
      </c>
      <c r="BD47" s="928">
        <v>1999</v>
      </c>
      <c r="BE47" s="903">
        <v>1.1691784673199999</v>
      </c>
      <c r="BF47" s="607">
        <v>0.943514782832056</v>
      </c>
      <c r="BT47" s="928">
        <v>1999</v>
      </c>
      <c r="BU47" s="903">
        <v>4.260651853603475</v>
      </c>
      <c r="BV47" s="607">
        <v>4.383646817431355</v>
      </c>
      <c r="CJ47" s="553">
        <v>2033</v>
      </c>
      <c r="CK47" s="940"/>
      <c r="CL47" s="931"/>
      <c r="DA47" s="905">
        <f t="shared" si="50"/>
        <v>0</v>
      </c>
      <c r="DZ47" s="988" t="s">
        <v>520</v>
      </c>
      <c r="EA47" s="989" t="s">
        <v>910</v>
      </c>
      <c r="EB47" s="990" t="s">
        <v>584</v>
      </c>
      <c r="ES47" s="991" t="s">
        <v>520</v>
      </c>
      <c r="ET47" s="818" t="s">
        <v>652</v>
      </c>
      <c r="EU47" s="818" t="s">
        <v>862</v>
      </c>
      <c r="FA47" s="24"/>
      <c r="FB47" s="187"/>
      <c r="FC47" s="187"/>
      <c r="FD47" s="820"/>
      <c r="FE47" s="24"/>
      <c r="FL47" s="992" t="s">
        <v>159</v>
      </c>
      <c r="FM47" s="781" t="s">
        <v>650</v>
      </c>
      <c r="FN47" s="781" t="s">
        <v>614</v>
      </c>
      <c r="FO47" s="993" t="s">
        <v>117</v>
      </c>
      <c r="FP47" s="993" t="s">
        <v>118</v>
      </c>
      <c r="GH47" s="994" t="s">
        <v>159</v>
      </c>
      <c r="GI47" s="995" t="s">
        <v>652</v>
      </c>
      <c r="GJ47" s="995" t="s">
        <v>24</v>
      </c>
      <c r="GK47" s="995" t="s">
        <v>394</v>
      </c>
      <c r="HC47" s="994" t="s">
        <v>159</v>
      </c>
      <c r="HD47" s="995" t="s">
        <v>351</v>
      </c>
      <c r="HE47" s="995" t="s">
        <v>336</v>
      </c>
      <c r="HF47" s="995" t="s">
        <v>394</v>
      </c>
      <c r="HZ47" s="992" t="s">
        <v>159</v>
      </c>
      <c r="IA47" s="995" t="s">
        <v>911</v>
      </c>
      <c r="IB47" s="995" t="s">
        <v>652</v>
      </c>
      <c r="IC47" s="995"/>
    </row>
    <row r="48" ht="18.5" customHeight="1" spans="12:237" x14ac:dyDescent="0.25">
      <c r="L48" s="622"/>
      <c r="M48" s="909"/>
      <c r="N48" s="909"/>
      <c r="O48" s="910" t="s">
        <v>638</v>
      </c>
      <c r="P48" s="636">
        <v>1</v>
      </c>
      <c r="Q48" s="926">
        <f>Q45/Q49</f>
        <v>1.4997486735151189</v>
      </c>
      <c r="R48" s="926">
        <f t="shared" ref="R48:AM48" si="52">R45/R49</f>
        <v>1.9526312539350381</v>
      </c>
      <c r="S48" s="926">
        <f t="shared" si="52"/>
        <v>2.005906030355448</v>
      </c>
      <c r="T48" s="926">
        <f t="shared" si="52"/>
        <v>2.3429902839701637</v>
      </c>
      <c r="U48" s="926">
        <f t="shared" si="52"/>
        <v>3.240611479111068</v>
      </c>
      <c r="V48" s="926">
        <f t="shared" si="52"/>
        <v>3.97066356566005</v>
      </c>
      <c r="W48" s="926">
        <f t="shared" si="52"/>
        <v>5.284373447678545</v>
      </c>
      <c r="X48" s="926">
        <f t="shared" si="52"/>
        <v>6.171508131635609</v>
      </c>
      <c r="Y48" s="926">
        <f t="shared" si="52"/>
        <v>6.701602530209906</v>
      </c>
      <c r="Z48" s="926">
        <f t="shared" si="52"/>
        <v>7.644439100868062</v>
      </c>
      <c r="AA48" s="926">
        <f t="shared" si="52"/>
        <v>8.625582341885453</v>
      </c>
      <c r="AB48" s="926">
        <f t="shared" si="52"/>
        <v>10.098705571453516</v>
      </c>
      <c r="AC48" s="926">
        <f t="shared" si="52"/>
        <v>11.941266045828566</v>
      </c>
      <c r="AD48" s="926">
        <f t="shared" si="52"/>
        <v>12.996640727607122</v>
      </c>
      <c r="AE48" s="927">
        <f t="shared" si="52"/>
        <v>13.587422805401822</v>
      </c>
      <c r="AF48" s="926">
        <f t="shared" si="52"/>
        <v>14.262597604124318</v>
      </c>
      <c r="AG48" s="926">
        <f t="shared" si="52"/>
        <v>15.820545673088896</v>
      </c>
      <c r="AH48" s="926">
        <f t="shared" si="52"/>
        <v>16.64363718116042</v>
      </c>
      <c r="AI48" s="926">
        <f t="shared" si="52"/>
        <v>18.778754615584578</v>
      </c>
      <c r="AJ48" s="926">
        <f t="shared" si="52"/>
        <v>20.93213752543595</v>
      </c>
      <c r="AK48" s="926">
        <f t="shared" si="52"/>
        <v>22.71379487635589</v>
      </c>
      <c r="AL48" s="926">
        <f t="shared" si="52"/>
        <v>24.993896175246313</v>
      </c>
      <c r="AM48" s="926">
        <f t="shared" si="52"/>
        <v>27.181442967904612</v>
      </c>
      <c r="AN48" s="682"/>
      <c r="AO48" s="897"/>
      <c r="AP48" s="682"/>
      <c r="AQ48" s="912" t="str">
        <f t="shared" si="48"/>
        <v>Dnk</v>
      </c>
      <c r="BD48" s="928">
        <v>2000</v>
      </c>
      <c r="BE48" s="903">
        <v>1.2802504217153998</v>
      </c>
      <c r="BF48" s="607">
        <v>1.2247462277047632</v>
      </c>
      <c r="BT48" s="928">
        <v>2000</v>
      </c>
      <c r="BU48" s="903">
        <v>6.00821185960683</v>
      </c>
      <c r="BV48" s="607">
        <v>5.422670804728046</v>
      </c>
      <c r="CJ48" s="553">
        <v>2034</v>
      </c>
      <c r="CK48" s="940"/>
      <c r="CL48" s="931"/>
      <c r="DA48" s="905">
        <f t="shared" si="50"/>
        <v>0</v>
      </c>
      <c r="DZ48" s="324">
        <v>43919</v>
      </c>
      <c r="EA48" s="996" t="s">
        <v>912</v>
      </c>
      <c r="EB48" s="997" t="s">
        <v>912</v>
      </c>
      <c r="ES48" s="324">
        <v>43935</v>
      </c>
      <c r="ET48" s="998" t="s">
        <v>56</v>
      </c>
      <c r="EU48" s="999" t="s">
        <v>56</v>
      </c>
      <c r="FA48" s="24"/>
      <c r="FB48" s="187"/>
      <c r="FC48" s="187"/>
      <c r="FD48" s="820"/>
      <c r="FE48" s="24"/>
      <c r="FL48" s="1000">
        <v>43919</v>
      </c>
      <c r="FM48" s="1001" t="s">
        <v>840</v>
      </c>
      <c r="FN48" s="785" t="s">
        <v>840</v>
      </c>
      <c r="FO48" s="785" t="s">
        <v>840</v>
      </c>
      <c r="FP48" s="786" t="s">
        <v>840</v>
      </c>
      <c r="GH48" s="1000">
        <v>43920</v>
      </c>
      <c r="GI48" s="1002" t="s">
        <v>56</v>
      </c>
      <c r="GJ48" s="1003" t="s">
        <v>56</v>
      </c>
      <c r="GK48" s="1003" t="s">
        <v>56</v>
      </c>
      <c r="HC48" s="1000">
        <v>43920</v>
      </c>
      <c r="HD48" s="1002" t="s">
        <v>56</v>
      </c>
      <c r="HE48" s="1003" t="s">
        <v>56</v>
      </c>
      <c r="HF48" s="1003" t="s">
        <v>56</v>
      </c>
      <c r="HZ48" s="1000">
        <v>43946</v>
      </c>
      <c r="IA48" s="1002" t="s">
        <v>56</v>
      </c>
      <c r="IB48" s="1003" t="s">
        <v>56</v>
      </c>
      <c r="IC48" s="1003" t="s">
        <v>56</v>
      </c>
    </row>
    <row r="49" ht="21" customHeight="1" spans="12:237" x14ac:dyDescent="0.25">
      <c r="L49" s="622"/>
      <c r="M49" s="909"/>
      <c r="N49" s="909"/>
      <c r="O49" s="910" t="s">
        <v>913</v>
      </c>
      <c r="P49" s="929">
        <v>24.2993</v>
      </c>
      <c r="Q49" s="926">
        <f t="shared" ref="Q49:AM49" si="53">$P49*Q47</f>
        <v>24.445095799999997</v>
      </c>
      <c r="R49" s="926">
        <f t="shared" si="53"/>
        <v>24.249535033599997</v>
      </c>
      <c r="S49" s="926">
        <f t="shared" si="53"/>
        <v>24.370782708767997</v>
      </c>
      <c r="T49" s="926">
        <f t="shared" si="53"/>
        <v>24.029591750845242</v>
      </c>
      <c r="U49" s="926">
        <f t="shared" si="53"/>
        <v>24.41406521885877</v>
      </c>
      <c r="V49" s="926">
        <f t="shared" si="53"/>
        <v>24.87793245801708</v>
      </c>
      <c r="W49" s="926">
        <f t="shared" si="53"/>
        <v>25.076955917681218</v>
      </c>
      <c r="X49" s="926">
        <f t="shared" si="53"/>
        <v>25.102032873598898</v>
      </c>
      <c r="Y49" s="926">
        <f t="shared" si="53"/>
        <v>22.31570722462942</v>
      </c>
      <c r="Z49" s="926">
        <f t="shared" si="53"/>
        <v>18.231932802522234</v>
      </c>
      <c r="AA49" s="926">
        <f t="shared" si="53"/>
        <v>17.921989944879357</v>
      </c>
      <c r="AB49" s="926">
        <f t="shared" si="53"/>
        <v>18.4058836733911</v>
      </c>
      <c r="AC49" s="926">
        <f t="shared" si="53"/>
        <v>18.148201301963624</v>
      </c>
      <c r="AD49" s="926">
        <f t="shared" si="53"/>
        <v>16.696345197806533</v>
      </c>
      <c r="AE49" s="927">
        <f t="shared" si="53"/>
        <v>16.6128634718175</v>
      </c>
      <c r="AF49" s="926">
        <f t="shared" si="53"/>
        <v>15.798833161698441</v>
      </c>
      <c r="AG49" s="926">
        <f t="shared" si="53"/>
        <v>15.640844830081457</v>
      </c>
      <c r="AH49" s="926">
        <f t="shared" si="53"/>
        <v>15.453154692120481</v>
      </c>
      <c r="AI49" s="926">
        <f t="shared" si="53"/>
        <v>15.453154692120481</v>
      </c>
      <c r="AJ49" s="926">
        <f t="shared" si="53"/>
        <v>15.005013206048986</v>
      </c>
      <c r="AK49" s="926">
        <f t="shared" si="53"/>
        <v>15.155063338109475</v>
      </c>
      <c r="AL49" s="926">
        <f t="shared" si="53"/>
        <v>15.230838654800023</v>
      </c>
      <c r="AM49" s="926">
        <f t="shared" si="53"/>
        <v>15.916226394266022</v>
      </c>
      <c r="AN49" s="682"/>
      <c r="AO49" s="897"/>
      <c r="AP49" s="682"/>
      <c r="AQ49" s="912" t="str">
        <f t="shared" si="48"/>
        <v>YNKS</v>
      </c>
      <c r="BD49" s="928">
        <v>2001</v>
      </c>
      <c r="BE49" s="903">
        <v>1.3340209394274467</v>
      </c>
      <c r="BF49" s="607">
        <v>1.3476514205322294</v>
      </c>
      <c r="BT49" s="928">
        <v>2001</v>
      </c>
      <c r="BU49" s="903">
        <v>5.910590005019161</v>
      </c>
      <c r="BV49" s="607">
        <v>5.416139427100018</v>
      </c>
      <c r="CJ49" s="561">
        <v>2035</v>
      </c>
      <c r="CK49" s="1004"/>
      <c r="CL49" s="1005"/>
      <c r="DA49" s="1006">
        <f>CL49</f>
        <v>0</v>
      </c>
      <c r="DZ49" s="1007">
        <v>1995</v>
      </c>
      <c r="EA49" s="1008">
        <f t="array" ref="EA49:EA72">TRANSPOSE(ОТЧЁТ!U156:AR156)</f>
        <v>1</v>
      </c>
      <c r="EB49" s="1009">
        <f t="array" ref="EB49:EB72">TRANSPOSE(ОТЧЁТ!U157:AR157)</f>
        <v>1</v>
      </c>
      <c r="ES49" s="863">
        <v>1995</v>
      </c>
      <c r="ET49" s="1010">
        <f>EG8</f>
        <v>230.407</v>
      </c>
      <c r="EU49" s="1011">
        <f>EI8</f>
        <v>0</v>
      </c>
      <c r="FL49" s="795">
        <v>1995</v>
      </c>
      <c r="FM49" s="1012">
        <f t="array" ref="FM49:FM72">TRANSPOSE(ОТЧЁТ!U192:AR192)</f>
        <v>1</v>
      </c>
      <c r="FN49" s="797">
        <f t="array" ref="FN49:FN72">TRANSPOSE(ОТЧЁТ!U179:AR179)</f>
        <v>1</v>
      </c>
      <c r="FO49" s="797"/>
      <c r="FP49" s="1013"/>
      <c r="GH49" s="609">
        <v>1995</v>
      </c>
      <c r="GI49" s="1014">
        <f t="array" ref="GI49:GI72">TRANSPOSE(ОТЧЁТ!U193:AR193)</f>
        <v>230.407</v>
      </c>
      <c r="GJ49" s="1015">
        <f t="array" ref="GJ49:GJ72">TRANSPOSE(ОТЧЁТ!U195:AR195)</f>
        <v>266.974</v>
      </c>
      <c r="GK49" s="798"/>
      <c r="HC49" s="609">
        <v>1995</v>
      </c>
      <c r="HD49" s="1016">
        <f t="array" ref="HD49:HD72">TRANSPOSE(ОТЧЁТ!U83:AR83)</f>
        <v>230.407</v>
      </c>
      <c r="HE49" s="1017">
        <f t="array" ref="HE49:HE72">TRANSPOSE(ОТЧЁТ!U79:AR79)</f>
        <v>266.974</v>
      </c>
      <c r="HF49" s="798"/>
      <c r="HZ49" s="795">
        <v>1995</v>
      </c>
      <c r="IA49" s="1018">
        <v>230.407</v>
      </c>
      <c r="IB49" s="799"/>
      <c r="IC49" s="1013"/>
    </row>
    <row r="50" ht="21.5" customHeight="1" spans="12:237" x14ac:dyDescent="0.25">
      <c r="L50" s="956" t="s">
        <v>871</v>
      </c>
      <c r="M50" s="909" t="s">
        <v>914</v>
      </c>
      <c r="N50" s="909"/>
      <c r="O50" s="932" t="s">
        <v>324</v>
      </c>
      <c r="P50" s="930">
        <v>719.7935</v>
      </c>
      <c r="Q50" s="929">
        <f>ОТЧЁТ!V69</f>
        <v>1007.827</v>
      </c>
      <c r="R50" s="929">
        <f>ОТЧЁТ!W69</f>
        <v>1235.2137</v>
      </c>
      <c r="S50" s="929">
        <f>ОТЧЁТ!X69</f>
        <v>1462.284</v>
      </c>
      <c r="T50" s="929">
        <f>ОТЧЁТ!Y69</f>
        <v>2526.1679</v>
      </c>
      <c r="U50" s="929">
        <f>ОТЧЁТ!Z69</f>
        <v>3295.2373</v>
      </c>
      <c r="V50" s="929">
        <f>ОТЧЁТ!AA69</f>
        <v>4318.1211</v>
      </c>
      <c r="W50" s="929">
        <f>ОТЧЁТ!AB69</f>
        <v>5409.1577</v>
      </c>
      <c r="X50" s="929">
        <f>ОТЧЁТ!AC69</f>
        <v>6537.4015</v>
      </c>
      <c r="Y50" s="929">
        <f>ОТЧЁТ!AD69</f>
        <v>8438.4841</v>
      </c>
      <c r="Z50" s="929">
        <f>ОТЧЁТ!AE69</f>
        <v>10652.8578</v>
      </c>
      <c r="AA50" s="929">
        <f>ОТЧЁТ!AF69</f>
        <v>12974.7434</v>
      </c>
      <c r="AB50" s="934">
        <f>ОТЧЁТ!AG69</f>
        <v>16031.7398</v>
      </c>
      <c r="AC50" s="934">
        <f>ОТЧЁТ!AH69</f>
        <v>19966.9547</v>
      </c>
      <c r="AD50" s="934">
        <f>ОТЧЁТ!AI69</f>
        <v>20986.036</v>
      </c>
      <c r="AE50" s="933">
        <f>ОТЧЁТ!AJ69</f>
        <v>23617.623</v>
      </c>
      <c r="AF50" s="934">
        <f>ОТЧЁТ!AK69</f>
        <v>29939.4635</v>
      </c>
      <c r="AG50" s="934">
        <f>ОТЧЁТ!AL69</f>
        <v>34492.3617</v>
      </c>
      <c r="AH50" s="934">
        <f>ОТЧЁТ!AM69</f>
        <v>38465.140799999994</v>
      </c>
      <c r="AI50" s="934">
        <f>ОТЧЁТ!AN69</f>
        <v>41954.83</v>
      </c>
      <c r="AJ50" s="934">
        <f>ОТЧЁТ!AO69</f>
        <v>43242.32</v>
      </c>
      <c r="AK50" s="934">
        <f>ОТЧЁТ!AP69</f>
        <v>45317.05</v>
      </c>
      <c r="AL50" s="934">
        <f>ОТЧЁТ!AQ69</f>
        <v>48135.66</v>
      </c>
      <c r="AM50" s="934">
        <f>ОТЧЁТ!AR69</f>
        <v>50851.05</v>
      </c>
      <c r="AN50" s="682"/>
      <c r="AO50" s="897"/>
      <c r="AP50" s="682"/>
      <c r="AQ50" s="912" t="str">
        <f t="shared" si="48"/>
        <v>YD</v>
      </c>
      <c r="BD50" s="928">
        <v>2002</v>
      </c>
      <c r="BE50" s="903">
        <v>1.4714250961884736</v>
      </c>
      <c r="BF50" s="607">
        <v>1.466505424621089</v>
      </c>
      <c r="BT50" s="928">
        <v>2002</v>
      </c>
      <c r="BU50" s="903">
        <v>6.193634820546727</v>
      </c>
      <c r="BV50" s="607">
        <v>5.58991396169822</v>
      </c>
      <c r="DZ50" s="1007">
        <v>1996</v>
      </c>
      <c r="EA50" s="1019">
        <v>0.788</v>
      </c>
      <c r="EB50" s="1009">
        <v>0.819</v>
      </c>
      <c r="ES50" s="863">
        <v>1996</v>
      </c>
      <c r="ET50" s="1020">
        <f>EG9</f>
        <v>197.18216614420064</v>
      </c>
      <c r="EU50" s="1021">
        <f>EI9</f>
        <v>202.48816614420022</v>
      </c>
      <c r="FA50" s="24"/>
      <c r="FB50" s="187"/>
      <c r="FC50" s="187"/>
      <c r="FD50" s="820"/>
      <c r="FE50" s="24"/>
      <c r="FL50" s="795">
        <v>1996</v>
      </c>
      <c r="FM50" s="796">
        <v>1.3890656660960248</v>
      </c>
      <c r="FN50" s="822">
        <v>1.458015926869807</v>
      </c>
      <c r="FO50" s="822">
        <f>FM50</f>
        <v>1.3890656660960248</v>
      </c>
      <c r="FP50" s="1022"/>
      <c r="GH50" s="609">
        <v>1996</v>
      </c>
      <c r="GI50" s="1023">
        <v>197.18216614420064</v>
      </c>
      <c r="GJ50" s="1024">
        <v>218.651706</v>
      </c>
      <c r="GK50" s="823"/>
      <c r="HC50" s="609">
        <v>1996</v>
      </c>
      <c r="HD50" s="1025">
        <v>334.302</v>
      </c>
      <c r="HE50" s="1026">
        <v>375.958</v>
      </c>
      <c r="HF50" s="823"/>
      <c r="HZ50" s="795">
        <v>1996</v>
      </c>
      <c r="IA50" s="1027">
        <f>EG9</f>
        <v>197.18216614420064</v>
      </c>
      <c r="IB50" s="1028">
        <f>2.191*(IX6-IX5+70.942)</f>
        <v>143.8084760000009</v>
      </c>
      <c r="IC50" s="1022"/>
    </row>
    <row r="51" ht="21" customHeight="1" spans="12:237" x14ac:dyDescent="0.25">
      <c r="L51" s="956" t="s">
        <v>871</v>
      </c>
      <c r="M51" s="909"/>
      <c r="N51" s="909"/>
      <c r="O51" s="910" t="s">
        <v>516</v>
      </c>
      <c r="P51" s="636">
        <v>0.972</v>
      </c>
      <c r="Q51" s="636">
        <f>ОТЧЁТ!V135</f>
        <v>0.951</v>
      </c>
      <c r="R51" s="636">
        <f>ОТЧЁТ!W135</f>
        <v>1.05</v>
      </c>
      <c r="S51" s="636">
        <f>ОТЧЁТ!X135</f>
        <v>0.966</v>
      </c>
      <c r="T51" s="636">
        <f>ОТЧЁТ!Y135</f>
        <v>0.976</v>
      </c>
      <c r="U51" s="636">
        <f>ОТЧЁТ!Z135</f>
        <v>1.059</v>
      </c>
      <c r="V51" s="636">
        <f>ОТЧЁТ!AA135</f>
        <v>1.082</v>
      </c>
      <c r="W51" s="636">
        <f>ОТЧЁТ!AB135</f>
        <v>1.077</v>
      </c>
      <c r="X51" s="636">
        <f>ОТЧЁТ!AC135</f>
        <v>1.077</v>
      </c>
      <c r="Y51" s="636">
        <f>ОТЧЁТ!AD135</f>
        <v>1.125</v>
      </c>
      <c r="Z51" s="636">
        <f>ОТЧЁТ!AE135</f>
        <v>1.122</v>
      </c>
      <c r="AA51" s="636">
        <f>ОТЧЁТ!AF135</f>
        <v>1.122</v>
      </c>
      <c r="AB51" s="636">
        <f>ОТЧЁТ!AG135</f>
        <v>1.143</v>
      </c>
      <c r="AC51" s="636">
        <f>ОТЧЁТ!AH135</f>
        <v>1.106</v>
      </c>
      <c r="AD51" s="636">
        <f>ОТЧЁТ!AI135</f>
        <v>0.949</v>
      </c>
      <c r="AE51" s="897">
        <f>ОТЧЁТ!AJ135</f>
        <v>1.055</v>
      </c>
      <c r="AF51" s="636">
        <f>ОТЧЁТ!AK135</f>
        <v>1.068</v>
      </c>
      <c r="AG51" s="636">
        <f>ОТЧЁТ!AL135</f>
        <v>1.079</v>
      </c>
      <c r="AH51" s="636">
        <f>ОТЧЁТ!AM135</f>
        <v>1.052</v>
      </c>
      <c r="AI51" s="636">
        <f>ОТЧЁТ!AN135</f>
        <v>1.02</v>
      </c>
      <c r="AJ51" s="636">
        <f>ОТЧЁТ!AO135</f>
        <v>0.906</v>
      </c>
      <c r="AK51" s="636">
        <f>ОТЧЁТ!AP135</f>
        <v>0.981</v>
      </c>
      <c r="AL51" s="636">
        <f>ОТЧЁТ!AQ135</f>
        <v>1.033</v>
      </c>
      <c r="AM51" s="636">
        <f>ОТЧЁТ!AR135</f>
        <v>1.023</v>
      </c>
      <c r="AN51" s="682"/>
      <c r="AO51" s="897"/>
      <c r="AP51" s="682"/>
      <c r="AQ51" s="912" t="str">
        <f t="shared" si="48"/>
        <v>pYD</v>
      </c>
      <c r="BD51" s="928">
        <v>2003</v>
      </c>
      <c r="BE51" s="903">
        <v>1.6568246583082211</v>
      </c>
      <c r="BF51" s="607">
        <v>1.6632717318596482</v>
      </c>
      <c r="BT51" s="928">
        <v>2003</v>
      </c>
      <c r="BU51" s="903">
        <v>6.715254624075821</v>
      </c>
      <c r="BV51" s="607">
        <v>6.100929996787925</v>
      </c>
      <c r="DF51" s="821" t="s">
        <v>159</v>
      </c>
      <c r="DG51" s="1029" t="s">
        <v>915</v>
      </c>
      <c r="DH51" s="393" t="s">
        <v>916</v>
      </c>
      <c r="DW51" s="1030" t="s">
        <v>917</v>
      </c>
      <c r="DZ51" s="1007">
        <v>1997</v>
      </c>
      <c r="EA51" s="1019">
        <v>0.7257480000000001</v>
      </c>
      <c r="EB51" s="1009">
        <v>0.7780499999999999</v>
      </c>
      <c r="ES51" s="863">
        <v>1997</v>
      </c>
      <c r="ET51" s="1020">
        <f t="shared" ref="ET51:ET72" si="54">EG10</f>
        <v>168.2910062695925</v>
      </c>
      <c r="EU51" s="1021">
        <f t="shared" ref="EU51:EU72" si="55">EI10</f>
        <v>189.49378226959257</v>
      </c>
      <c r="FL51" s="795">
        <v>1997</v>
      </c>
      <c r="FM51" s="796">
        <v>1.5288420201321875</v>
      </c>
      <c r="FN51" s="822">
        <v>1.6775696170093486</v>
      </c>
      <c r="FO51" s="822">
        <f t="shared" ref="FO51:FO64" si="56">FM51</f>
        <v>1.5288420201321875</v>
      </c>
      <c r="FP51" s="1022"/>
      <c r="GH51" s="609">
        <v>1997</v>
      </c>
      <c r="GI51" s="1023">
        <v>168.2910062695925</v>
      </c>
      <c r="GJ51" s="1024">
        <v>207.7191207</v>
      </c>
      <c r="GK51" s="1031">
        <f>0.7*GJ51+0.2*GJ50+0.1*GJ49</f>
        <v>215.83112568999996</v>
      </c>
      <c r="HC51" s="609">
        <v>1997</v>
      </c>
      <c r="HD51" s="1025">
        <v>406.472</v>
      </c>
      <c r="HE51" s="1026">
        <v>408.797</v>
      </c>
      <c r="HF51" s="1026">
        <f>0.7*HE51+0.2*HE50+0.1*HE49</f>
        <v>388.0469</v>
      </c>
      <c r="HZ51" s="795">
        <v>1997</v>
      </c>
      <c r="IA51" s="1027">
        <f t="shared" ref="IA51:IA72" si="57">EG10</f>
        <v>168.2910062695925</v>
      </c>
      <c r="IB51" s="1028">
        <f t="shared" ref="IB51:IB83" si="58">2.191*(IX7-IX6+70.942)</f>
        <v>108.9786397839998</v>
      </c>
      <c r="IC51" s="1028"/>
    </row>
    <row r="52" ht="23.5" customHeight="1" spans="12:253" x14ac:dyDescent="0.25">
      <c r="L52" s="622"/>
      <c r="M52" s="909"/>
      <c r="N52" s="909"/>
      <c r="O52" s="910" t="s">
        <v>918</v>
      </c>
      <c r="P52" s="636">
        <v>1</v>
      </c>
      <c r="Q52" s="921">
        <f>P52*Q51</f>
        <v>0.951</v>
      </c>
      <c r="R52" s="921">
        <f t="shared" ref="R52:AK52" si="59">Q52*R51</f>
        <v>0.99855</v>
      </c>
      <c r="S52" s="921">
        <f t="shared" si="59"/>
        <v>0.9645993</v>
      </c>
      <c r="T52" s="921">
        <f t="shared" si="59"/>
        <v>0.9414489168</v>
      </c>
      <c r="U52" s="921">
        <f t="shared" si="59"/>
        <v>0.9969944028911999</v>
      </c>
      <c r="V52" s="921">
        <f t="shared" si="59"/>
        <v>1.0787479439282783</v>
      </c>
      <c r="W52" s="921">
        <f t="shared" si="59"/>
        <v>1.1618115356107557</v>
      </c>
      <c r="X52" s="921">
        <f t="shared" si="59"/>
        <v>1.2512710238527838</v>
      </c>
      <c r="Y52" s="921">
        <f t="shared" si="59"/>
        <v>1.4076799018343817</v>
      </c>
      <c r="Z52" s="921">
        <f t="shared" si="59"/>
        <v>1.5794168498581764</v>
      </c>
      <c r="AA52" s="921">
        <f t="shared" si="59"/>
        <v>1.7721057055408742</v>
      </c>
      <c r="AB52" s="921">
        <f t="shared" si="59"/>
        <v>2.0255168214332193</v>
      </c>
      <c r="AC52" s="921">
        <f t="shared" si="59"/>
        <v>2.2402216045051406</v>
      </c>
      <c r="AD52" s="921">
        <f t="shared" si="59"/>
        <v>2.1259703026753782</v>
      </c>
      <c r="AE52" s="911">
        <f t="shared" si="59"/>
        <v>2.242898669322524</v>
      </c>
      <c r="AF52" s="921">
        <f t="shared" si="59"/>
        <v>2.3954157788364556</v>
      </c>
      <c r="AG52" s="921">
        <f t="shared" si="59"/>
        <v>2.5846536253645356</v>
      </c>
      <c r="AH52" s="921">
        <f t="shared" si="59"/>
        <v>2.7190556138834916</v>
      </c>
      <c r="AI52" s="921">
        <f t="shared" si="59"/>
        <v>2.7734367261611617</v>
      </c>
      <c r="AJ52" s="921">
        <f t="shared" si="59"/>
        <v>2.5127336739020127</v>
      </c>
      <c r="AK52" s="921">
        <f t="shared" si="59"/>
        <v>2.4649917340978744</v>
      </c>
      <c r="AL52" s="921">
        <f>AK52*AL51</f>
        <v>2.546336461323104</v>
      </c>
      <c r="AM52" s="921">
        <f>AL52*AM51</f>
        <v>2.604902199933535</v>
      </c>
      <c r="AN52" s="682"/>
      <c r="AO52" s="897"/>
      <c r="AP52" s="682"/>
      <c r="AQ52" s="912" t="str">
        <f t="shared" si="48"/>
        <v>Pd</v>
      </c>
      <c r="BD52" s="928">
        <v>2004</v>
      </c>
      <c r="BE52" s="903">
        <v>1.8523299679885914</v>
      </c>
      <c r="BF52" s="607">
        <v>1.863505262494623</v>
      </c>
      <c r="BT52" s="928">
        <v>2004</v>
      </c>
      <c r="BU52" s="903">
        <v>7.560419692709162</v>
      </c>
      <c r="BV52" s="607">
        <v>6.831484875067224</v>
      </c>
      <c r="CJ52" s="1032"/>
      <c r="CK52" s="17"/>
      <c r="CL52" s="17"/>
      <c r="CM52" s="17"/>
      <c r="CN52" s="17"/>
      <c r="CO52" s="18"/>
      <c r="DF52" s="1033">
        <v>43918</v>
      </c>
      <c r="DG52" s="1034" t="s">
        <v>919</v>
      </c>
      <c r="DH52" s="1035" t="s">
        <v>50</v>
      </c>
      <c r="DW52" s="1036" t="s">
        <v>661</v>
      </c>
      <c r="DZ52" s="1007">
        <v>1998</v>
      </c>
      <c r="EA52" s="1019">
        <v>0.635755248</v>
      </c>
      <c r="EB52" s="1009">
        <v>0.684684</v>
      </c>
      <c r="ES52" s="863">
        <v>1998</v>
      </c>
      <c r="ET52" s="1020">
        <f t="shared" si="54"/>
        <v>160.34593730407522</v>
      </c>
      <c r="EU52" s="1021">
        <f t="shared" si="55"/>
        <v>176.18441097607518</v>
      </c>
      <c r="FL52" s="795">
        <v>1998</v>
      </c>
      <c r="FM52" s="796">
        <v>1.6012135978440234</v>
      </c>
      <c r="FN52" s="822">
        <v>1.988574685283935</v>
      </c>
      <c r="FO52" s="822">
        <f t="shared" si="56"/>
        <v>1.6012135978440234</v>
      </c>
      <c r="FP52" s="1022"/>
      <c r="GC52" s="918"/>
      <c r="GD52" s="919"/>
      <c r="GE52" s="24"/>
      <c r="GH52" s="609">
        <v>1998</v>
      </c>
      <c r="GI52" s="1023">
        <v>160.34593730407522</v>
      </c>
      <c r="GJ52" s="1024">
        <v>182.79282621599998</v>
      </c>
      <c r="GK52" s="1031">
        <f t="shared" ref="GK52:GK72" si="60">0.7*GJ52+0.2*GJ51+0.1*GJ50</f>
        <v>191.36397309119997</v>
      </c>
      <c r="GX52" s="918"/>
      <c r="GY52" s="919"/>
      <c r="GZ52" s="24"/>
      <c r="HC52" s="609">
        <v>1998</v>
      </c>
      <c r="HD52" s="1025">
        <v>428.564</v>
      </c>
      <c r="HE52" s="1026">
        <v>407.086</v>
      </c>
      <c r="HF52" s="1026">
        <f t="shared" ref="HF52:HF72" si="61">0.7*HE52+0.2*HE51+0.1*HE50</f>
        <v>404.3154</v>
      </c>
      <c r="HT52" s="918"/>
      <c r="HU52" s="919"/>
      <c r="HV52" s="24"/>
      <c r="HZ52" s="795">
        <v>1998</v>
      </c>
      <c r="IA52" s="1027">
        <f t="shared" si="57"/>
        <v>160.34593730407522</v>
      </c>
      <c r="IB52" s="1028">
        <f t="shared" si="58"/>
        <v>120.73182618464806</v>
      </c>
      <c r="IC52" s="1028"/>
      <c r="IQ52" s="918"/>
      <c r="IR52" s="919"/>
      <c r="IS52" s="24"/>
    </row>
    <row r="53" ht="23.5" customHeight="1" spans="12:253" x14ac:dyDescent="0.25">
      <c r="L53" s="622"/>
      <c r="M53" s="909"/>
      <c r="N53" s="909"/>
      <c r="O53" s="910" t="s">
        <v>387</v>
      </c>
      <c r="P53" s="636">
        <v>1</v>
      </c>
      <c r="Q53" s="926">
        <f>Q50/Q54</f>
        <v>1.4723042021668387</v>
      </c>
      <c r="R53" s="926">
        <f t="shared" ref="R53:AM53" si="62">R50/R54</f>
        <v>1.718558670886825</v>
      </c>
      <c r="S53" s="926">
        <f t="shared" si="62"/>
        <v>2.1060897046594413</v>
      </c>
      <c r="T53" s="926">
        <f t="shared" si="62"/>
        <v>3.727842297346868</v>
      </c>
      <c r="U53" s="926">
        <f t="shared" si="62"/>
        <v>4.5918326760987345</v>
      </c>
      <c r="V53" s="926">
        <f t="shared" si="62"/>
        <v>5.561179540405496</v>
      </c>
      <c r="W53" s="926">
        <f t="shared" si="62"/>
        <v>6.468238698917706</v>
      </c>
      <c r="X53" s="926">
        <f t="shared" si="62"/>
        <v>7.258482770625474</v>
      </c>
      <c r="Y53" s="926">
        <f t="shared" si="62"/>
        <v>8.328227993617887</v>
      </c>
      <c r="Z53" s="926">
        <f t="shared" si="62"/>
        <v>9.370471463956683</v>
      </c>
      <c r="AA53" s="926">
        <f t="shared" si="62"/>
        <v>10.171880121895711</v>
      </c>
      <c r="AB53" s="926">
        <f t="shared" si="62"/>
        <v>10.996054426330467</v>
      </c>
      <c r="AC53" s="926">
        <f t="shared" si="62"/>
        <v>12.382630991276981</v>
      </c>
      <c r="AD53" s="926">
        <f t="shared" si="62"/>
        <v>13.714036448863869</v>
      </c>
      <c r="AE53" s="927">
        <f t="shared" si="62"/>
        <v>14.629133800462956</v>
      </c>
      <c r="AF53" s="926">
        <f t="shared" si="62"/>
        <v>17.36421630879255</v>
      </c>
      <c r="AG53" s="926">
        <f t="shared" si="62"/>
        <v>18.5401251106608</v>
      </c>
      <c r="AH53" s="926">
        <f t="shared" si="62"/>
        <v>19.653563919076568</v>
      </c>
      <c r="AI53" s="926">
        <f t="shared" si="62"/>
        <v>21.01627695270109</v>
      </c>
      <c r="AJ53" s="926">
        <f t="shared" si="62"/>
        <v>23.908625308988828</v>
      </c>
      <c r="AK53" s="926">
        <f t="shared" si="62"/>
        <v>25.541020349632802</v>
      </c>
      <c r="AL53" s="926">
        <f t="shared" si="62"/>
        <v>26.262932750374507</v>
      </c>
      <c r="AM53" s="926">
        <f t="shared" si="62"/>
        <v>27.120680464307846</v>
      </c>
      <c r="AN53" s="682"/>
      <c r="AO53" s="897"/>
      <c r="AP53" s="682"/>
      <c r="AQ53" s="912" t="str">
        <f t="shared" si="48"/>
        <v>Dd</v>
      </c>
      <c r="BD53" s="928">
        <v>2005</v>
      </c>
      <c r="BE53" s="903">
        <v>1.9727314159078497</v>
      </c>
      <c r="BF53" s="607">
        <v>2.018475905725338</v>
      </c>
      <c r="BT53" s="928">
        <v>2005</v>
      </c>
      <c r="BU53" s="903">
        <v>9.215042167890525</v>
      </c>
      <c r="BV53" s="607">
        <v>8.020311356839194</v>
      </c>
      <c r="CJ53" s="1037" t="s">
        <v>920</v>
      </c>
      <c r="CK53" s="642"/>
      <c r="CL53" s="642"/>
      <c r="CM53" s="642"/>
      <c r="CN53" s="1038"/>
      <c r="CO53" s="1039"/>
      <c r="DF53" s="1040">
        <v>1995</v>
      </c>
      <c r="DG53" s="1041">
        <f t="array" ref="DG53:DG76">TRANSPOSE(ОТЧЁТ!U198:AR198)</f>
        <v>0.5216020542781756</v>
      </c>
      <c r="DH53" s="1042"/>
      <c r="DW53" s="1043">
        <f>DG53</f>
        <v>0.5216020542781756</v>
      </c>
      <c r="DZ53" s="1007">
        <v>1999</v>
      </c>
      <c r="EA53" s="1019">
        <v>0.6764435838720001</v>
      </c>
      <c r="EB53" s="1009">
        <v>0.7189182</v>
      </c>
      <c r="ES53" s="863">
        <v>1999</v>
      </c>
      <c r="ET53" s="1020">
        <f t="shared" si="54"/>
        <v>171.18012225705328</v>
      </c>
      <c r="EU53" s="1021">
        <f t="shared" si="55"/>
        <v>160.65281675639685</v>
      </c>
      <c r="FL53" s="795">
        <v>1999</v>
      </c>
      <c r="FM53" s="796">
        <v>2.761451251183235</v>
      </c>
      <c r="FN53" s="822">
        <v>3.4280333525379545</v>
      </c>
      <c r="FO53" s="822">
        <f t="shared" si="56"/>
        <v>2.761451251183235</v>
      </c>
      <c r="FP53" s="1022"/>
      <c r="GC53" s="918"/>
      <c r="GD53" s="919"/>
      <c r="GE53" s="24"/>
      <c r="GH53" s="609">
        <v>1999</v>
      </c>
      <c r="GI53" s="1023">
        <v>171.18012225705328</v>
      </c>
      <c r="GJ53" s="1024">
        <v>191.9324675268</v>
      </c>
      <c r="GK53" s="1031">
        <f t="shared" si="60"/>
        <v>191.68320458196</v>
      </c>
      <c r="GX53" s="918"/>
      <c r="GY53" s="919"/>
      <c r="GZ53" s="24"/>
      <c r="HC53" s="609">
        <v>1999</v>
      </c>
      <c r="HD53" s="1025">
        <v>597.306</v>
      </c>
      <c r="HE53" s="1026">
        <v>670.439</v>
      </c>
      <c r="HF53" s="1026">
        <f t="shared" si="61"/>
        <v>591.6041999999999</v>
      </c>
      <c r="HT53" s="918"/>
      <c r="HU53" s="919"/>
      <c r="HV53" s="24"/>
      <c r="HZ53" s="795">
        <v>1999</v>
      </c>
      <c r="IA53" s="1027">
        <f t="shared" si="57"/>
        <v>171.18012225705328</v>
      </c>
      <c r="IB53" s="1028">
        <f t="shared" si="58"/>
        <v>178.49924835193823</v>
      </c>
      <c r="IC53" s="1028"/>
      <c r="IQ53" s="918"/>
      <c r="IR53" s="919"/>
      <c r="IS53" s="24"/>
    </row>
    <row r="54" ht="23.5" customHeight="1" spans="12:253" x14ac:dyDescent="0.25">
      <c r="L54" s="622"/>
      <c r="M54" s="909"/>
      <c r="N54" s="909"/>
      <c r="O54" s="910" t="s">
        <v>921</v>
      </c>
      <c r="P54" s="929">
        <v>719.7935</v>
      </c>
      <c r="Q54" s="929">
        <f t="shared" ref="Q54:AM54" si="63">$P54*Q52</f>
        <v>684.5236185</v>
      </c>
      <c r="R54" s="929">
        <f t="shared" si="63"/>
        <v>718.749799425</v>
      </c>
      <c r="S54" s="929">
        <f t="shared" si="63"/>
        <v>694.3123062445501</v>
      </c>
      <c r="T54" s="929">
        <f t="shared" si="63"/>
        <v>677.6488108946808</v>
      </c>
      <c r="U54" s="929">
        <f t="shared" si="63"/>
        <v>717.6300907374668</v>
      </c>
      <c r="V54" s="929">
        <f t="shared" si="63"/>
        <v>776.4757581779392</v>
      </c>
      <c r="W54" s="929">
        <f t="shared" si="63"/>
        <v>836.2643915576405</v>
      </c>
      <c r="X54" s="929">
        <f t="shared" si="63"/>
        <v>900.6567497075787</v>
      </c>
      <c r="Y54" s="929">
        <f t="shared" si="63"/>
        <v>1013.238843421026</v>
      </c>
      <c r="Z54" s="929">
        <f t="shared" si="63"/>
        <v>1136.8539823183912</v>
      </c>
      <c r="AA54" s="929">
        <f t="shared" si="63"/>
        <v>1275.5501681612352</v>
      </c>
      <c r="AB54" s="929">
        <f t="shared" si="63"/>
        <v>1457.953842208292</v>
      </c>
      <c r="AC54" s="929">
        <f t="shared" si="63"/>
        <v>1612.4969494823708</v>
      </c>
      <c r="AD54" s="929">
        <f t="shared" si="63"/>
        <v>1530.25960505877</v>
      </c>
      <c r="AE54" s="930">
        <f t="shared" si="63"/>
        <v>1614.423883337002</v>
      </c>
      <c r="AF54" s="929">
        <f t="shared" si="63"/>
        <v>1724.2047074039183</v>
      </c>
      <c r="AG54" s="929">
        <f t="shared" si="63"/>
        <v>1860.4168792888279</v>
      </c>
      <c r="AH54" s="929">
        <f t="shared" si="63"/>
        <v>1957.158557011847</v>
      </c>
      <c r="AI54" s="929">
        <f t="shared" si="63"/>
        <v>1996.301728152084</v>
      </c>
      <c r="AJ54" s="929">
        <f t="shared" si="63"/>
        <v>1808.6493657057883</v>
      </c>
      <c r="AK54" s="929">
        <f t="shared" si="63"/>
        <v>1774.2850277573784</v>
      </c>
      <c r="AL54" s="1044">
        <f t="shared" si="63"/>
        <v>1832.8364336733716</v>
      </c>
      <c r="AM54" s="1044">
        <f t="shared" si="63"/>
        <v>1874.991671647859</v>
      </c>
      <c r="AN54" s="689"/>
      <c r="AO54" s="897"/>
      <c r="AP54" s="689"/>
      <c r="AQ54" s="912" t="str">
        <f t="shared" si="48"/>
        <v>YDS</v>
      </c>
      <c r="BD54" s="928">
        <v>2006</v>
      </c>
      <c r="BE54" s="903">
        <v>2.1167408092691224</v>
      </c>
      <c r="BF54" s="607">
        <v>2.2752108040676617</v>
      </c>
      <c r="BT54" s="928">
        <v>2006</v>
      </c>
      <c r="BU54" s="903">
        <v>10.24995388150444</v>
      </c>
      <c r="BV54" s="607">
        <v>8.57776962919262</v>
      </c>
      <c r="CJ54" s="1045" t="s">
        <v>922</v>
      </c>
      <c r="CK54" s="642"/>
      <c r="CL54" s="642"/>
      <c r="CM54" s="642"/>
      <c r="CN54" s="1038"/>
      <c r="CO54" s="1039"/>
      <c r="DF54" s="1046">
        <v>1996</v>
      </c>
      <c r="DG54" s="1047">
        <v>0.5075047014598465</v>
      </c>
      <c r="DH54" s="1048"/>
      <c r="DW54" s="1043">
        <f>DG54</f>
        <v>0.5075047014598465</v>
      </c>
      <c r="DZ54" s="1007">
        <v>2000</v>
      </c>
      <c r="EA54" s="1019">
        <v>0.7988798725528321</v>
      </c>
      <c r="EB54" s="1009">
        <v>0.8440099667999998</v>
      </c>
      <c r="ES54" s="863">
        <v>2000</v>
      </c>
      <c r="ET54" s="1020">
        <f t="shared" si="54"/>
        <v>213.79458307210035</v>
      </c>
      <c r="EU54" s="1021">
        <f t="shared" si="55"/>
        <v>187.42368279295744</v>
      </c>
      <c r="FL54" s="795">
        <v>2000</v>
      </c>
      <c r="FM54" s="796">
        <v>3.8813756116757316</v>
      </c>
      <c r="FN54" s="822">
        <v>4.720334553021764</v>
      </c>
      <c r="FO54" s="822">
        <f t="shared" si="56"/>
        <v>3.8813756116757316</v>
      </c>
      <c r="FP54" s="1022"/>
      <c r="GC54" s="918"/>
      <c r="GD54" s="919"/>
      <c r="GE54" s="24"/>
      <c r="GH54" s="609">
        <v>2000</v>
      </c>
      <c r="GI54" s="1023">
        <v>213.79458307210035</v>
      </c>
      <c r="GJ54" s="1024">
        <v>225.32871687646318</v>
      </c>
      <c r="GK54" s="1031">
        <f t="shared" si="60"/>
        <v>214.3958779404842</v>
      </c>
      <c r="GX54" s="918"/>
      <c r="GY54" s="919"/>
      <c r="GZ54" s="24"/>
      <c r="HC54" s="609">
        <v>2000</v>
      </c>
      <c r="HD54" s="1025">
        <v>843.378</v>
      </c>
      <c r="HE54" s="1026">
        <v>1165.234</v>
      </c>
      <c r="HF54" s="1026">
        <f t="shared" si="61"/>
        <v>990.4602</v>
      </c>
      <c r="HT54" s="918"/>
      <c r="HU54" s="919"/>
      <c r="HV54" s="24"/>
      <c r="HZ54" s="795">
        <v>2000</v>
      </c>
      <c r="IA54" s="1027">
        <f t="shared" si="57"/>
        <v>213.79458307210035</v>
      </c>
      <c r="IB54" s="1028">
        <f t="shared" si="58"/>
        <v>213.2125645116021</v>
      </c>
      <c r="IC54" s="1028"/>
      <c r="IQ54" s="918"/>
      <c r="IR54" s="919"/>
      <c r="IS54" s="24"/>
    </row>
    <row r="55" ht="23.5" customHeight="1" spans="12:253" x14ac:dyDescent="0.25">
      <c r="L55" s="622"/>
      <c r="M55" s="909" t="s">
        <v>923</v>
      </c>
      <c r="N55" s="909"/>
      <c r="O55" s="932" t="s">
        <v>304</v>
      </c>
      <c r="P55" s="930">
        <f t="shared" ref="P55:AM55" si="64">P40+P45+P50</f>
        <v>1016.5943</v>
      </c>
      <c r="Q55" s="1049">
        <f t="shared" si="64"/>
        <v>1435.8698</v>
      </c>
      <c r="R55" s="1049">
        <f t="shared" si="64"/>
        <v>1776.1376</v>
      </c>
      <c r="S55" s="1049">
        <f t="shared" si="64"/>
        <v>2003.7901000000002</v>
      </c>
      <c r="T55" s="1049">
        <f t="shared" si="64"/>
        <v>3285.6781</v>
      </c>
      <c r="U55" s="1049">
        <f t="shared" si="64"/>
        <v>4476.8508999999995</v>
      </c>
      <c r="V55" s="1049">
        <f t="shared" si="64"/>
        <v>5886.8606</v>
      </c>
      <c r="W55" s="1049">
        <f t="shared" si="64"/>
        <v>7484.1155</v>
      </c>
      <c r="X55" s="1049">
        <f t="shared" si="64"/>
        <v>9058.6876</v>
      </c>
      <c r="Y55" s="1049">
        <f t="shared" si="64"/>
        <v>11477.8496</v>
      </c>
      <c r="Z55" s="1049">
        <f t="shared" si="64"/>
        <v>14438.1492</v>
      </c>
      <c r="AA55" s="1049">
        <f t="shared" si="64"/>
        <v>17809.7407</v>
      </c>
      <c r="AB55" s="1049">
        <f t="shared" si="64"/>
        <v>21968.5795</v>
      </c>
      <c r="AC55" s="1050">
        <f t="shared" si="64"/>
        <v>27543.511399999996</v>
      </c>
      <c r="AD55" s="1050">
        <f t="shared" si="64"/>
        <v>29269.7324</v>
      </c>
      <c r="AE55" s="1050">
        <f t="shared" si="64"/>
        <v>32514.672</v>
      </c>
      <c r="AF55" s="1050">
        <f t="shared" si="64"/>
        <v>40692.2177</v>
      </c>
      <c r="AG55" s="1050">
        <f t="shared" si="64"/>
        <v>46895.7801</v>
      </c>
      <c r="AH55" s="1050">
        <f t="shared" si="64"/>
        <v>52274.283599999995</v>
      </c>
      <c r="AI55" s="1050">
        <f t="shared" si="64"/>
        <v>56418.211</v>
      </c>
      <c r="AJ55" s="1050">
        <f t="shared" si="64"/>
        <v>58240.527</v>
      </c>
      <c r="AK55" s="1050">
        <f t="shared" si="64"/>
        <v>61389.769</v>
      </c>
      <c r="AL55" s="1050">
        <f t="shared" si="64"/>
        <v>65165.528000000006</v>
      </c>
      <c r="AM55" s="1050">
        <f t="shared" si="64"/>
        <v>69332.976</v>
      </c>
      <c r="AN55" s="682"/>
      <c r="AO55" s="897"/>
      <c r="AP55" s="682"/>
      <c r="AQ55" s="912" t="str">
        <f t="shared" si="48"/>
        <v>Y</v>
      </c>
      <c r="BD55" s="928">
        <v>2007</v>
      </c>
      <c r="BE55" s="903">
        <v>2.2500954802530773</v>
      </c>
      <c r="BF55" s="607">
        <v>2.5742188048042465</v>
      </c>
      <c r="BT55" s="928">
        <v>2007</v>
      </c>
      <c r="BU55" s="903">
        <v>10.650833844352405</v>
      </c>
      <c r="BV55" s="607">
        <v>8.561217930593616</v>
      </c>
      <c r="CJ55" s="1051" t="s">
        <v>924</v>
      </c>
      <c r="CK55" s="642"/>
      <c r="CL55" s="642"/>
      <c r="CM55" s="20"/>
      <c r="CN55" s="1052"/>
      <c r="CO55" s="1053"/>
      <c r="DF55" s="1046">
        <v>1997</v>
      </c>
      <c r="DG55" s="1047">
        <v>0.5166764731729763</v>
      </c>
      <c r="DH55" s="1048"/>
      <c r="DW55" s="1043">
        <f t="shared" ref="DW55:DW76" si="65">DG55</f>
        <v>0.5166764731729763</v>
      </c>
      <c r="DZ55" s="1007">
        <v>2001</v>
      </c>
      <c r="EA55" s="1019">
        <v>0.880365619553221</v>
      </c>
      <c r="EB55" s="1009">
        <v>0.9284109634799999</v>
      </c>
      <c r="ES55" s="863">
        <v>2001</v>
      </c>
      <c r="ET55" s="1020">
        <f t="shared" si="54"/>
        <v>254.24220689655175</v>
      </c>
      <c r="EU55" s="1021">
        <f t="shared" si="55"/>
        <v>206.53724829158108</v>
      </c>
      <c r="FL55" s="795">
        <v>2001</v>
      </c>
      <c r="FM55" s="796">
        <v>4.924455543275788</v>
      </c>
      <c r="FN55" s="822">
        <v>5.498230296745924</v>
      </c>
      <c r="FO55" s="822">
        <f t="shared" si="56"/>
        <v>4.924455543275788</v>
      </c>
      <c r="FP55" s="1022"/>
      <c r="GC55" s="918"/>
      <c r="GD55" s="919"/>
      <c r="GE55" s="24"/>
      <c r="GH55" s="609">
        <v>2001</v>
      </c>
      <c r="GI55" s="1023">
        <v>254.24220689655175</v>
      </c>
      <c r="GJ55" s="1024">
        <v>247.86158856410952</v>
      </c>
      <c r="GK55" s="1031">
        <f t="shared" si="60"/>
        <v>237.7621021228493</v>
      </c>
      <c r="GX55" s="918"/>
      <c r="GY55" s="919"/>
      <c r="GZ55" s="24"/>
      <c r="HC55" s="609">
        <v>2001</v>
      </c>
      <c r="HD55" s="1025">
        <v>1117.655</v>
      </c>
      <c r="HE55" s="1026">
        <v>1504.7</v>
      </c>
      <c r="HF55" s="1026">
        <f t="shared" si="61"/>
        <v>1353.3807</v>
      </c>
      <c r="HT55" s="918"/>
      <c r="HU55" s="919"/>
      <c r="HV55" s="24"/>
      <c r="HZ55" s="795">
        <v>2001</v>
      </c>
      <c r="IA55" s="1027">
        <f t="shared" si="57"/>
        <v>254.24220689655175</v>
      </c>
      <c r="IB55" s="1028">
        <f t="shared" si="58"/>
        <v>259.9554863034907</v>
      </c>
      <c r="IC55" s="1028"/>
      <c r="IQ55" s="918"/>
      <c r="IR55" s="919"/>
      <c r="IS55" s="24"/>
    </row>
    <row r="56" ht="23.5" customHeight="1" spans="12:253" x14ac:dyDescent="0.25">
      <c r="L56" s="622"/>
      <c r="M56" s="622" t="s">
        <v>925</v>
      </c>
      <c r="N56" s="622"/>
      <c r="O56" s="1054" t="s">
        <v>304</v>
      </c>
      <c r="P56" s="929">
        <v>1016.5943</v>
      </c>
      <c r="Q56" s="1055">
        <f>ОТЧЁТ!V60</f>
        <v>1435.8698</v>
      </c>
      <c r="R56" s="1055">
        <f>ОТЧЁТ!W60</f>
        <v>1776.1376</v>
      </c>
      <c r="S56" s="1055">
        <f>ОТЧЁТ!X60</f>
        <v>2003.7901000000002</v>
      </c>
      <c r="T56" s="1055">
        <f>ОТЧЁТ!Y60</f>
        <v>3285.6781</v>
      </c>
      <c r="U56" s="1055">
        <f>ОТЧЁТ!Z60</f>
        <v>4476.8508999999995</v>
      </c>
      <c r="V56" s="1055">
        <f>ОТЧЁТ!AA60</f>
        <v>5886.8606</v>
      </c>
      <c r="W56" s="1055">
        <f>ОТЧЁТ!AB60</f>
        <v>7484.1155</v>
      </c>
      <c r="X56" s="1055">
        <f>ОТЧЁТ!AC60</f>
        <v>9058.6876</v>
      </c>
      <c r="Y56" s="1055">
        <f>ОТЧЁТ!AD60</f>
        <v>11477.8496</v>
      </c>
      <c r="Z56" s="1055">
        <f>ОТЧЁТ!AE60</f>
        <v>14438.1492</v>
      </c>
      <c r="AA56" s="1055">
        <f>ОТЧЁТ!AF60</f>
        <v>17809.7407</v>
      </c>
      <c r="AB56" s="1055">
        <f>ОТЧЁТ!AG60</f>
        <v>21968.5795</v>
      </c>
      <c r="AC56" s="1056">
        <f>ОТЧЁТ!AH60</f>
        <v>27543.5114</v>
      </c>
      <c r="AD56" s="1056">
        <f>ОТЧЁТ!AI60</f>
        <v>29269.625</v>
      </c>
      <c r="AE56" s="1057">
        <f>ОТЧЁТ!AJ60</f>
        <v>32514.673</v>
      </c>
      <c r="AF56" s="1056">
        <f>ОТЧЁТ!AK60</f>
        <v>40692.2177</v>
      </c>
      <c r="AG56" s="1056">
        <f>ОТЧЁТ!AL60</f>
        <v>46895.7801</v>
      </c>
      <c r="AH56" s="1056">
        <f>ОТЧЁТ!AM60</f>
        <v>52274.2836</v>
      </c>
      <c r="AI56" s="1056">
        <f>ОТЧЁТ!AN60</f>
        <v>56418.22</v>
      </c>
      <c r="AJ56" s="1056">
        <f>ОТЧЁТ!AO60</f>
        <v>58240.53</v>
      </c>
      <c r="AK56" s="1056">
        <f>ОТЧЁТ!AP60</f>
        <v>61389.77</v>
      </c>
      <c r="AL56" s="1056">
        <f>ОТЧЁТ!AQ60</f>
        <v>65165.44</v>
      </c>
      <c r="AM56" s="1056">
        <f>ОТЧЁТ!AR60</f>
        <v>69332.98</v>
      </c>
      <c r="AN56" s="689"/>
      <c r="AO56" s="897"/>
      <c r="AP56" s="689"/>
      <c r="AQ56" s="912" t="str">
        <f t="shared" si="48"/>
        <v>Y</v>
      </c>
      <c r="BD56" s="928">
        <v>2008</v>
      </c>
      <c r="BE56" s="903">
        <v>2.2635960531345956</v>
      </c>
      <c r="BF56" s="607">
        <v>2.7497145962121365</v>
      </c>
      <c r="BT56" s="928">
        <v>2008</v>
      </c>
      <c r="BU56" s="903">
        <v>13.643325842032947</v>
      </c>
      <c r="BV56" s="607">
        <v>10.360928463828227</v>
      </c>
      <c r="CJ56" s="714" t="s">
        <v>926</v>
      </c>
      <c r="CK56" s="1058"/>
      <c r="CL56" s="1058"/>
      <c r="CM56" s="1058"/>
      <c r="CN56" s="272"/>
      <c r="CO56" s="576"/>
      <c r="DF56" s="1046">
        <v>1998</v>
      </c>
      <c r="DG56" s="1047">
        <v>0.4918013771726725</v>
      </c>
      <c r="DH56" s="1059"/>
      <c r="DW56" s="1043">
        <f t="shared" si="65"/>
        <v>0.4918013771726725</v>
      </c>
      <c r="DZ56" s="1007">
        <v>2002</v>
      </c>
      <c r="EA56" s="1019">
        <v>0.9050158569007112</v>
      </c>
      <c r="EB56" s="1009">
        <v>0.9544064704574399</v>
      </c>
      <c r="ES56" s="863">
        <v>2002</v>
      </c>
      <c r="ET56" s="1020">
        <f t="shared" si="54"/>
        <v>274.4660188087774</v>
      </c>
      <c r="EU56" s="1021">
        <f t="shared" si="55"/>
        <v>220.9834596616493</v>
      </c>
      <c r="FL56" s="795">
        <v>2002</v>
      </c>
      <c r="FM56" s="796">
        <v>5.507600378283486</v>
      </c>
      <c r="FN56" s="822">
        <v>6.352729528641842</v>
      </c>
      <c r="FO56" s="822">
        <f t="shared" si="56"/>
        <v>5.507600378283486</v>
      </c>
      <c r="FP56" s="1022"/>
      <c r="GC56" s="918"/>
      <c r="GD56" s="919"/>
      <c r="GE56" s="24"/>
      <c r="GH56" s="609">
        <v>2002</v>
      </c>
      <c r="GI56" s="1023">
        <v>274.4660188087774</v>
      </c>
      <c r="GJ56" s="1024">
        <v>254.80171304390458</v>
      </c>
      <c r="GK56" s="1031">
        <f t="shared" si="60"/>
        <v>250.46638853120143</v>
      </c>
      <c r="GX56" s="918"/>
      <c r="GY56" s="919"/>
      <c r="GZ56" s="24"/>
      <c r="HC56" s="609">
        <v>2002</v>
      </c>
      <c r="HD56" s="1025">
        <v>1615.063</v>
      </c>
      <c r="HE56" s="1026">
        <v>1762.4</v>
      </c>
      <c r="HF56" s="1026">
        <f t="shared" si="61"/>
        <v>1651.1434000000002</v>
      </c>
      <c r="HT56" s="918"/>
      <c r="HU56" s="919"/>
      <c r="HV56" s="24"/>
      <c r="HZ56" s="795">
        <v>2002</v>
      </c>
      <c r="IA56" s="1027">
        <f t="shared" si="57"/>
        <v>274.4660188087774</v>
      </c>
      <c r="IB56" s="1028">
        <f t="shared" si="58"/>
        <v>272.6142090913576</v>
      </c>
      <c r="IC56" s="1028"/>
      <c r="IQ56" s="918"/>
      <c r="IR56" s="919"/>
      <c r="IS56" s="24"/>
    </row>
    <row r="57" ht="24" customHeight="1" spans="14:253" x14ac:dyDescent="0.25">
      <c r="N57" s="622" t="s">
        <v>319</v>
      </c>
      <c r="O57" s="1054"/>
      <c r="P57" s="1055"/>
      <c r="Q57" s="1044">
        <f>Q55-Q56</f>
        <v>0</v>
      </c>
      <c r="R57" s="1044">
        <f t="shared" ref="R57:AM57" si="66">R55-R56</f>
        <v>0</v>
      </c>
      <c r="S57" s="1044">
        <f t="shared" si="66"/>
        <v>0</v>
      </c>
      <c r="T57" s="1044">
        <f t="shared" si="66"/>
        <v>0</v>
      </c>
      <c r="U57" s="1044">
        <f t="shared" si="66"/>
        <v>0</v>
      </c>
      <c r="V57" s="1044">
        <f t="shared" si="66"/>
        <v>0</v>
      </c>
      <c r="W57" s="1044">
        <f t="shared" si="66"/>
        <v>0</v>
      </c>
      <c r="X57" s="1044">
        <f t="shared" si="66"/>
        <v>0</v>
      </c>
      <c r="Y57" s="1044">
        <f t="shared" si="66"/>
        <v>0</v>
      </c>
      <c r="Z57" s="1044">
        <f t="shared" si="66"/>
        <v>0</v>
      </c>
      <c r="AA57" s="1044">
        <f t="shared" si="66"/>
        <v>0</v>
      </c>
      <c r="AB57" s="1044">
        <f t="shared" si="66"/>
        <v>0</v>
      </c>
      <c r="AC57" s="1044">
        <f t="shared" si="66"/>
        <v>0</v>
      </c>
      <c r="AD57" s="1044">
        <f t="shared" si="66"/>
        <v>0.10740000000077998</v>
      </c>
      <c r="AE57" s="1044">
        <f t="shared" si="66"/>
        <v>-0.0010000000002037268</v>
      </c>
      <c r="AF57" s="1044">
        <f t="shared" si="66"/>
        <v>0</v>
      </c>
      <c r="AG57" s="1044">
        <f t="shared" si="66"/>
        <v>0</v>
      </c>
      <c r="AH57" s="1044">
        <f t="shared" si="66"/>
        <v>0</v>
      </c>
      <c r="AI57" s="1044">
        <f t="shared" si="66"/>
        <v>-0.008999999998195563</v>
      </c>
      <c r="AJ57" s="1044">
        <f t="shared" si="66"/>
        <v>-0.0029999999969732016</v>
      </c>
      <c r="AK57" s="1044">
        <f t="shared" si="66"/>
        <v>-0.000999999996565748</v>
      </c>
      <c r="AL57" s="1044">
        <f t="shared" si="66"/>
        <v>0.08800000000337604</v>
      </c>
      <c r="AM57" s="1044">
        <f t="shared" si="66"/>
        <v>-0.004000000000814907</v>
      </c>
      <c r="AN57" s="689"/>
      <c r="AO57" s="897"/>
      <c r="AP57" s="689"/>
      <c r="AQ57" s="912">
        <f t="shared" si="48"/>
        <v>0</v>
      </c>
      <c r="BD57" s="928">
        <v>2009</v>
      </c>
      <c r="BE57" s="903">
        <v>2.1572070386372695</v>
      </c>
      <c r="BF57" s="607">
        <v>1.8560462102765105</v>
      </c>
      <c r="BT57" s="928">
        <v>2009</v>
      </c>
      <c r="BU57" s="903">
        <v>12.010355196687106</v>
      </c>
      <c r="BV57" s="607">
        <v>10.68510871341186</v>
      </c>
      <c r="CJ57" s="714" t="s">
        <v>927</v>
      </c>
      <c r="CK57" s="1058"/>
      <c r="CL57" s="1058"/>
      <c r="CM57" s="1058"/>
      <c r="CN57" s="272"/>
      <c r="CO57" s="576"/>
      <c r="DF57" s="1046">
        <v>1999</v>
      </c>
      <c r="DG57" s="1047">
        <v>0.5192872824837201</v>
      </c>
      <c r="DH57" s="1059"/>
      <c r="DW57" s="1043">
        <f t="shared" si="65"/>
        <v>0.5192872824837201</v>
      </c>
      <c r="DZ57" s="1007">
        <v>2003</v>
      </c>
      <c r="EA57" s="1019">
        <v>1.03081306100991</v>
      </c>
      <c r="EB57" s="1009">
        <v>1.0737072792646198</v>
      </c>
      <c r="ES57" s="863">
        <v>2003</v>
      </c>
      <c r="ET57" s="1020">
        <f t="shared" si="54"/>
        <v>307.69085266457677</v>
      </c>
      <c r="EU57" s="1021">
        <f t="shared" si="55"/>
        <v>237.46825250439923</v>
      </c>
      <c r="FL57" s="795">
        <v>2003</v>
      </c>
      <c r="FM57" s="796">
        <v>6.325509783187269</v>
      </c>
      <c r="FN57" s="822">
        <v>7.227860274382953</v>
      </c>
      <c r="FO57" s="822">
        <f t="shared" si="56"/>
        <v>6.325509783187269</v>
      </c>
      <c r="FP57" s="1022"/>
      <c r="GC57" s="918"/>
      <c r="GD57" s="919"/>
      <c r="GE57" s="24"/>
      <c r="GH57" s="609">
        <v>2003</v>
      </c>
      <c r="GI57" s="1023">
        <v>307.69085266457677</v>
      </c>
      <c r="GJ57" s="1024">
        <v>286.65192717439265</v>
      </c>
      <c r="GK57" s="1031">
        <f t="shared" si="60"/>
        <v>276.40285048726673</v>
      </c>
      <c r="GX57" s="918"/>
      <c r="GY57" s="919"/>
      <c r="GZ57" s="24"/>
      <c r="HC57" s="609">
        <v>2003</v>
      </c>
      <c r="HD57" s="1025">
        <v>1815.658</v>
      </c>
      <c r="HE57" s="1026">
        <v>2186.4</v>
      </c>
      <c r="HF57" s="1026">
        <f t="shared" si="61"/>
        <v>2033.43</v>
      </c>
      <c r="HT57" s="918"/>
      <c r="HU57" s="919"/>
      <c r="HV57" s="24"/>
      <c r="HZ57" s="795">
        <v>2003</v>
      </c>
      <c r="IA57" s="1027">
        <f t="shared" si="57"/>
        <v>307.69085266457677</v>
      </c>
      <c r="IB57" s="1028">
        <f t="shared" si="58"/>
        <v>309.291638950949</v>
      </c>
      <c r="IC57" s="1028"/>
      <c r="IQ57" s="918"/>
      <c r="IR57" s="919"/>
      <c r="IS57" s="24"/>
    </row>
    <row r="58" ht="23.5" customHeight="1" spans="12:253" x14ac:dyDescent="0.25">
      <c r="L58" s="956" t="s">
        <v>871</v>
      </c>
      <c r="M58" s="909" t="s">
        <v>928</v>
      </c>
      <c r="N58" s="909"/>
      <c r="O58" s="932" t="s">
        <v>308</v>
      </c>
      <c r="P58" s="930">
        <v>418.4685</v>
      </c>
      <c r="Q58" s="929">
        <f>ОТЧЁТ!V62</f>
        <v>523.4631</v>
      </c>
      <c r="R58" s="929">
        <f>ОТЧЁТ!W62</f>
        <v>579.2865</v>
      </c>
      <c r="S58" s="929">
        <f>ОТЧЁТ!X62</f>
        <v>821.0434</v>
      </c>
      <c r="T58" s="929">
        <f>ОТЧЁТ!Y62</f>
        <v>2084.5851</v>
      </c>
      <c r="U58" s="929">
        <f>ОТЧЁТ!Z62</f>
        <v>3218.8663</v>
      </c>
      <c r="V58" s="929">
        <f>ОТЧЁТ!AA62</f>
        <v>3299.5617</v>
      </c>
      <c r="W58" s="929">
        <f>ОТЧЁТ!AB62</f>
        <v>3813.7</v>
      </c>
      <c r="X58" s="934">
        <f>ОТЧЁТ!AC62</f>
        <v>4655.8803</v>
      </c>
      <c r="Y58" s="934">
        <f>ОТЧЁТ!AD62</f>
        <v>5860.3969</v>
      </c>
      <c r="Z58" s="934">
        <f>ОТЧЁТ!AE62</f>
        <v>7607.2565</v>
      </c>
      <c r="AA58" s="934">
        <f>ОТЧЁТ!AF62</f>
        <v>9079.3</v>
      </c>
      <c r="AB58" s="934">
        <f>ОТЧЁТ!AG62</f>
        <v>10028.7621</v>
      </c>
      <c r="AC58" s="934">
        <f>ОТЧЁТ!AH62</f>
        <v>12923.5537</v>
      </c>
      <c r="AD58" s="934">
        <f>ОТЧЁТ!AI62</f>
        <v>10842.0262</v>
      </c>
      <c r="AE58" s="933">
        <f>ОТЧЁТ!AJ62</f>
        <v>13529.311</v>
      </c>
      <c r="AF58" s="934">
        <f>ОТЧЁТ!AK62</f>
        <v>16865.192199999998</v>
      </c>
      <c r="AG58" s="934">
        <f>ОТЧЁТ!AL62</f>
        <v>18324.7723</v>
      </c>
      <c r="AH58" s="934">
        <f>ОТЧЁТ!AM62</f>
        <v>18863.370199999998</v>
      </c>
      <c r="AI58" s="934">
        <f>ОТЧЁТ!AN62</f>
        <v>21425.9346</v>
      </c>
      <c r="AJ58" s="934">
        <f>ОТЧЁТ!AO62</f>
        <v>23854.05</v>
      </c>
      <c r="AK58" s="934">
        <f>ОТЧЁТ!AP62</f>
        <v>22137.648</v>
      </c>
      <c r="AL58" s="934">
        <f>ОТЧЁТ!AQ62</f>
        <v>23994.3</v>
      </c>
      <c r="AM58" s="934">
        <f>ОТЧЁТ!AR62</f>
        <v>31932.55</v>
      </c>
      <c r="AN58" s="682"/>
      <c r="AO58" s="897"/>
      <c r="AP58" s="682"/>
      <c r="AQ58" s="912" t="str">
        <f t="shared" ref="AQ58:AQ64" si="67">O58</f>
        <v>EX</v>
      </c>
      <c r="BD58" s="928">
        <v>2010</v>
      </c>
      <c r="BE58" s="903">
        <v>2.3082115313418785</v>
      </c>
      <c r="BF58" s="607">
        <v>2.3303852986711466</v>
      </c>
      <c r="BT58" s="928">
        <v>2010</v>
      </c>
      <c r="BU58" s="903">
        <v>14.006747557636276</v>
      </c>
      <c r="BV58" s="607">
        <v>12.376786544178128</v>
      </c>
      <c r="CJ58" s="1060" t="s">
        <v>520</v>
      </c>
      <c r="CK58" s="1061" t="s">
        <v>929</v>
      </c>
      <c r="CL58" s="1062" t="s">
        <v>930</v>
      </c>
      <c r="CM58" s="1062" t="s">
        <v>931</v>
      </c>
      <c r="CN58" s="1063" t="s">
        <v>932</v>
      </c>
      <c r="CO58" s="1064" t="s">
        <v>933</v>
      </c>
      <c r="DF58" s="1046">
        <v>2000</v>
      </c>
      <c r="DG58" s="1047">
        <v>0.5652739174499402</v>
      </c>
      <c r="DH58" s="1059"/>
      <c r="DW58" s="1043">
        <f t="shared" si="65"/>
        <v>0.5652739174499402</v>
      </c>
      <c r="DZ58" s="1007">
        <v>2004</v>
      </c>
      <c r="EA58" s="1019">
        <v>1.1606955066971585</v>
      </c>
      <c r="EB58" s="1009">
        <v>1.2208051765238728</v>
      </c>
      <c r="ES58" s="863">
        <v>2004</v>
      </c>
      <c r="ET58" s="1020">
        <f t="shared" si="54"/>
        <v>343.804802507837</v>
      </c>
      <c r="EU58" s="1021">
        <f t="shared" si="55"/>
        <v>256.2534253235163</v>
      </c>
      <c r="FL58" s="795">
        <v>2004</v>
      </c>
      <c r="FM58" s="796">
        <v>7.300312186990133</v>
      </c>
      <c r="FN58" s="822">
        <v>8.69186996402742</v>
      </c>
      <c r="FO58" s="822">
        <f t="shared" si="56"/>
        <v>7.300312186990133</v>
      </c>
      <c r="FP58" s="1022"/>
      <c r="GC58" s="918"/>
      <c r="GD58" s="919"/>
      <c r="GE58" s="24"/>
      <c r="GH58" s="609">
        <v>2004</v>
      </c>
      <c r="GI58" s="1023">
        <v>343.804802507837</v>
      </c>
      <c r="GJ58" s="1024">
        <v>325.9232411972844</v>
      </c>
      <c r="GK58" s="1031">
        <f t="shared" si="60"/>
        <v>310.9568255773681</v>
      </c>
      <c r="GX58" s="918"/>
      <c r="GY58" s="919"/>
      <c r="GZ58" s="24"/>
      <c r="HC58" s="609">
        <v>2004</v>
      </c>
      <c r="HD58" s="1025">
        <v>1972.112</v>
      </c>
      <c r="HE58" s="1026">
        <v>2865</v>
      </c>
      <c r="HF58" s="1026">
        <f t="shared" si="61"/>
        <v>2619.0199999999995</v>
      </c>
      <c r="HT58" s="918"/>
      <c r="HU58" s="919"/>
      <c r="HV58" s="24"/>
      <c r="HZ58" s="795">
        <v>2004</v>
      </c>
      <c r="IA58" s="1027">
        <f t="shared" si="57"/>
        <v>343.804802507837</v>
      </c>
      <c r="IB58" s="1028">
        <f t="shared" si="58"/>
        <v>347.25898941084665</v>
      </c>
      <c r="IC58" s="1028"/>
      <c r="IQ58" s="918"/>
      <c r="IR58" s="919"/>
      <c r="IS58" s="24"/>
    </row>
    <row r="59" ht="24" customHeight="1" spans="12:253" x14ac:dyDescent="0.25">
      <c r="L59" s="956" t="s">
        <v>871</v>
      </c>
      <c r="M59" s="909"/>
      <c r="N59" s="909"/>
      <c r="O59" s="910" t="s">
        <v>526</v>
      </c>
      <c r="P59" s="636">
        <v>1.05</v>
      </c>
      <c r="Q59" s="921">
        <f>ОТЧЁТ!V139</f>
        <v>1.037</v>
      </c>
      <c r="R59" s="921">
        <f>ОТЧЁТ!W139</f>
        <v>0.995</v>
      </c>
      <c r="S59" s="921">
        <f>ОТЧЁТ!X139</f>
        <v>1.019</v>
      </c>
      <c r="T59" s="921">
        <f>ОТЧЁТ!Y139</f>
        <v>1.112</v>
      </c>
      <c r="U59" s="921">
        <f>ОТЧЁТ!Z139</f>
        <v>1.095</v>
      </c>
      <c r="V59" s="921">
        <f>ОТЧЁТ!AA139</f>
        <v>1.042</v>
      </c>
      <c r="W59" s="921">
        <f>ОТЧЁТ!AB139</f>
        <v>1.103</v>
      </c>
      <c r="X59" s="921">
        <f>ОТЧЁТ!AC139</f>
        <v>1.126</v>
      </c>
      <c r="Y59" s="921">
        <f>ОТЧЁТ!AD139</f>
        <v>1.118</v>
      </c>
      <c r="Z59" s="921">
        <f>ОТЧЁТ!AE139</f>
        <v>1.065</v>
      </c>
      <c r="AA59" s="921">
        <f>ОТЧЁТ!AF139</f>
        <v>1.073</v>
      </c>
      <c r="AB59" s="921">
        <f>ОТЧЁТ!AG139</f>
        <v>1.063</v>
      </c>
      <c r="AC59" s="921">
        <f>ОТЧЁТ!AH139</f>
        <v>1.006</v>
      </c>
      <c r="AD59" s="921">
        <f>ОТЧЁТ!AI139</f>
        <v>0.953</v>
      </c>
      <c r="AE59" s="911">
        <f>ОТЧЁТ!AJ139</f>
        <v>1.07</v>
      </c>
      <c r="AF59" s="921">
        <f>ОТЧЁТ!AK139</f>
        <v>1.003</v>
      </c>
      <c r="AG59" s="921">
        <f>ОТЧЁТ!AL139</f>
        <v>1.014</v>
      </c>
      <c r="AH59" s="921">
        <f>ОТЧЁТ!AM139</f>
        <v>1.046</v>
      </c>
      <c r="AI59" s="921">
        <f>ОТЧЁТ!AN139</f>
        <v>1.005</v>
      </c>
      <c r="AJ59" s="921">
        <f>ОТЧЁТ!AO139</f>
        <v>1.037</v>
      </c>
      <c r="AK59" s="921">
        <f>ОТЧЁТ!AP139</f>
        <v>1.032</v>
      </c>
      <c r="AL59" s="921">
        <f>ОТЧЁТ!AQ139</f>
        <v>1.05</v>
      </c>
      <c r="AM59" s="921">
        <f>ОТЧЁТ!AR139</f>
        <v>1.055</v>
      </c>
      <c r="AN59" s="682"/>
      <c r="AO59" s="897"/>
      <c r="AP59" s="682"/>
      <c r="AQ59" s="912" t="str">
        <f t="shared" si="67"/>
        <v>pEX</v>
      </c>
      <c r="BD59" s="928">
        <v>2011</v>
      </c>
      <c r="BE59" s="903">
        <v>2.315136165935904</v>
      </c>
      <c r="BF59" s="607">
        <v>2.6832129238473335</v>
      </c>
      <c r="BT59" s="928">
        <v>2011</v>
      </c>
      <c r="BU59" s="903">
        <v>17.40812446892646</v>
      </c>
      <c r="BV59" s="607">
        <v>14.886630426588829</v>
      </c>
      <c r="CJ59" s="1065">
        <v>43916</v>
      </c>
      <c r="CK59" s="1066" t="s">
        <v>934</v>
      </c>
      <c r="CL59" s="1066" t="s">
        <v>934</v>
      </c>
      <c r="CM59" s="1067" t="s">
        <v>935</v>
      </c>
      <c r="CN59" s="768" t="s">
        <v>833</v>
      </c>
      <c r="CO59" s="767" t="s">
        <v>833</v>
      </c>
      <c r="DF59" s="1046">
        <v>2001</v>
      </c>
      <c r="DG59" s="1047">
        <v>0.587683190688788</v>
      </c>
      <c r="DH59" s="1059"/>
      <c r="DW59" s="1043">
        <f t="shared" si="65"/>
        <v>0.587683190688788</v>
      </c>
      <c r="DZ59" s="1007">
        <v>2005</v>
      </c>
      <c r="EA59" s="1019">
        <v>1.2833622609573379</v>
      </c>
      <c r="EB59" s="1009">
        <v>1.345327304529308</v>
      </c>
      <c r="ES59" s="863">
        <v>2005</v>
      </c>
      <c r="ET59" s="1020">
        <f t="shared" si="54"/>
        <v>381.3633103448276</v>
      </c>
      <c r="EU59" s="1021">
        <f t="shared" si="55"/>
        <v>275.7325737719432</v>
      </c>
      <c r="FL59" s="795">
        <v>2005</v>
      </c>
      <c r="FM59" s="796">
        <v>8.79079082161258</v>
      </c>
      <c r="FN59" s="822">
        <v>10.36760974912887</v>
      </c>
      <c r="FO59" s="822">
        <f t="shared" si="56"/>
        <v>8.79079082161258</v>
      </c>
      <c r="FP59" s="1022"/>
      <c r="GC59" s="918"/>
      <c r="GD59" s="919"/>
      <c r="GE59" s="24"/>
      <c r="GH59" s="609">
        <v>2005</v>
      </c>
      <c r="GI59" s="1023">
        <v>381.3633103448276</v>
      </c>
      <c r="GJ59" s="1024">
        <v>359.1674117994075</v>
      </c>
      <c r="GK59" s="1031">
        <f t="shared" si="60"/>
        <v>345.2670292164814</v>
      </c>
      <c r="GX59" s="918"/>
      <c r="GY59" s="919"/>
      <c r="GZ59" s="24"/>
      <c r="HC59" s="609">
        <v>2005</v>
      </c>
      <c r="HD59" s="1025">
        <v>2943.686</v>
      </c>
      <c r="HE59" s="1026">
        <v>3611.1</v>
      </c>
      <c r="HF59" s="1026">
        <f t="shared" si="61"/>
        <v>3319.41</v>
      </c>
      <c r="HT59" s="918"/>
      <c r="HU59" s="919"/>
      <c r="HV59" s="24"/>
      <c r="HZ59" s="795">
        <v>2005</v>
      </c>
      <c r="IA59" s="1027">
        <f t="shared" si="57"/>
        <v>381.3633103448276</v>
      </c>
      <c r="IB59" s="1028">
        <f t="shared" si="58"/>
        <v>386.87086583118975</v>
      </c>
      <c r="IC59" s="1028"/>
      <c r="IQ59" s="918"/>
      <c r="IR59" s="919"/>
      <c r="IS59" s="24"/>
    </row>
    <row r="60" ht="23.5" customHeight="1" spans="12:253" x14ac:dyDescent="0.25">
      <c r="L60" s="622"/>
      <c r="M60" s="909"/>
      <c r="N60" s="909"/>
      <c r="O60" s="910" t="s">
        <v>936</v>
      </c>
      <c r="P60" s="636">
        <v>1</v>
      </c>
      <c r="Q60" s="921">
        <f>P60*Q59</f>
        <v>1.037</v>
      </c>
      <c r="R60" s="921">
        <f t="shared" ref="R60:AI60" si="68">Q60*R59</f>
        <v>1.031815</v>
      </c>
      <c r="S60" s="921">
        <f t="shared" si="68"/>
        <v>1.0514194849999998</v>
      </c>
      <c r="T60" s="921">
        <f t="shared" si="68"/>
        <v>1.1691784673199999</v>
      </c>
      <c r="U60" s="921">
        <f t="shared" si="68"/>
        <v>1.2802504217153998</v>
      </c>
      <c r="V60" s="921">
        <f t="shared" si="68"/>
        <v>1.3340209394274467</v>
      </c>
      <c r="W60" s="921">
        <f t="shared" si="68"/>
        <v>1.4714250961884736</v>
      </c>
      <c r="X60" s="921">
        <f t="shared" si="68"/>
        <v>1.6568246583082211</v>
      </c>
      <c r="Y60" s="921">
        <f t="shared" si="68"/>
        <v>1.8523299679885914</v>
      </c>
      <c r="Z60" s="921">
        <f t="shared" si="68"/>
        <v>1.9727314159078497</v>
      </c>
      <c r="AA60" s="921">
        <f t="shared" si="68"/>
        <v>2.1167408092691224</v>
      </c>
      <c r="AB60" s="921">
        <f t="shared" si="68"/>
        <v>2.2500954802530773</v>
      </c>
      <c r="AC60" s="921">
        <f t="shared" si="68"/>
        <v>2.2635960531345956</v>
      </c>
      <c r="AD60" s="921">
        <f t="shared" si="68"/>
        <v>2.1572070386372695</v>
      </c>
      <c r="AE60" s="911">
        <f t="shared" si="68"/>
        <v>2.3082115313418785</v>
      </c>
      <c r="AF60" s="921">
        <f t="shared" si="68"/>
        <v>2.315136165935904</v>
      </c>
      <c r="AG60" s="921">
        <f t="shared" si="68"/>
        <v>2.3475480722590065</v>
      </c>
      <c r="AH60" s="921">
        <f t="shared" si="68"/>
        <v>2.455535283582921</v>
      </c>
      <c r="AI60" s="921">
        <f t="shared" si="68"/>
        <v>2.467812960000835</v>
      </c>
      <c r="AJ60" s="921">
        <f>AI60*AJ59</f>
        <v>2.559122039520866</v>
      </c>
      <c r="AK60" s="921">
        <f>AJ60*AK59</f>
        <v>2.641013944785534</v>
      </c>
      <c r="AL60" s="921">
        <f>AK60*AL59</f>
        <v>2.773064642024811</v>
      </c>
      <c r="AM60" s="921">
        <f>AL60*AM59</f>
        <v>2.9255831973361754</v>
      </c>
      <c r="AN60" s="682"/>
      <c r="AO60" s="897"/>
      <c r="AP60" s="682"/>
      <c r="AQ60" s="912" t="str">
        <f t="shared" si="67"/>
        <v>Pe</v>
      </c>
      <c r="BD60" s="928">
        <v>2012</v>
      </c>
      <c r="BE60" s="903">
        <v>2.3475480722590065</v>
      </c>
      <c r="BF60" s="607">
        <v>2.782749992303304</v>
      </c>
      <c r="BT60" s="928">
        <v>2012</v>
      </c>
      <c r="BU60" s="903">
        <v>18.653542469425737</v>
      </c>
      <c r="BV60" s="607">
        <v>15.682710215951941</v>
      </c>
      <c r="CJ60" s="1068">
        <v>1995</v>
      </c>
      <c r="CK60" s="138">
        <f t="array" ref="CK60:CK83">TRANSPOSE(ОТЧЁТ!U199:AR199)</f>
        <v>1428.5209</v>
      </c>
      <c r="CL60" s="140">
        <f t="array" ref="CL60:CL83">TRANSPOSE(ОТЧЁТ!U197:AR197)</f>
        <v>5306</v>
      </c>
      <c r="CM60" s="321">
        <f t="array" ref="CM60:CM83">TRANSPOSE(ОТЧЁТ!U91:AR91)</f>
        <v>64.055</v>
      </c>
      <c r="CN60" s="321">
        <v>22.301473733510264</v>
      </c>
      <c r="CO60" s="201">
        <v>82.84224494574974</v>
      </c>
      <c r="DF60" s="1046">
        <v>2002</v>
      </c>
      <c r="DG60" s="1047">
        <v>0.6074665852268265</v>
      </c>
      <c r="DH60" s="1059"/>
      <c r="DW60" s="1043">
        <f t="shared" si="65"/>
        <v>0.6074665852268265</v>
      </c>
      <c r="DZ60" s="1007">
        <v>2006</v>
      </c>
      <c r="EA60" s="1019">
        <v>1.5143674679296586</v>
      </c>
      <c r="EB60" s="1009">
        <v>1.5699969643857024</v>
      </c>
      <c r="ES60" s="863">
        <v>2006</v>
      </c>
      <c r="ET60" s="1020">
        <f t="shared" si="54"/>
        <v>443.4793040752351</v>
      </c>
      <c r="EU60" s="1021">
        <f t="shared" si="55"/>
        <v>307.5158675685802</v>
      </c>
      <c r="FL60" s="795">
        <v>2006</v>
      </c>
      <c r="FM60" s="796">
        <v>10.077706332186347</v>
      </c>
      <c r="FN60" s="822">
        <v>11.935242035159135</v>
      </c>
      <c r="FO60" s="822">
        <f t="shared" si="56"/>
        <v>10.077706332186347</v>
      </c>
      <c r="FP60" s="1022"/>
      <c r="GC60" s="918"/>
      <c r="GD60" s="919"/>
      <c r="GE60" s="24"/>
      <c r="GH60" s="609">
        <v>2006</v>
      </c>
      <c r="GI60" s="1023">
        <v>443.4793040752351</v>
      </c>
      <c r="GJ60" s="1024">
        <v>419.14836956990854</v>
      </c>
      <c r="GK60" s="1031">
        <f t="shared" si="60"/>
        <v>397.8296651785459</v>
      </c>
      <c r="GX60" s="918"/>
      <c r="GY60" s="919"/>
      <c r="GZ60" s="24"/>
      <c r="HC60" s="609">
        <v>2006</v>
      </c>
      <c r="HD60" s="1025">
        <v>3252.436</v>
      </c>
      <c r="HE60" s="1026">
        <v>4730</v>
      </c>
      <c r="HF60" s="1026">
        <f t="shared" si="61"/>
        <v>4319.72</v>
      </c>
      <c r="HT60" s="918"/>
      <c r="HU60" s="919"/>
      <c r="HV60" s="24"/>
      <c r="HZ60" s="795">
        <v>2006</v>
      </c>
      <c r="IA60" s="1027">
        <f t="shared" si="57"/>
        <v>443.4793040752351</v>
      </c>
      <c r="IB60" s="1028">
        <f t="shared" si="58"/>
        <v>453.32981138608096</v>
      </c>
      <c r="IC60" s="1028"/>
      <c r="IQ60" s="918"/>
      <c r="IR60" s="919"/>
      <c r="IS60" s="24"/>
    </row>
    <row r="61" ht="23.5" customHeight="1" spans="12:253" x14ac:dyDescent="0.25">
      <c r="L61" s="622"/>
      <c r="M61" s="909"/>
      <c r="N61" s="909"/>
      <c r="O61" s="910" t="s">
        <v>640</v>
      </c>
      <c r="P61" s="636">
        <v>1</v>
      </c>
      <c r="Q61" s="926">
        <v>1.2062700474653716</v>
      </c>
      <c r="R61" s="926">
        <v>1.3416177583578945</v>
      </c>
      <c r="S61" s="926">
        <v>1.86606737883619</v>
      </c>
      <c r="T61" s="926">
        <v>4.260651853603475</v>
      </c>
      <c r="U61" s="926">
        <v>6.00821185960683</v>
      </c>
      <c r="V61" s="926">
        <v>5.910590005019161</v>
      </c>
      <c r="W61" s="926">
        <v>6.193634820546727</v>
      </c>
      <c r="X61" s="926">
        <v>6.715254624075821</v>
      </c>
      <c r="Y61" s="926">
        <v>7.560419692709162</v>
      </c>
      <c r="Z61" s="926">
        <v>9.215042167890525</v>
      </c>
      <c r="AA61" s="926">
        <v>10.24995388150444</v>
      </c>
      <c r="AB61" s="926">
        <v>10.650833844352405</v>
      </c>
      <c r="AC61" s="926">
        <f t="shared" ref="AC61:AM61" si="69">AC58/AC62</f>
        <v>13.643325842032947</v>
      </c>
      <c r="AD61" s="926">
        <f t="shared" si="69"/>
        <v>12.010355196687106</v>
      </c>
      <c r="AE61" s="927">
        <f t="shared" si="69"/>
        <v>14.006747557636276</v>
      </c>
      <c r="AF61" s="926">
        <f t="shared" si="69"/>
        <v>17.40812446892646</v>
      </c>
      <c r="AG61" s="926">
        <f t="shared" si="69"/>
        <v>18.653542469425737</v>
      </c>
      <c r="AH61" s="926">
        <f t="shared" si="69"/>
        <v>18.357364736075578</v>
      </c>
      <c r="AI61" s="926">
        <f t="shared" si="69"/>
        <v>20.747451690988555</v>
      </c>
      <c r="AJ61" s="926">
        <f t="shared" si="69"/>
        <v>22.2745200953556</v>
      </c>
      <c r="AK61" s="926">
        <f t="shared" si="69"/>
        <v>20.030786917707065</v>
      </c>
      <c r="AL61" s="926">
        <f t="shared" si="69"/>
        <v>20.67689483369983</v>
      </c>
      <c r="AM61" s="926">
        <f t="shared" si="69"/>
        <v>26.083050100459737</v>
      </c>
      <c r="AN61" s="682"/>
      <c r="AO61" s="897"/>
      <c r="AP61" s="682"/>
      <c r="AQ61" s="912" t="str">
        <f t="shared" si="67"/>
        <v>De</v>
      </c>
      <c r="BD61" s="928">
        <v>2013</v>
      </c>
      <c r="BE61" s="903">
        <v>2.455535283582921</v>
      </c>
      <c r="BF61" s="607">
        <v>2.7806353412040012</v>
      </c>
      <c r="BT61" s="928">
        <v>2013</v>
      </c>
      <c r="BU61" s="903">
        <v>18.357364736075578</v>
      </c>
      <c r="BV61" s="607">
        <v>15.596922733834754</v>
      </c>
      <c r="CJ61" s="1069">
        <v>1996</v>
      </c>
      <c r="CK61" s="142">
        <v>1377.0941476</v>
      </c>
      <c r="CL61" s="55">
        <v>5300.694</v>
      </c>
      <c r="CM61" s="57">
        <v>62.928</v>
      </c>
      <c r="CN61" s="57">
        <f>CK61/CM61</f>
        <v>21.883647145944572</v>
      </c>
      <c r="CO61" s="75">
        <f>CL61/CM61</f>
        <v>84.23426773455378</v>
      </c>
      <c r="DF61" s="1046">
        <v>2003</v>
      </c>
      <c r="DG61" s="1047">
        <v>0.6452458496585047</v>
      </c>
      <c r="DH61" s="1059"/>
      <c r="DW61" s="1043">
        <f t="shared" si="65"/>
        <v>0.6452458496585047</v>
      </c>
      <c r="DZ61" s="1007">
        <v>2007</v>
      </c>
      <c r="EA61" s="1019">
        <v>1.8323846361948868</v>
      </c>
      <c r="EB61" s="1009">
        <v>1.9263862753012568</v>
      </c>
      <c r="ES61" s="863">
        <v>2007</v>
      </c>
      <c r="ET61" s="1020">
        <f t="shared" si="54"/>
        <v>540.9869686520377</v>
      </c>
      <c r="EU61" s="1021">
        <f t="shared" si="55"/>
        <v>361.1526632992362</v>
      </c>
      <c r="FL61" s="795">
        <v>2007</v>
      </c>
      <c r="FM61" s="796">
        <v>11.630372067549995</v>
      </c>
      <c r="FN61" s="822">
        <v>13.587224630705832</v>
      </c>
      <c r="FO61" s="822">
        <f t="shared" si="56"/>
        <v>11.630372067549995</v>
      </c>
      <c r="FP61" s="1022"/>
      <c r="GC61" s="918"/>
      <c r="GD61" s="919"/>
      <c r="GE61" s="24"/>
      <c r="GH61" s="609">
        <v>2007</v>
      </c>
      <c r="GI61" s="1023">
        <v>540.9869686520377</v>
      </c>
      <c r="GJ61" s="1024">
        <v>514.2950494622778</v>
      </c>
      <c r="GK61" s="1031">
        <f t="shared" si="60"/>
        <v>479.7529497175169</v>
      </c>
      <c r="GX61" s="918"/>
      <c r="GY61" s="919"/>
      <c r="GZ61" s="24"/>
      <c r="HC61" s="609">
        <v>2007</v>
      </c>
      <c r="HD61" s="1025">
        <v>4296.411</v>
      </c>
      <c r="HE61" s="1026">
        <v>6716.222</v>
      </c>
      <c r="HF61" s="1026">
        <f t="shared" si="61"/>
        <v>6008.465399999999</v>
      </c>
      <c r="HT61" s="918"/>
      <c r="HU61" s="919"/>
      <c r="HV61" s="24"/>
      <c r="HZ61" s="795">
        <v>2007</v>
      </c>
      <c r="IA61" s="1027">
        <f t="shared" si="57"/>
        <v>540.9869686520377</v>
      </c>
      <c r="IB61" s="1028">
        <f t="shared" si="58"/>
        <v>549.4508850279881</v>
      </c>
      <c r="IC61" s="1028"/>
      <c r="IQ61" s="918"/>
      <c r="IR61" s="919"/>
      <c r="IS61" s="24"/>
    </row>
    <row r="62" ht="24" customHeight="1" spans="12:253" x14ac:dyDescent="0.25">
      <c r="L62" s="622"/>
      <c r="M62" s="909"/>
      <c r="N62" s="909"/>
      <c r="O62" s="910" t="s">
        <v>607</v>
      </c>
      <c r="P62" s="929">
        <v>418.4685</v>
      </c>
      <c r="Q62" s="929">
        <f t="shared" ref="Q62:AM62" si="70">$P62*Q60</f>
        <v>433.95183449999996</v>
      </c>
      <c r="R62" s="929">
        <f t="shared" si="70"/>
        <v>431.78207532749997</v>
      </c>
      <c r="S62" s="929">
        <f t="shared" si="70"/>
        <v>439.9859347587224</v>
      </c>
      <c r="T62" s="929">
        <f t="shared" si="70"/>
        <v>489.26435945169936</v>
      </c>
      <c r="U62" s="929">
        <f t="shared" si="70"/>
        <v>535.7444735996108</v>
      </c>
      <c r="V62" s="929">
        <f t="shared" si="70"/>
        <v>558.2457414907944</v>
      </c>
      <c r="W62" s="929">
        <f t="shared" si="70"/>
        <v>615.7450528643462</v>
      </c>
      <c r="X62" s="929">
        <f t="shared" si="70"/>
        <v>693.3289295252538</v>
      </c>
      <c r="Y62" s="929">
        <f t="shared" si="70"/>
        <v>775.1417432092338</v>
      </c>
      <c r="Z62" s="929">
        <f t="shared" si="70"/>
        <v>825.5259565178341</v>
      </c>
      <c r="AA62" s="929">
        <f t="shared" si="70"/>
        <v>885.7893513436358</v>
      </c>
      <c r="AB62" s="929">
        <f t="shared" si="70"/>
        <v>941.5940804782849</v>
      </c>
      <c r="AC62" s="929">
        <f t="shared" si="70"/>
        <v>947.2436449611545</v>
      </c>
      <c r="AD62" s="929">
        <f t="shared" si="70"/>
        <v>902.7231936479802</v>
      </c>
      <c r="AE62" s="930">
        <f t="shared" si="70"/>
        <v>965.9138172033389</v>
      </c>
      <c r="AF62" s="929">
        <f t="shared" si="70"/>
        <v>968.8115586549488</v>
      </c>
      <c r="AG62" s="929">
        <f t="shared" si="70"/>
        <v>982.3749204761181</v>
      </c>
      <c r="AH62" s="929">
        <f t="shared" si="70"/>
        <v>1027.5641668180197</v>
      </c>
      <c r="AI62" s="929">
        <f t="shared" si="70"/>
        <v>1032.7019876521094</v>
      </c>
      <c r="AJ62" s="929">
        <f t="shared" si="70"/>
        <v>1070.9119611952376</v>
      </c>
      <c r="AK62" s="929">
        <f t="shared" si="70"/>
        <v>1105.1811439534852</v>
      </c>
      <c r="AL62" s="929">
        <f t="shared" si="70"/>
        <v>1160.4402011511595</v>
      </c>
      <c r="AM62" s="929">
        <f t="shared" si="70"/>
        <v>1224.2644122144734</v>
      </c>
      <c r="AN62" s="682"/>
      <c r="AO62" s="897"/>
      <c r="AP62" s="682"/>
      <c r="AQ62" s="912" t="str">
        <f t="shared" si="67"/>
        <v>EXS</v>
      </c>
      <c r="BD62" s="928">
        <v>2014</v>
      </c>
      <c r="BE62" s="903">
        <v>2.467812960000835</v>
      </c>
      <c r="BF62" s="607">
        <v>2.5425873250540896</v>
      </c>
      <c r="BT62" s="928">
        <v>2014</v>
      </c>
      <c r="BU62" s="903">
        <v>20.747451690988555</v>
      </c>
      <c r="BV62" s="607">
        <v>19.408439246487287</v>
      </c>
      <c r="CJ62" s="1069">
        <v>1997</v>
      </c>
      <c r="CK62" s="142">
        <v>1396.3734656664</v>
      </c>
      <c r="CL62" s="55">
        <v>5279.491224</v>
      </c>
      <c r="CM62" s="57">
        <v>60.021</v>
      </c>
      <c r="CN62" s="57">
        <f t="shared" ref="CN62:CN83" si="71">CK62/CM62</f>
        <v>23.26474843248863</v>
      </c>
      <c r="CO62" s="75">
        <f t="shared" ref="CO62:CO83" si="72">CL62/CM62</f>
        <v>87.96073414304993</v>
      </c>
      <c r="DF62" s="1046">
        <v>2004</v>
      </c>
      <c r="DG62" s="1047">
        <v>0.6858912575110089</v>
      </c>
      <c r="DH62" s="1059"/>
      <c r="DW62" s="1043">
        <f t="shared" si="65"/>
        <v>0.6858912575110089</v>
      </c>
      <c r="DZ62" s="1007">
        <v>2008</v>
      </c>
      <c r="EA62" s="1019">
        <v>2.026617407631545</v>
      </c>
      <c r="EB62" s="1009">
        <v>2.1093929714548763</v>
      </c>
      <c r="ES62" s="863">
        <v>2008</v>
      </c>
      <c r="ET62" s="1020">
        <f t="shared" si="54"/>
        <v>616.8262633228841</v>
      </c>
      <c r="EU62" s="1021">
        <f t="shared" si="55"/>
        <v>401.51238985596126</v>
      </c>
      <c r="FL62" s="795">
        <v>2008</v>
      </c>
      <c r="FM62" s="796">
        <v>13.808577618030881</v>
      </c>
      <c r="FN62" s="822">
        <v>16.03475716499792</v>
      </c>
      <c r="FO62" s="822">
        <f t="shared" si="56"/>
        <v>13.808577618030881</v>
      </c>
      <c r="FP62" s="1022"/>
      <c r="GC62" s="918"/>
      <c r="GD62" s="919"/>
      <c r="GE62" s="24"/>
      <c r="GH62" s="609">
        <v>2008</v>
      </c>
      <c r="GI62" s="1023">
        <v>616.8262633228841</v>
      </c>
      <c r="GJ62" s="1024">
        <v>563.1530791611942</v>
      </c>
      <c r="GK62" s="1031">
        <f t="shared" si="60"/>
        <v>538.9810022622823</v>
      </c>
      <c r="GX62" s="918"/>
      <c r="GY62" s="919"/>
      <c r="GZ62" s="24"/>
      <c r="HC62" s="609">
        <v>2008</v>
      </c>
      <c r="HD62" s="1025">
        <v>5744.847</v>
      </c>
      <c r="HE62" s="1026">
        <v>8781.616</v>
      </c>
      <c r="HF62" s="1026">
        <f t="shared" si="61"/>
        <v>7963.375599999999</v>
      </c>
      <c r="HT62" s="918"/>
      <c r="HU62" s="919"/>
      <c r="HV62" s="24"/>
      <c r="HZ62" s="795">
        <v>2008</v>
      </c>
      <c r="IA62" s="1027">
        <f t="shared" si="57"/>
        <v>616.8262633228841</v>
      </c>
      <c r="IB62" s="1028">
        <f t="shared" si="58"/>
        <v>627.1866187660279</v>
      </c>
      <c r="IC62" s="1028"/>
      <c r="IQ62" s="918"/>
      <c r="IR62" s="919"/>
      <c r="IS62" s="24"/>
    </row>
    <row r="63" ht="24" customHeight="1" spans="12:253" x14ac:dyDescent="0.25">
      <c r="L63" s="1070" t="s">
        <v>871</v>
      </c>
      <c r="M63" s="1071" t="s">
        <v>937</v>
      </c>
      <c r="N63" s="1071"/>
      <c r="O63" s="1072" t="s">
        <v>938</v>
      </c>
      <c r="P63" s="1073">
        <f>ОТЧЁТ!U64</f>
        <v>0</v>
      </c>
      <c r="Q63" s="1074">
        <f>ОТЧЁТ!V64</f>
        <v>11.9298</v>
      </c>
      <c r="R63" s="1074">
        <f>ОТЧЁТ!W64</f>
        <v>0</v>
      </c>
      <c r="S63" s="1074">
        <f>ОТЧЁТ!X64</f>
        <v>56.9411</v>
      </c>
      <c r="T63" s="1074">
        <f>ОТЧЁТ!Y64</f>
        <v>0</v>
      </c>
      <c r="U63" s="1074">
        <f>ОТЧЁТ!Z64</f>
        <v>0</v>
      </c>
      <c r="V63" s="1074">
        <f>ОТЧЁТ!AA64</f>
        <v>-40.0226</v>
      </c>
      <c r="W63" s="1074">
        <f>ОТЧЁТ!AB64</f>
        <v>-1.707</v>
      </c>
      <c r="X63" s="1074">
        <f>ОТЧЁТ!AC64</f>
        <v>-107.4624</v>
      </c>
      <c r="Y63" s="1074">
        <f>ОТЧЁТ!AD64</f>
        <v>-96.1435</v>
      </c>
      <c r="Z63" s="1074">
        <f>ОТЧЁТ!AE64</f>
        <v>-126.0953</v>
      </c>
      <c r="AA63" s="894">
        <f>ОТЧЁТ!AF64</f>
        <v>-17.1794</v>
      </c>
      <c r="AB63" s="894">
        <f>ОТЧЁТ!AG64</f>
        <v>378.2842</v>
      </c>
      <c r="AC63" s="894">
        <f>ОТЧЁТ!AH64</f>
        <v>-605.3455</v>
      </c>
      <c r="AD63" s="894">
        <f>ОТЧЁТ!AI64</f>
        <v>-694.862</v>
      </c>
      <c r="AE63" s="893">
        <f>ОТЧЁТ!AJ64</f>
        <v>-418.459</v>
      </c>
      <c r="AF63" s="894">
        <f>ОТЧЁТ!AK64</f>
        <v>0</v>
      </c>
      <c r="AG63" s="1074">
        <f>ОТЧЁТ!AL64</f>
        <v>0</v>
      </c>
      <c r="AH63" s="1074">
        <f>ОТЧЁТ!AM64</f>
        <v>0</v>
      </c>
      <c r="AI63" s="1074">
        <f>ОТЧЁТ!AN64</f>
        <v>-317.8</v>
      </c>
      <c r="AJ63" s="1074">
        <f>ОТЧЁТ!AO64</f>
        <v>-450.2</v>
      </c>
      <c r="AK63" s="894">
        <f>ОТЧЁТ!AP64</f>
        <v>-67.02</v>
      </c>
      <c r="AL63" s="894">
        <f>ОТЧЁТ!AQ64</f>
        <v>-174.6</v>
      </c>
      <c r="AM63" s="894">
        <f>ОТЧЁТ!AR64</f>
        <v>573.33</v>
      </c>
      <c r="AN63" s="1075"/>
      <c r="AO63" s="1076"/>
      <c r="AP63" s="1075"/>
      <c r="AQ63" s="898" t="str">
        <f t="shared" si="67"/>
        <v>^STR</v>
      </c>
      <c r="BD63" s="928">
        <v>2015</v>
      </c>
      <c r="BE63" s="903">
        <v>2.559122039520866</v>
      </c>
      <c r="BF63" s="607">
        <v>2.1845544171454656</v>
      </c>
      <c r="BT63" s="928">
        <v>2015</v>
      </c>
      <c r="BU63" s="903">
        <v>22.2745200953556</v>
      </c>
      <c r="BV63" s="607">
        <v>25.392886440510974</v>
      </c>
      <c r="CJ63" s="1069">
        <v>1998</v>
      </c>
      <c r="CK63" s="142">
        <v>1322.3656719860808</v>
      </c>
      <c r="CL63" s="55">
        <v>5263.652750328</v>
      </c>
      <c r="CM63" s="57">
        <v>58.437</v>
      </c>
      <c r="CN63" s="57">
        <f t="shared" si="71"/>
        <v>22.628910997930777</v>
      </c>
      <c r="CO63" s="75">
        <f t="shared" si="72"/>
        <v>90.07397283104883</v>
      </c>
      <c r="DF63" s="1046">
        <v>2005</v>
      </c>
      <c r="DG63" s="1047">
        <v>0.7114691454260414</v>
      </c>
      <c r="DH63" s="1059"/>
      <c r="DW63" s="1043">
        <f t="shared" si="65"/>
        <v>0.7114691454260414</v>
      </c>
      <c r="DZ63" s="1007">
        <v>2009</v>
      </c>
      <c r="EA63" s="1019">
        <v>1.7347845009326024</v>
      </c>
      <c r="EB63" s="1009">
        <v>1.824624920308468</v>
      </c>
      <c r="ES63" s="863">
        <v>2009</v>
      </c>
      <c r="ET63" s="1020">
        <f t="shared" si="54"/>
        <v>595.880172413793</v>
      </c>
      <c r="EU63" s="1021">
        <f t="shared" si="55"/>
        <v>397.6000187144756</v>
      </c>
      <c r="FL63" s="795">
        <v>2009</v>
      </c>
      <c r="FM63" s="796">
        <v>13.96475603527971</v>
      </c>
      <c r="FN63" s="822">
        <v>16.368494611949213</v>
      </c>
      <c r="FO63" s="822">
        <f t="shared" si="56"/>
        <v>13.96475603527971</v>
      </c>
      <c r="FP63" s="1022"/>
      <c r="GC63" s="918"/>
      <c r="GD63" s="919"/>
      <c r="GE63" s="24"/>
      <c r="GH63" s="609">
        <v>2009</v>
      </c>
      <c r="GI63" s="1023">
        <v>595.880172413793</v>
      </c>
      <c r="GJ63" s="1024">
        <v>487.127413474433</v>
      </c>
      <c r="GK63" s="1031">
        <f t="shared" si="60"/>
        <v>505.04931021056973</v>
      </c>
      <c r="GX63" s="918"/>
      <c r="GY63" s="919"/>
      <c r="GZ63" s="24"/>
      <c r="HC63" s="609">
        <v>2009</v>
      </c>
      <c r="HD63" s="1025">
        <v>6356.223</v>
      </c>
      <c r="HE63" s="1026">
        <v>7976.013</v>
      </c>
      <c r="HF63" s="1026">
        <f t="shared" si="61"/>
        <v>8011.1545</v>
      </c>
      <c r="HT63" s="918"/>
      <c r="HU63" s="919"/>
      <c r="HV63" s="24"/>
      <c r="HZ63" s="795">
        <v>2009</v>
      </c>
      <c r="IA63" s="1027">
        <f t="shared" si="57"/>
        <v>595.880172413793</v>
      </c>
      <c r="IB63" s="1028">
        <f t="shared" si="58"/>
        <v>589.8657387552045</v>
      </c>
      <c r="IC63" s="1028"/>
      <c r="IQ63" s="918"/>
      <c r="IR63" s="919"/>
      <c r="IS63" s="24"/>
    </row>
    <row r="64" ht="24" customHeight="1" spans="16:253" x14ac:dyDescent="0.25">
      <c r="P64" s="1077">
        <v>1995</v>
      </c>
      <c r="Q64" s="1078">
        <v>1996</v>
      </c>
      <c r="R64" s="1078">
        <v>1997</v>
      </c>
      <c r="S64" s="1078">
        <v>1998</v>
      </c>
      <c r="T64" s="1078">
        <v>1999</v>
      </c>
      <c r="U64" s="1078">
        <v>2000</v>
      </c>
      <c r="V64" s="1078">
        <v>2001</v>
      </c>
      <c r="W64" s="1078">
        <v>2002</v>
      </c>
      <c r="X64" s="1078">
        <v>2003</v>
      </c>
      <c r="Y64" s="1078">
        <v>2004</v>
      </c>
      <c r="Z64" s="1078">
        <v>2005</v>
      </c>
      <c r="AA64" s="1078">
        <v>2006</v>
      </c>
      <c r="AB64" s="1078">
        <v>2007</v>
      </c>
      <c r="AC64" s="1078">
        <v>2008</v>
      </c>
      <c r="AD64" s="1078">
        <v>2009</v>
      </c>
      <c r="AE64" s="1078">
        <v>2010</v>
      </c>
      <c r="AF64" s="1078">
        <v>2011</v>
      </c>
      <c r="AG64" s="1078">
        <v>2012</v>
      </c>
      <c r="AH64" s="1078">
        <v>2013</v>
      </c>
      <c r="AI64" s="1078">
        <v>2014</v>
      </c>
      <c r="AJ64" s="1078">
        <v>2015</v>
      </c>
      <c r="AK64" s="1078">
        <v>2016</v>
      </c>
      <c r="AL64" s="1078">
        <v>2017</v>
      </c>
      <c r="AM64" s="1078">
        <v>2018</v>
      </c>
      <c r="AN64" s="1078">
        <v>2019</v>
      </c>
      <c r="AO64" s="1078">
        <v>2020</v>
      </c>
      <c r="AP64" s="1078">
        <v>2021</v>
      </c>
      <c r="AQ64" s="1079">
        <f t="shared" si="67"/>
        <v>0</v>
      </c>
      <c r="BD64" s="928">
        <v>2016</v>
      </c>
      <c r="BE64" s="903">
        <v>2.641013944785534</v>
      </c>
      <c r="BF64" s="607">
        <v>2.1739784910614586</v>
      </c>
      <c r="BT64" s="928">
        <v>2016</v>
      </c>
      <c r="BU64" s="903">
        <v>20.030786917707065</v>
      </c>
      <c r="BV64" s="607">
        <v>24.68687303788094</v>
      </c>
      <c r="CJ64" s="1069">
        <v>1999</v>
      </c>
      <c r="CK64" s="142">
        <v>1406.99707499319</v>
      </c>
      <c r="CL64" s="55">
        <v>5274.180055828657</v>
      </c>
      <c r="CM64" s="57">
        <v>63.082</v>
      </c>
      <c r="CN64" s="57">
        <f t="shared" si="71"/>
        <v>22.3042559683141</v>
      </c>
      <c r="CO64" s="75">
        <f t="shared" si="72"/>
        <v>83.60832021541259</v>
      </c>
      <c r="DF64" s="1046">
        <v>2006</v>
      </c>
      <c r="DG64" s="1047">
        <v>0.7566307611024992</v>
      </c>
      <c r="DH64" s="1059"/>
      <c r="DW64" s="1043">
        <f t="shared" si="65"/>
        <v>0.7566307611024992</v>
      </c>
      <c r="DZ64" s="1007">
        <v>2010</v>
      </c>
      <c r="EA64" s="1019">
        <v>1.8371367864876262</v>
      </c>
      <c r="EB64" s="1009">
        <v>1.9395762902879012</v>
      </c>
      <c r="ES64" s="863">
        <v>2010</v>
      </c>
      <c r="ET64" s="1020">
        <f t="shared" si="54"/>
        <v>556.5520810344827</v>
      </c>
      <c r="EU64" s="1021">
        <f t="shared" si="55"/>
        <v>364.71603233039366</v>
      </c>
      <c r="FL64" s="795">
        <v>2010</v>
      </c>
      <c r="FM64" s="796">
        <v>16.223531809175668</v>
      </c>
      <c r="FN64" s="822">
        <v>18.69136533556666</v>
      </c>
      <c r="FO64" s="822">
        <f t="shared" si="56"/>
        <v>16.223531809175668</v>
      </c>
      <c r="FP64" s="1022"/>
      <c r="GC64" s="918"/>
      <c r="GD64" s="919"/>
      <c r="GE64" s="24"/>
      <c r="GH64" s="609">
        <v>2010</v>
      </c>
      <c r="GI64" s="1023">
        <v>556.5520810344827</v>
      </c>
      <c r="GJ64" s="1024">
        <v>517.8164405233223</v>
      </c>
      <c r="GK64" s="1031">
        <f t="shared" si="60"/>
        <v>516.2122989773316</v>
      </c>
      <c r="GX64" s="918"/>
      <c r="GY64" s="919"/>
      <c r="GZ64" s="24"/>
      <c r="HC64" s="609">
        <v>2010</v>
      </c>
      <c r="HD64" s="1025">
        <v>6275.931</v>
      </c>
      <c r="HE64" s="1026">
        <v>9152.1</v>
      </c>
      <c r="HF64" s="1026">
        <f t="shared" si="61"/>
        <v>8879.8342</v>
      </c>
      <c r="HT64" s="918"/>
      <c r="HU64" s="919"/>
      <c r="HV64" s="24"/>
      <c r="HZ64" s="795">
        <v>2010</v>
      </c>
      <c r="IA64" s="1027">
        <f t="shared" si="57"/>
        <v>556.5520810344827</v>
      </c>
      <c r="IB64" s="1028">
        <f t="shared" si="58"/>
        <v>575.7467047106592</v>
      </c>
      <c r="IC64" s="1028"/>
      <c r="IQ64" s="918"/>
      <c r="IR64" s="919"/>
      <c r="IS64" s="24"/>
    </row>
    <row r="65" ht="24" customHeight="1" spans="12:253" x14ac:dyDescent="0.25">
      <c r="L65" s="864" t="s">
        <v>939</v>
      </c>
      <c r="M65" s="1071" t="s">
        <v>940</v>
      </c>
      <c r="N65" s="1071"/>
      <c r="O65" s="1072" t="s">
        <v>279</v>
      </c>
      <c r="P65" s="1080">
        <f t="shared" ref="P65:AM65" si="73">P58+P50+P45+P40+P35-P15+P63</f>
        <v>1428.5221000000001</v>
      </c>
      <c r="Q65" s="1081">
        <f t="shared" si="73"/>
        <v>2007.8251</v>
      </c>
      <c r="R65" s="1081">
        <f t="shared" si="73"/>
        <v>2342.5144</v>
      </c>
      <c r="S65" s="1081">
        <f t="shared" si="73"/>
        <v>2629.6228</v>
      </c>
      <c r="T65" s="1081">
        <f t="shared" si="73"/>
        <v>4823.233699999999</v>
      </c>
      <c r="U65" s="1081">
        <f t="shared" si="73"/>
        <v>7305.647000000001</v>
      </c>
      <c r="V65" s="1081">
        <f t="shared" si="73"/>
        <v>8943.5821</v>
      </c>
      <c r="W65" s="1081">
        <f t="shared" si="73"/>
        <v>10819.2045</v>
      </c>
      <c r="X65" s="1081">
        <f t="shared" si="73"/>
        <v>13208.205500000002</v>
      </c>
      <c r="Y65" s="1082">
        <f t="shared" si="73"/>
        <v>17027.1544</v>
      </c>
      <c r="Z65" s="1082">
        <f t="shared" si="73"/>
        <v>21609.7409</v>
      </c>
      <c r="AA65" s="1082">
        <f t="shared" si="73"/>
        <v>26917.168699999995</v>
      </c>
      <c r="AB65" s="1082">
        <f t="shared" si="73"/>
        <v>33247.5132</v>
      </c>
      <c r="AC65" s="1082">
        <f t="shared" si="73"/>
        <v>41276.8492</v>
      </c>
      <c r="AD65" s="1082">
        <f t="shared" si="73"/>
        <v>38807.3255</v>
      </c>
      <c r="AE65" s="1082">
        <f t="shared" si="73"/>
        <v>46308.54</v>
      </c>
      <c r="AF65" s="1082">
        <f t="shared" si="73"/>
        <v>60282.540400000005</v>
      </c>
      <c r="AG65" s="1082">
        <f t="shared" si="73"/>
        <v>68163.8831</v>
      </c>
      <c r="AH65" s="1082">
        <f t="shared" si="73"/>
        <v>73133.89509999998</v>
      </c>
      <c r="AI65" s="1082">
        <f t="shared" si="73"/>
        <v>79058.4701</v>
      </c>
      <c r="AJ65" s="1082">
        <f t="shared" si="73"/>
        <v>83094.347</v>
      </c>
      <c r="AK65" s="1082">
        <f t="shared" si="73"/>
        <v>86014.20300000002</v>
      </c>
      <c r="AL65" s="1082">
        <f t="shared" si="73"/>
        <v>92101.48700000001</v>
      </c>
      <c r="AM65" s="1082">
        <f t="shared" si="73"/>
        <v>103875.77600000001</v>
      </c>
      <c r="AN65" s="1082"/>
      <c r="AO65" s="1081"/>
      <c r="AP65" s="1081"/>
      <c r="BD65" s="928">
        <v>2017</v>
      </c>
      <c r="BE65" s="549">
        <v>2.773064642024811</v>
      </c>
      <c r="BF65" s="607">
        <v>2.4593220931435207</v>
      </c>
      <c r="BT65" s="928">
        <v>2017</v>
      </c>
      <c r="BU65" s="903">
        <v>20.67689483369983</v>
      </c>
      <c r="BV65" s="607">
        <v>23.816230026937784</v>
      </c>
      <c r="CJ65" s="1069">
        <v>2000</v>
      </c>
      <c r="CK65" s="142">
        <v>1547.696782492509</v>
      </c>
      <c r="CL65" s="55">
        <v>5300.5509561078</v>
      </c>
      <c r="CM65" s="57">
        <v>65.07</v>
      </c>
      <c r="CN65" s="57">
        <f t="shared" si="71"/>
        <v>23.785105002190093</v>
      </c>
      <c r="CO65" s="75">
        <f t="shared" si="72"/>
        <v>81.4592124805256</v>
      </c>
      <c r="DF65" s="1046">
        <v>2007</v>
      </c>
      <c r="DG65" s="1047">
        <v>0.7984619477007946</v>
      </c>
      <c r="DH65" s="1059"/>
      <c r="DW65" s="1043">
        <f t="shared" si="65"/>
        <v>0.7984619477007946</v>
      </c>
      <c r="DZ65" s="1007">
        <v>2011</v>
      </c>
      <c r="EA65" s="1019">
        <v>2.0043162340580003</v>
      </c>
      <c r="EB65" s="1009">
        <v>2.149050529638995</v>
      </c>
      <c r="ES65" s="863">
        <v>2011</v>
      </c>
      <c r="ET65" s="1020">
        <f t="shared" si="54"/>
        <v>717.5262886488664</v>
      </c>
      <c r="EU65" s="1021">
        <f t="shared" si="55"/>
        <v>454.0714484285828</v>
      </c>
      <c r="FL65" s="795">
        <v>2011</v>
      </c>
      <c r="FM65" s="796">
        <v>18.09503717757504</v>
      </c>
      <c r="FN65" s="822">
        <v>23.32851881806769</v>
      </c>
      <c r="FO65" s="822"/>
      <c r="FP65" s="1083">
        <f t="shared" ref="FP65:FP72" si="74">FM65</f>
        <v>18.09503717757504</v>
      </c>
      <c r="GC65" s="918"/>
      <c r="GD65" s="919"/>
      <c r="GE65" s="24"/>
      <c r="GH65" s="609">
        <v>2011</v>
      </c>
      <c r="GI65" s="1023">
        <v>717.5262886488664</v>
      </c>
      <c r="GJ65" s="1024">
        <v>573.7406160998412</v>
      </c>
      <c r="GK65" s="1031">
        <f t="shared" si="60"/>
        <v>553.8944607219966</v>
      </c>
      <c r="GX65" s="918"/>
      <c r="GY65" s="919"/>
      <c r="GZ65" s="24"/>
      <c r="HC65" s="609">
        <v>2011</v>
      </c>
      <c r="HD65" s="1025">
        <v>8813.314</v>
      </c>
      <c r="HE65" s="1026">
        <v>11035.652</v>
      </c>
      <c r="HF65" s="1026">
        <f t="shared" si="61"/>
        <v>10352.9777</v>
      </c>
      <c r="HT65" s="918"/>
      <c r="HU65" s="919"/>
      <c r="HV65" s="24"/>
      <c r="HZ65" s="795">
        <v>2011</v>
      </c>
      <c r="IA65" s="1027">
        <f t="shared" si="57"/>
        <v>717.5262886488664</v>
      </c>
      <c r="IB65" s="1028">
        <f t="shared" si="58"/>
        <v>732.6634769226413</v>
      </c>
      <c r="IC65" s="1028"/>
      <c r="IQ65" s="918"/>
      <c r="IR65" s="919"/>
      <c r="IS65" s="24"/>
    </row>
    <row r="66" ht="24" customHeight="1" spans="12:253" x14ac:dyDescent="0.25">
      <c r="L66" s="1070" t="s">
        <v>871</v>
      </c>
      <c r="M66" s="1071" t="s">
        <v>941</v>
      </c>
      <c r="N66" s="1071"/>
      <c r="O66" s="1072" t="s">
        <v>314</v>
      </c>
      <c r="P66" s="1084">
        <v>1428.5209000000002</v>
      </c>
      <c r="Q66" s="1085">
        <f>ОТЧЁТ!V65</f>
        <v>2007.8252000000007</v>
      </c>
      <c r="R66" s="1085">
        <f>ОТЧЁТ!W65</f>
        <v>2342.5136999999995</v>
      </c>
      <c r="S66" s="1085">
        <f>ОТЧЁТ!X65</f>
        <v>2629.6229</v>
      </c>
      <c r="T66" s="1085">
        <f>ОТЧЁТ!Y65</f>
        <v>4823.232900000001</v>
      </c>
      <c r="U66" s="1085">
        <f>ОТЧЁТ!Z65</f>
        <v>7305.6466</v>
      </c>
      <c r="V66" s="1085">
        <f>ОТЧЁТ!AA65</f>
        <v>8943.582600000002</v>
      </c>
      <c r="W66" s="1085">
        <f>ОТЧЁТ!AB65</f>
        <v>10819.2123</v>
      </c>
      <c r="X66" s="1085">
        <f>ОТЧЁТ!AC65</f>
        <v>13208.2338</v>
      </c>
      <c r="Y66" s="1085">
        <f>ОТЧЁТ!AD65</f>
        <v>17027.1909</v>
      </c>
      <c r="Z66" s="1085">
        <f>ОТЧЁТ!AE65</f>
        <v>21609.7655</v>
      </c>
      <c r="AA66" s="1086">
        <f>ОТЧЁТ!AF65</f>
        <v>26917.2014</v>
      </c>
      <c r="AB66" s="1086">
        <f>ОТЧЁТ!AG65</f>
        <v>33247.5132</v>
      </c>
      <c r="AC66" s="1086">
        <f>ОТЧЁТ!AH65</f>
        <v>41276.8492</v>
      </c>
      <c r="AD66" s="1086">
        <f>ОТЧЁТ!AI65</f>
        <v>38807.219</v>
      </c>
      <c r="AE66" s="1087">
        <f>ОТЧЁТ!AJ65</f>
        <v>46308.541</v>
      </c>
      <c r="AF66" s="1086">
        <f>ОТЧЁТ!AK65</f>
        <v>60282.5404</v>
      </c>
      <c r="AG66" s="1086">
        <f>ОТЧЁТ!AL65</f>
        <v>68163.88309999999</v>
      </c>
      <c r="AH66" s="1086">
        <f>ОТЧЁТ!AM65</f>
        <v>73133.8951</v>
      </c>
      <c r="AI66" s="1086">
        <f>ОТЧЁТ!AN65</f>
        <v>79058.48</v>
      </c>
      <c r="AJ66" s="1086">
        <f>ОТЧЁТ!AO65</f>
        <v>83094.3</v>
      </c>
      <c r="AK66" s="1086">
        <f>ОТЧЁТ!AP65</f>
        <v>86014.2</v>
      </c>
      <c r="AL66" s="1086">
        <f>ОТЧЁТ!AQ65</f>
        <v>92101.34</v>
      </c>
      <c r="AM66" s="1086">
        <f>ОТЧЁТ!AR65</f>
        <v>103875.8</v>
      </c>
      <c r="AN66" s="1088"/>
      <c r="AO66" s="1089"/>
      <c r="AP66" s="1088"/>
      <c r="AQ66" s="1090" t="str">
        <f>O66</f>
        <v>^WWP</v>
      </c>
      <c r="BD66" s="928">
        <v>2018</v>
      </c>
      <c r="BE66" s="549">
        <v>2.9255831973361754</v>
      </c>
      <c r="BF66" s="607">
        <v>2.5430287713640722</v>
      </c>
      <c r="BT66" s="928">
        <v>2018</v>
      </c>
      <c r="BU66" s="903">
        <v>26.083050100459737</v>
      </c>
      <c r="BV66" s="607">
        <v>28.98414575187961</v>
      </c>
      <c r="CJ66" s="1069">
        <v>2001</v>
      </c>
      <c r="CK66" s="142">
        <v>1626.629318399627</v>
      </c>
      <c r="CL66" s="55">
        <v>5348.25591471277</v>
      </c>
      <c r="CM66" s="57">
        <v>65.123</v>
      </c>
      <c r="CN66" s="57">
        <f t="shared" si="71"/>
        <v>24.97780075241661</v>
      </c>
      <c r="CO66" s="75">
        <f t="shared" si="72"/>
        <v>82.12545359877109</v>
      </c>
      <c r="DF66" s="1046">
        <v>2008</v>
      </c>
      <c r="DG66" s="1047">
        <v>0.8092519740210756</v>
      </c>
      <c r="DH66" s="1059"/>
      <c r="DW66" s="1043">
        <f t="shared" si="65"/>
        <v>0.8092519740210756</v>
      </c>
      <c r="DZ66" s="1007">
        <v>2012</v>
      </c>
      <c r="EA66" s="1019">
        <v>2.1045320457609002</v>
      </c>
      <c r="EB66" s="1009">
        <v>2.2951859656544467</v>
      </c>
      <c r="ES66" s="863">
        <v>2012</v>
      </c>
      <c r="ET66" s="1020">
        <f t="shared" si="54"/>
        <v>780.3098389056421</v>
      </c>
      <c r="EU66" s="1021">
        <f t="shared" si="55"/>
        <v>485.7673275393671</v>
      </c>
      <c r="FL66" s="795">
        <v>2012</v>
      </c>
      <c r="FM66" s="796">
        <v>19.23249446463563</v>
      </c>
      <c r="FN66" s="822">
        <v>25.448132013167307</v>
      </c>
      <c r="FO66" s="822"/>
      <c r="FP66" s="1083">
        <f t="shared" si="74"/>
        <v>19.23249446463563</v>
      </c>
      <c r="GC66" s="918"/>
      <c r="GD66" s="919"/>
      <c r="GE66" s="24"/>
      <c r="GH66" s="609">
        <v>2012</v>
      </c>
      <c r="GI66" s="1023">
        <v>780.3098389056421</v>
      </c>
      <c r="GJ66" s="1024">
        <v>612.7549779946304</v>
      </c>
      <c r="GK66" s="1031">
        <f t="shared" si="60"/>
        <v>595.4582518685418</v>
      </c>
      <c r="GX66" s="918"/>
      <c r="GY66" s="919"/>
      <c r="GZ66" s="24"/>
      <c r="HC66" s="609">
        <v>2012</v>
      </c>
      <c r="HD66" s="1025">
        <v>10338.4</v>
      </c>
      <c r="HE66" s="1026">
        <v>12586.090400000001</v>
      </c>
      <c r="HF66" s="1026">
        <f t="shared" si="61"/>
        <v>11932.60368</v>
      </c>
      <c r="HT66" s="918"/>
      <c r="HU66" s="919"/>
      <c r="HV66" s="24"/>
      <c r="HZ66" s="795">
        <v>2012</v>
      </c>
      <c r="IA66" s="1027">
        <f t="shared" si="57"/>
        <v>780.3098389056421</v>
      </c>
      <c r="IB66" s="1028">
        <f t="shared" si="58"/>
        <v>800.7765644035085</v>
      </c>
      <c r="IC66" s="1028"/>
      <c r="IQ66" s="918"/>
      <c r="IR66" s="919"/>
      <c r="IS66" s="24"/>
    </row>
    <row r="67" ht="24" customHeight="1" spans="12:253" x14ac:dyDescent="0.25">
      <c r="L67" s="864"/>
      <c r="M67" s="1071" t="s">
        <v>942</v>
      </c>
      <c r="N67" s="1071"/>
      <c r="O67" s="1072"/>
      <c r="P67" s="1091">
        <f>P65-P66</f>
        <v>0.001199999999926149</v>
      </c>
      <c r="Q67" s="1091">
        <f t="shared" ref="Q67:AM67" si="75">Q65-Q66</f>
        <v>-0.00010000000065701897</v>
      </c>
      <c r="R67" s="1091">
        <f t="shared" si="75"/>
        <v>0.0007000000005064066</v>
      </c>
      <c r="S67" s="1091">
        <f t="shared" si="75"/>
        <v>-0.00009999999974752427</v>
      </c>
      <c r="T67" s="1091">
        <f t="shared" si="75"/>
        <v>0.0007999999979801942</v>
      </c>
      <c r="U67" s="1091">
        <f t="shared" si="75"/>
        <v>0.0004000000008090865</v>
      </c>
      <c r="V67" s="1091">
        <f t="shared" si="75"/>
        <v>-0.0005000000019208528</v>
      </c>
      <c r="W67" s="1091">
        <f t="shared" si="75"/>
        <v>-0.007799999999406282</v>
      </c>
      <c r="X67" s="1091">
        <f t="shared" si="75"/>
        <v>-0.028299999998125713</v>
      </c>
      <c r="Y67" s="1091">
        <f t="shared" si="75"/>
        <v>-0.03650000000197906</v>
      </c>
      <c r="Z67" s="1091">
        <f t="shared" si="75"/>
        <v>-0.024600000000646105</v>
      </c>
      <c r="AA67" s="1091">
        <f t="shared" si="75"/>
        <v>-0.032700000007025665</v>
      </c>
      <c r="AB67" s="1091">
        <f t="shared" si="75"/>
        <v>0</v>
      </c>
      <c r="AC67" s="1091">
        <f t="shared" si="75"/>
        <v>0</v>
      </c>
      <c r="AD67" s="1091">
        <f t="shared" si="75"/>
        <v>0.10650000000168802</v>
      </c>
      <c r="AE67" s="1091">
        <f t="shared" si="75"/>
        <v>-0.000999999996565748</v>
      </c>
      <c r="AF67" s="1091">
        <f t="shared" si="75"/>
        <v>0</v>
      </c>
      <c r="AG67" s="1091">
        <f t="shared" si="75"/>
        <v>0</v>
      </c>
      <c r="AH67" s="1091">
        <f t="shared" si="75"/>
        <v>0</v>
      </c>
      <c r="AI67" s="1091">
        <f t="shared" si="75"/>
        <v>-0.009899999990011565</v>
      </c>
      <c r="AJ67" s="1091">
        <f t="shared" si="75"/>
        <v>0.046999999991385266</v>
      </c>
      <c r="AK67" s="1091">
        <f t="shared" si="75"/>
        <v>0.003000000026077032</v>
      </c>
      <c r="AL67" s="1091">
        <f t="shared" si="75"/>
        <v>0.14700000001175795</v>
      </c>
      <c r="AM67" s="1091">
        <f t="shared" si="75"/>
        <v>-0.02399999999033753</v>
      </c>
      <c r="AN67" s="1091"/>
      <c r="AO67" s="1091"/>
      <c r="AP67" s="1091"/>
      <c r="AQ67" s="1090"/>
      <c r="BD67" s="928">
        <v>2019</v>
      </c>
      <c r="BE67" s="958"/>
      <c r="BF67" s="438"/>
      <c r="BT67" s="928">
        <v>2019</v>
      </c>
      <c r="BU67" s="958"/>
      <c r="BV67" s="438"/>
      <c r="CJ67" s="1069">
        <v>2002</v>
      </c>
      <c r="CK67" s="142">
        <v>1703.0808963644092</v>
      </c>
      <c r="CL67" s="55">
        <v>5401.7384738598985</v>
      </c>
      <c r="CM67" s="57">
        <v>66.659</v>
      </c>
      <c r="CN67" s="57">
        <f t="shared" si="71"/>
        <v>25.549151597899893</v>
      </c>
      <c r="CO67" s="75">
        <f t="shared" si="72"/>
        <v>81.035396178459</v>
      </c>
      <c r="DF67" s="1046">
        <v>2009</v>
      </c>
      <c r="DG67" s="1047">
        <v>0.7261311317282132</v>
      </c>
      <c r="DH67" s="1092"/>
      <c r="DW67" s="1043">
        <f t="shared" si="65"/>
        <v>0.7261311317282132</v>
      </c>
      <c r="DZ67" s="1007">
        <v>2013</v>
      </c>
      <c r="EA67" s="1019">
        <v>2.131890962355792</v>
      </c>
      <c r="EB67" s="1009">
        <v>2.313547453379682</v>
      </c>
      <c r="ES67" s="863">
        <v>2013</v>
      </c>
      <c r="ET67" s="1020">
        <f t="shared" si="54"/>
        <v>788.2455899673125</v>
      </c>
      <c r="EU67" s="1021">
        <f t="shared" si="55"/>
        <v>495.32648732647453</v>
      </c>
      <c r="FL67" s="795">
        <v>2013</v>
      </c>
      <c r="FM67" s="796">
        <v>20.58724351980391</v>
      </c>
      <c r="FN67" s="822">
        <v>26.82470761987901</v>
      </c>
      <c r="FO67" s="822"/>
      <c r="FP67" s="1083">
        <f t="shared" si="74"/>
        <v>20.58724351980391</v>
      </c>
      <c r="GC67" s="918"/>
      <c r="GD67" s="919"/>
      <c r="GE67" s="24"/>
      <c r="GH67" s="609">
        <v>2013</v>
      </c>
      <c r="GI67" s="1023">
        <v>788.2455899673125</v>
      </c>
      <c r="GJ67" s="1024">
        <v>617.6570178185874</v>
      </c>
      <c r="GK67" s="1031">
        <f t="shared" si="60"/>
        <v>612.2849696819213</v>
      </c>
      <c r="GX67" s="918"/>
      <c r="GY67" s="919"/>
      <c r="GZ67" s="24"/>
      <c r="HC67" s="609">
        <v>2013</v>
      </c>
      <c r="HD67" s="1025">
        <v>11160.485</v>
      </c>
      <c r="HE67" s="1026">
        <v>13450.2382</v>
      </c>
      <c r="HF67" s="1026">
        <f t="shared" si="61"/>
        <v>13035.95002</v>
      </c>
      <c r="HT67" s="918"/>
      <c r="HU67" s="919"/>
      <c r="HV67" s="24"/>
      <c r="HZ67" s="795">
        <v>2013</v>
      </c>
      <c r="IA67" s="1027">
        <f t="shared" si="57"/>
        <v>788.2455899673125</v>
      </c>
      <c r="IB67" s="1028">
        <f t="shared" si="58"/>
        <v>797.219675886076</v>
      </c>
      <c r="IC67" s="1028"/>
      <c r="IQ67" s="918"/>
      <c r="IR67" s="919"/>
      <c r="IS67" s="24"/>
    </row>
    <row r="68" ht="24" customHeight="1" spans="12:237" x14ac:dyDescent="0.25">
      <c r="L68" s="1070" t="s">
        <v>871</v>
      </c>
      <c r="M68" s="1071" t="s">
        <v>943</v>
      </c>
      <c r="N68" s="1071"/>
      <c r="O68" s="1093" t="s">
        <v>944</v>
      </c>
      <c r="P68" s="1084">
        <v>1</v>
      </c>
      <c r="Q68" s="1094">
        <f>ОТЧЁТ!V152</f>
        <v>0.964</v>
      </c>
      <c r="R68" s="1094">
        <f>ОТЧЁТ!W152</f>
        <v>0.977496</v>
      </c>
      <c r="S68" s="1094">
        <f>ОТЧЁТ!X152</f>
        <v>0.925688712</v>
      </c>
      <c r="T68" s="1094">
        <f>ОТЧЁТ!Y152</f>
        <v>0.9849327895680001</v>
      </c>
      <c r="U68" s="1094">
        <f>ОТЧЁТ!Z152</f>
        <v>1.0834260685248003</v>
      </c>
      <c r="V68" s="1094">
        <f>ОТЧЁТ!AA152</f>
        <v>1.138680798019565</v>
      </c>
      <c r="W68" s="1094">
        <f>ОТЧЁТ!AB152</f>
        <v>1.1921987955264846</v>
      </c>
      <c r="X68" s="1094">
        <f>ОТЧЁТ!AC152</f>
        <v>1.279229307599918</v>
      </c>
      <c r="Y68" s="1094">
        <f>ОТЧЁТ!AD152</f>
        <v>1.3713338177471122</v>
      </c>
      <c r="Z68" s="1094">
        <f>ОТЧЁТ!AE152</f>
        <v>1.4590991820829273</v>
      </c>
      <c r="AA68" s="1094">
        <f>ОТЧЁТ!AF152</f>
        <v>1.5787453150137274</v>
      </c>
      <c r="AB68" s="1094">
        <f>ОТЧЁТ!AG152</f>
        <v>1.7129386667898943</v>
      </c>
      <c r="AC68" s="1094">
        <f>ОТЧЁТ!AH152</f>
        <v>1.8020114774629687</v>
      </c>
      <c r="AD68" s="1094">
        <f>ОТЧЁТ!AI152</f>
        <v>1.6596525707433942</v>
      </c>
      <c r="AE68" s="1094">
        <f>ОТЧЁТ!AJ152</f>
        <v>1.7343369364268468</v>
      </c>
      <c r="AF68" s="1094">
        <f>ОТЧЁТ!AK152</f>
        <v>1.808913424693201</v>
      </c>
      <c r="AG68" s="1094">
        <f>ОТЧЁТ!AL152</f>
        <v>1.8750455190419226</v>
      </c>
      <c r="AH68" s="1094">
        <f>ОТЧЁТ!AM152</f>
        <v>1.9085217286102596</v>
      </c>
      <c r="AI68" s="1094">
        <f>ОТЧЁТ!AN152</f>
        <v>1.9226180848563927</v>
      </c>
      <c r="AJ68" s="1094">
        <f>ОТЧЁТ!AO152</f>
        <v>1.8783978689046956</v>
      </c>
      <c r="AK68" s="1094">
        <f>ОТЧЁТ!AP152</f>
        <v>1.882154664642505</v>
      </c>
      <c r="AL68" s="1094">
        <f>ОТЧЁТ!AQ152</f>
        <v>1.91603344860607</v>
      </c>
      <c r="AM68" s="1094">
        <f>ОТЧЁТ!AR152</f>
        <v>1.96968238516704</v>
      </c>
      <c r="AN68" s="1088"/>
      <c r="AO68" s="1089"/>
      <c r="AP68" s="1088"/>
      <c r="AQ68" s="1095" t="str">
        <f>O68</f>
        <v>^Pw</v>
      </c>
      <c r="BD68" s="960">
        <v>2020</v>
      </c>
      <c r="BE68" s="961"/>
      <c r="BF68" s="514"/>
      <c r="BT68" s="960">
        <v>2020</v>
      </c>
      <c r="BU68" s="961"/>
      <c r="BV68" s="514"/>
      <c r="CJ68" s="1069">
        <v>2003</v>
      </c>
      <c r="CK68" s="142">
        <v>1827.405801799011</v>
      </c>
      <c r="CL68" s="55">
        <v>5471.961074020077</v>
      </c>
      <c r="CM68" s="57">
        <v>66.339</v>
      </c>
      <c r="CN68" s="57">
        <f t="shared" si="71"/>
        <v>27.546477966188984</v>
      </c>
      <c r="CO68" s="75">
        <f t="shared" si="72"/>
        <v>82.48482904505761</v>
      </c>
      <c r="DF68" s="1046">
        <v>2010</v>
      </c>
      <c r="DG68" s="1047">
        <v>0.7402307653540036</v>
      </c>
      <c r="DH68" s="1048"/>
      <c r="DW68" s="1043">
        <f t="shared" si="65"/>
        <v>0.7402307653540036</v>
      </c>
      <c r="DZ68" s="1007">
        <v>2014</v>
      </c>
      <c r="EA68" s="1019">
        <v>2.0935169250333874</v>
      </c>
      <c r="EB68" s="1009">
        <v>2.278844241578987</v>
      </c>
      <c r="ES68" s="863">
        <v>2014</v>
      </c>
      <c r="ET68" s="1020">
        <f t="shared" si="54"/>
        <v>764.5982222682932</v>
      </c>
      <c r="EU68" s="1021">
        <f t="shared" si="55"/>
        <v>489.4185862581188</v>
      </c>
      <c r="FL68" s="795">
        <v>2014</v>
      </c>
      <c r="FM68" s="796">
        <v>22.05840052773225</v>
      </c>
      <c r="FN68" s="822">
        <v>28.78517263207585</v>
      </c>
      <c r="FO68" s="822"/>
      <c r="FP68" s="1083">
        <f t="shared" si="74"/>
        <v>22.05840052773225</v>
      </c>
      <c r="GH68" s="609">
        <v>2014</v>
      </c>
      <c r="GI68" s="1023">
        <v>764.5982222682932</v>
      </c>
      <c r="GJ68" s="1024">
        <v>608.3921625513086</v>
      </c>
      <c r="GK68" s="1031">
        <f t="shared" si="60"/>
        <v>610.6814151490964</v>
      </c>
      <c r="HC68" s="609">
        <v>2014</v>
      </c>
      <c r="HD68" s="1025">
        <v>10888</v>
      </c>
      <c r="HE68" s="1026">
        <v>13902.6453</v>
      </c>
      <c r="HF68" s="1026">
        <f t="shared" si="61"/>
        <v>13680.508389999999</v>
      </c>
      <c r="HZ68" s="795">
        <v>2014</v>
      </c>
      <c r="IA68" s="1027">
        <f t="shared" si="57"/>
        <v>764.5982222682932</v>
      </c>
      <c r="IB68" s="1028">
        <f t="shared" si="58"/>
        <v>758.352504498292</v>
      </c>
      <c r="IC68" s="1028"/>
    </row>
    <row r="69" ht="24" customHeight="1" spans="12:237" x14ac:dyDescent="0.25">
      <c r="L69" s="1070" t="s">
        <v>871</v>
      </c>
      <c r="M69" s="1071" t="s">
        <v>945</v>
      </c>
      <c r="N69" s="1071"/>
      <c r="O69" s="1096" t="s">
        <v>870</v>
      </c>
      <c r="P69" s="1084">
        <v>1428.5209000000002</v>
      </c>
      <c r="Q69" s="1085">
        <f t="shared" ref="Q69:AM69" si="76">$P69*Q68</f>
        <v>1377.0941476000003</v>
      </c>
      <c r="R69" s="1085">
        <f t="shared" si="76"/>
        <v>1396.3734656664003</v>
      </c>
      <c r="S69" s="1085">
        <f t="shared" si="76"/>
        <v>1322.365671986081</v>
      </c>
      <c r="T69" s="1085">
        <f t="shared" si="76"/>
        <v>1406.9970749931904</v>
      </c>
      <c r="U69" s="1085">
        <f t="shared" si="76"/>
        <v>1547.6967824925096</v>
      </c>
      <c r="V69" s="1085">
        <f t="shared" si="76"/>
        <v>1626.6293183996274</v>
      </c>
      <c r="W69" s="1085">
        <f t="shared" si="76"/>
        <v>1703.08089636441</v>
      </c>
      <c r="X69" s="1085">
        <f t="shared" si="76"/>
        <v>1827.405801799012</v>
      </c>
      <c r="Y69" s="1085">
        <f t="shared" si="76"/>
        <v>1958.979019528541</v>
      </c>
      <c r="Z69" s="1085">
        <f t="shared" si="76"/>
        <v>2084.3536767783676</v>
      </c>
      <c r="AA69" s="1085">
        <f t="shared" si="76"/>
        <v>2255.270678274194</v>
      </c>
      <c r="AB69" s="1085">
        <f t="shared" si="76"/>
        <v>2446.9686859275002</v>
      </c>
      <c r="AC69" s="1085">
        <f t="shared" si="76"/>
        <v>2574.2110575957304</v>
      </c>
      <c r="AD69" s="1085">
        <f t="shared" si="76"/>
        <v>2370.8483840456674</v>
      </c>
      <c r="AE69" s="1085">
        <f t="shared" si="76"/>
        <v>2477.536561327722</v>
      </c>
      <c r="AF69" s="1085">
        <f t="shared" si="76"/>
        <v>2584.0706334648144</v>
      </c>
      <c r="AG69" s="1085">
        <f t="shared" si="76"/>
        <v>2678.541712402735</v>
      </c>
      <c r="AH69" s="1085">
        <f t="shared" si="76"/>
        <v>2726.3631774238843</v>
      </c>
      <c r="AI69" s="1085">
        <f t="shared" si="76"/>
        <v>2746.500116935331</v>
      </c>
      <c r="AJ69" s="1085">
        <f t="shared" si="76"/>
        <v>2683.330614245818</v>
      </c>
      <c r="AK69" s="1085">
        <f t="shared" si="76"/>
        <v>2688.6972754743097</v>
      </c>
      <c r="AL69" s="1085">
        <f t="shared" si="76"/>
        <v>2737.093826432847</v>
      </c>
      <c r="AM69" s="1085">
        <f t="shared" si="76"/>
        <v>2813.732453572967</v>
      </c>
      <c r="AN69" s="1085"/>
      <c r="AO69" s="1085"/>
      <c r="AP69" s="1085"/>
      <c r="AQ69" s="1090" t="str">
        <f>O69</f>
        <v>^WWPS</v>
      </c>
      <c r="CJ69" s="1069">
        <v>2004</v>
      </c>
      <c r="CK69" s="142">
        <v>1958.97901952854</v>
      </c>
      <c r="CL69" s="55">
        <v>5559.5124512043985</v>
      </c>
      <c r="CM69" s="57">
        <v>67.319</v>
      </c>
      <c r="CN69" s="57">
        <f t="shared" si="71"/>
        <v>29.099942356965194</v>
      </c>
      <c r="CO69" s="75">
        <f t="shared" si="72"/>
        <v>82.58459649139765</v>
      </c>
      <c r="DF69" s="1046">
        <v>2011</v>
      </c>
      <c r="DG69" s="1047">
        <v>0.7423660464079095</v>
      </c>
      <c r="DH69" s="1048"/>
      <c r="DW69" s="1043">
        <f t="shared" si="65"/>
        <v>0.7423660464079095</v>
      </c>
      <c r="DZ69" s="1007">
        <v>2015</v>
      </c>
      <c r="EA69" s="1019">
        <v>1.869510614054815</v>
      </c>
      <c r="EB69" s="1009">
        <v>2.0486809731795095</v>
      </c>
      <c r="ES69" s="863">
        <v>2015</v>
      </c>
      <c r="ET69" s="1020">
        <f t="shared" si="54"/>
        <v>722.545320043537</v>
      </c>
      <c r="EU69" s="1021">
        <f t="shared" si="55"/>
        <v>475.74637297970753</v>
      </c>
      <c r="FL69" s="795">
        <v>2015</v>
      </c>
      <c r="FM69" s="796">
        <v>24.641576618684894</v>
      </c>
      <c r="FN69" s="822">
        <v>30.966851255246702</v>
      </c>
      <c r="FO69" s="822"/>
      <c r="FP69" s="1083">
        <f t="shared" si="74"/>
        <v>24.641576618684894</v>
      </c>
      <c r="GH69" s="609">
        <v>2015</v>
      </c>
      <c r="GI69" s="1023">
        <v>722.545320043537</v>
      </c>
      <c r="GJ69" s="1024">
        <v>546.9445541336264</v>
      </c>
      <c r="GK69" s="1031">
        <f t="shared" si="60"/>
        <v>566.305322185659</v>
      </c>
      <c r="HC69" s="609">
        <v>2015</v>
      </c>
      <c r="HD69" s="1025">
        <v>10721</v>
      </c>
      <c r="HE69" s="1026">
        <v>13897.2</v>
      </c>
      <c r="HF69" s="1026">
        <f t="shared" si="61"/>
        <v>13853.59288</v>
      </c>
      <c r="HZ69" s="795">
        <v>2015</v>
      </c>
      <c r="IA69" s="1027">
        <f t="shared" si="57"/>
        <v>722.545320043537</v>
      </c>
      <c r="IB69" s="1028">
        <f t="shared" si="58"/>
        <v>696.1704150168504</v>
      </c>
      <c r="IC69" s="1028"/>
    </row>
    <row r="70" ht="24" customHeight="1" spans="12:237" x14ac:dyDescent="0.25">
      <c r="L70" s="864" t="s">
        <v>939</v>
      </c>
      <c r="M70" s="1071" t="s">
        <v>946</v>
      </c>
      <c r="N70" s="1071"/>
      <c r="O70" s="1096" t="s">
        <v>664</v>
      </c>
      <c r="P70" s="1097">
        <f>P69</f>
        <v>1428.5209000000002</v>
      </c>
      <c r="Q70" s="1098">
        <f>Q62+Q54+Q49+Q44+Q39-Q19</f>
        <v>1361.6494802000002</v>
      </c>
      <c r="R70" s="1098">
        <f t="shared" ref="R70:AM70" si="77">R62+R54+R49+R44+R39-R19</f>
        <v>1372.4565742097002</v>
      </c>
      <c r="S70" s="1098">
        <f t="shared" si="77"/>
        <v>1289.0918521979504</v>
      </c>
      <c r="T70" s="1098">
        <f t="shared" si="77"/>
        <v>1371.9396400799292</v>
      </c>
      <c r="U70" s="1098">
        <f t="shared" si="77"/>
        <v>1496.2751897260482</v>
      </c>
      <c r="V70" s="1098">
        <f t="shared" si="77"/>
        <v>1556.7756959437393</v>
      </c>
      <c r="W70" s="1098">
        <f t="shared" si="77"/>
        <v>1615.6942992454237</v>
      </c>
      <c r="X70" s="1098">
        <f t="shared" si="77"/>
        <v>1728.3059725369915</v>
      </c>
      <c r="Y70" s="1098">
        <f t="shared" si="77"/>
        <v>1842.0986257200034</v>
      </c>
      <c r="Z70" s="1098">
        <f t="shared" si="77"/>
        <v>1942.3366117955338</v>
      </c>
      <c r="AA70" s="1098">
        <f t="shared" si="77"/>
        <v>2057.614839148779</v>
      </c>
      <c r="AB70" s="1098">
        <f t="shared" si="77"/>
        <v>2167.5889384110997</v>
      </c>
      <c r="AC70" s="1098">
        <f t="shared" si="77"/>
        <v>2226.228519016332</v>
      </c>
      <c r="AD70" s="1098">
        <f t="shared" si="77"/>
        <v>2234.1915524469346</v>
      </c>
      <c r="AE70" s="1098">
        <f t="shared" si="77"/>
        <v>2244.1180438797555</v>
      </c>
      <c r="AF70" s="1098">
        <f t="shared" si="77"/>
        <v>2224.8126918138482</v>
      </c>
      <c r="AG70" s="1098">
        <f t="shared" si="77"/>
        <v>2270.179656135559</v>
      </c>
      <c r="AH70" s="1098">
        <f t="shared" si="77"/>
        <v>2322.711913869197</v>
      </c>
      <c r="AI70" s="1098">
        <f t="shared" si="77"/>
        <v>2442.1098421222364</v>
      </c>
      <c r="AJ70" s="1098">
        <f t="shared" si="77"/>
        <v>2594.4501249216682</v>
      </c>
      <c r="AK70" s="1098">
        <f t="shared" si="77"/>
        <v>2634.4823325659218</v>
      </c>
      <c r="AL70" s="1098">
        <f t="shared" si="77"/>
        <v>2595.3705926443536</v>
      </c>
      <c r="AM70" s="1098">
        <f t="shared" si="77"/>
        <v>2672.4269773218693</v>
      </c>
      <c r="AN70" s="1099"/>
      <c r="AO70" s="1098"/>
      <c r="AP70" s="1098"/>
      <c r="AQ70" s="1100"/>
      <c r="CJ70" s="1069">
        <v>2005</v>
      </c>
      <c r="CK70" s="142">
        <v>2084.3536767783667</v>
      </c>
      <c r="CL70" s="55">
        <v>5665.143187777283</v>
      </c>
      <c r="CM70" s="57">
        <v>68.339</v>
      </c>
      <c r="CN70" s="57">
        <f t="shared" si="71"/>
        <v>30.500207447846275</v>
      </c>
      <c r="CO70" s="75">
        <f t="shared" si="72"/>
        <v>82.89766001517849</v>
      </c>
      <c r="DF70" s="1046">
        <v>2012</v>
      </c>
      <c r="DG70" s="1047">
        <v>0.7395190050027017</v>
      </c>
      <c r="DH70" s="1048"/>
      <c r="DW70" s="1043">
        <f t="shared" si="65"/>
        <v>0.7395190050027017</v>
      </c>
      <c r="DZ70" s="1007">
        <v>2016</v>
      </c>
      <c r="EA70" s="1019">
        <v>1.8882057201953633</v>
      </c>
      <c r="EB70" s="1009">
        <v>2.0445836112331506</v>
      </c>
      <c r="ES70" s="863">
        <v>2016</v>
      </c>
      <c r="ET70" s="1020">
        <f t="shared" si="54"/>
        <v>843.9329338108512</v>
      </c>
      <c r="EU70" s="1021">
        <f t="shared" si="55"/>
        <v>533.5215581413215</v>
      </c>
      <c r="FL70" s="795">
        <v>2016</v>
      </c>
      <c r="FM70" s="796">
        <v>25.837490201740536</v>
      </c>
      <c r="FN70" s="822">
        <v>31.991031785021747</v>
      </c>
      <c r="FO70" s="822"/>
      <c r="FP70" s="1083">
        <f t="shared" si="74"/>
        <v>25.837490201740536</v>
      </c>
      <c r="GH70" s="609">
        <v>2016</v>
      </c>
      <c r="GI70" s="1023">
        <v>843.9329338108512</v>
      </c>
      <c r="GJ70" s="1024">
        <v>545.8506650253591</v>
      </c>
      <c r="GK70" s="1031">
        <f t="shared" si="60"/>
        <v>552.3235925996075</v>
      </c>
      <c r="HC70" s="609">
        <v>2016</v>
      </c>
      <c r="HD70" s="1025">
        <v>13256</v>
      </c>
      <c r="HE70" s="1026">
        <v>14748.8</v>
      </c>
      <c r="HF70" s="1026">
        <f t="shared" si="61"/>
        <v>14493.864529999999</v>
      </c>
      <c r="HZ70" s="795">
        <v>2016</v>
      </c>
      <c r="IA70" s="1027">
        <f t="shared" si="57"/>
        <v>843.9329338108512</v>
      </c>
      <c r="IB70" s="1028">
        <f t="shared" si="58"/>
        <v>835.5452460919395</v>
      </c>
      <c r="IC70" s="1028"/>
    </row>
    <row r="71" ht="24" customHeight="1" spans="12:237" x14ac:dyDescent="0.25">
      <c r="L71" s="1101" t="s">
        <v>939</v>
      </c>
      <c r="M71" s="1071" t="s">
        <v>943</v>
      </c>
      <c r="N71" s="1071"/>
      <c r="O71" s="1093" t="s">
        <v>947</v>
      </c>
      <c r="P71" s="1084">
        <v>1</v>
      </c>
      <c r="Q71" s="1094">
        <f t="shared" ref="Q71:AM71" si="78">Q70/$P70</f>
        <v>0.953188350411954</v>
      </c>
      <c r="R71" s="1094">
        <f t="shared" si="78"/>
        <v>0.960753583801049</v>
      </c>
      <c r="S71" s="1094">
        <f t="shared" si="78"/>
        <v>0.9023962142926647</v>
      </c>
      <c r="T71" s="1094">
        <f t="shared" si="78"/>
        <v>0.9603917171109845</v>
      </c>
      <c r="U71" s="1094">
        <f t="shared" si="78"/>
        <v>1.0474296803960292</v>
      </c>
      <c r="V71" s="1094">
        <f t="shared" si="78"/>
        <v>1.0897815327334301</v>
      </c>
      <c r="W71" s="1094">
        <f t="shared" si="78"/>
        <v>1.1310260138619068</v>
      </c>
      <c r="X71" s="1094">
        <f t="shared" si="78"/>
        <v>1.2098569734170437</v>
      </c>
      <c r="Y71" s="1094">
        <f t="shared" si="78"/>
        <v>1.2895146481371067</v>
      </c>
      <c r="Z71" s="1094">
        <f t="shared" si="78"/>
        <v>1.3596837202700593</v>
      </c>
      <c r="AA71" s="1094">
        <f t="shared" si="78"/>
        <v>1.4403813336919178</v>
      </c>
      <c r="AB71" s="1094">
        <f t="shared" si="78"/>
        <v>1.5173659261205765</v>
      </c>
      <c r="AC71" s="1094">
        <f t="shared" si="78"/>
        <v>1.5584150844529694</v>
      </c>
      <c r="AD71" s="1094">
        <f t="shared" si="78"/>
        <v>1.5639894050181093</v>
      </c>
      <c r="AE71" s="1094">
        <f t="shared" si="78"/>
        <v>1.5709381947997787</v>
      </c>
      <c r="AF71" s="1094">
        <f t="shared" si="78"/>
        <v>1.557423970355525</v>
      </c>
      <c r="AG71" s="1094">
        <f t="shared" si="78"/>
        <v>1.5891819686611226</v>
      </c>
      <c r="AH71" s="1094">
        <f t="shared" si="78"/>
        <v>1.6259558497668438</v>
      </c>
      <c r="AI71" s="1094">
        <f t="shared" si="78"/>
        <v>1.7095373558218407</v>
      </c>
      <c r="AJ71" s="1094">
        <f t="shared" si="78"/>
        <v>1.8161793257079177</v>
      </c>
      <c r="AK71" s="1094">
        <f t="shared" si="78"/>
        <v>1.8442028622513829</v>
      </c>
      <c r="AL71" s="1094">
        <f t="shared" si="78"/>
        <v>1.816823675904464</v>
      </c>
      <c r="AM71" s="1094">
        <f t="shared" si="78"/>
        <v>1.870765053085236</v>
      </c>
      <c r="AN71" s="1088"/>
      <c r="AO71" s="1089"/>
      <c r="AP71" s="1088"/>
      <c r="AQ71" s="1095" t="str">
        <f>O71</f>
        <v> Pw</v>
      </c>
      <c r="BD71" s="869" t="s">
        <v>159</v>
      </c>
      <c r="BE71" s="995" t="s">
        <v>948</v>
      </c>
      <c r="BF71" s="966" t="s">
        <v>949</v>
      </c>
      <c r="BG71" s="875" t="s">
        <v>355</v>
      </c>
      <c r="BH71" s="966" t="s">
        <v>949</v>
      </c>
      <c r="BI71" s="875" t="s">
        <v>358</v>
      </c>
      <c r="BJ71" s="966" t="s">
        <v>949</v>
      </c>
      <c r="BZ71" s="875" t="s">
        <v>386</v>
      </c>
      <c r="CJ71" s="1069">
        <v>2006</v>
      </c>
      <c r="CK71" s="142">
        <v>2255.270678274193</v>
      </c>
      <c r="CL71" s="55">
        <v>5801.106624283938</v>
      </c>
      <c r="CM71" s="57">
        <v>69.169</v>
      </c>
      <c r="CN71" s="57">
        <f t="shared" si="71"/>
        <v>32.605223124148</v>
      </c>
      <c r="CO71" s="75">
        <f t="shared" si="72"/>
        <v>83.86859177209354</v>
      </c>
      <c r="DF71" s="1046">
        <v>2013</v>
      </c>
      <c r="DG71" s="1047">
        <v>0.7253111470775779</v>
      </c>
      <c r="DH71" s="1092"/>
      <c r="DW71" s="1043">
        <f t="shared" si="65"/>
        <v>0.7253111470775779</v>
      </c>
      <c r="DZ71" s="1007">
        <v>2017</v>
      </c>
      <c r="EA71" s="1019">
        <v>1.9863924176455223</v>
      </c>
      <c r="EB71" s="1102">
        <v>2.142723624572342</v>
      </c>
      <c r="ES71" s="863">
        <v>2017</v>
      </c>
      <c r="ET71" s="1020">
        <f t="shared" si="54"/>
        <v>844.7768667446619</v>
      </c>
      <c r="EU71" s="1021">
        <f t="shared" si="55"/>
        <v>530.5291248424985</v>
      </c>
      <c r="FL71" s="795">
        <v>2017</v>
      </c>
      <c r="FM71" s="822">
        <v>27.279512414925115</v>
      </c>
      <c r="FN71" s="822">
        <v>33.649317794864295</v>
      </c>
      <c r="FO71" s="822"/>
      <c r="FP71" s="1083">
        <f t="shared" si="74"/>
        <v>27.279512414925115</v>
      </c>
      <c r="GH71" s="609">
        <v>2017</v>
      </c>
      <c r="GI71" s="1024">
        <v>844.7768667446619</v>
      </c>
      <c r="GJ71" s="1024">
        <v>572.0514969465764</v>
      </c>
      <c r="GK71" s="1031">
        <f t="shared" si="60"/>
        <v>564.3006362810379</v>
      </c>
      <c r="HC71" s="609">
        <v>2017</v>
      </c>
      <c r="HD71" s="1026">
        <v>12484.1</v>
      </c>
      <c r="HE71" s="1026">
        <v>16027.3</v>
      </c>
      <c r="HF71" s="1026">
        <f t="shared" si="61"/>
        <v>15558.59</v>
      </c>
      <c r="HZ71" s="795">
        <v>2017</v>
      </c>
      <c r="IA71" s="1027">
        <f t="shared" si="57"/>
        <v>844.7768667446619</v>
      </c>
      <c r="IB71" s="1028">
        <f t="shared" si="58"/>
        <v>843.95072450764</v>
      </c>
      <c r="IC71" s="1028"/>
    </row>
    <row r="72" ht="23.5" customHeight="1" spans="56:237" x14ac:dyDescent="0.25">
      <c r="BD72" s="901">
        <v>43911</v>
      </c>
      <c r="BE72" s="913" t="s">
        <v>840</v>
      </c>
      <c r="BF72" s="913" t="s">
        <v>840</v>
      </c>
      <c r="BG72" s="913" t="s">
        <v>840</v>
      </c>
      <c r="BH72" s="913" t="s">
        <v>840</v>
      </c>
      <c r="BI72" s="913" t="s">
        <v>840</v>
      </c>
      <c r="BJ72" s="913" t="s">
        <v>840</v>
      </c>
      <c r="BZ72" s="913" t="s">
        <v>840</v>
      </c>
      <c r="CJ72" s="1069">
        <v>2007</v>
      </c>
      <c r="CK72" s="142">
        <v>2446.9686859274993</v>
      </c>
      <c r="CL72" s="55">
        <v>5980.940929636739</v>
      </c>
      <c r="CM72" s="57">
        <v>70.77</v>
      </c>
      <c r="CN72" s="57">
        <f t="shared" si="71"/>
        <v>34.57635560163204</v>
      </c>
      <c r="CO72" s="75">
        <f t="shared" si="72"/>
        <v>84.51237713207206</v>
      </c>
      <c r="DF72" s="1046">
        <v>2014</v>
      </c>
      <c r="DG72" s="1047">
        <v>0.7050276145170672</v>
      </c>
      <c r="DH72" s="1092"/>
      <c r="DW72" s="1043">
        <f t="shared" si="65"/>
        <v>0.7050276145170672</v>
      </c>
      <c r="DZ72" s="1007">
        <v>2018</v>
      </c>
      <c r="EA72" s="1019">
        <v>2.043997797757242</v>
      </c>
      <c r="EB72" s="1102">
        <v>2.2348607404289527</v>
      </c>
      <c r="ES72" s="863">
        <v>2018</v>
      </c>
      <c r="ET72" s="1020">
        <f t="shared" si="54"/>
        <v>968.1142892893824</v>
      </c>
      <c r="EU72" s="1021">
        <f t="shared" si="55"/>
        <v>607.5894325534139</v>
      </c>
      <c r="FL72" s="795">
        <v>2018</v>
      </c>
      <c r="FM72" s="822">
        <v>29.75168622717218</v>
      </c>
      <c r="FN72" s="822">
        <v>36.91744034444185</v>
      </c>
      <c r="FO72" s="822"/>
      <c r="FP72" s="1083">
        <f t="shared" si="74"/>
        <v>29.75168622717218</v>
      </c>
      <c r="GH72" s="609">
        <v>2018</v>
      </c>
      <c r="GI72" s="1024">
        <v>968.1142892893824</v>
      </c>
      <c r="GJ72" s="1024">
        <v>596.6497113152792</v>
      </c>
      <c r="GK72" s="1031">
        <f t="shared" si="60"/>
        <v>586.6501638125467</v>
      </c>
      <c r="HC72" s="609">
        <v>2018</v>
      </c>
      <c r="HD72" s="1026">
        <v>14909.4</v>
      </c>
      <c r="HE72" s="1026">
        <v>17595</v>
      </c>
      <c r="HF72" s="1026">
        <f t="shared" si="61"/>
        <v>16996.84</v>
      </c>
      <c r="HZ72" s="795">
        <v>2018</v>
      </c>
      <c r="IA72" s="1027">
        <f t="shared" si="57"/>
        <v>968.1142892893824</v>
      </c>
      <c r="IB72" s="1028">
        <f t="shared" si="58"/>
        <v>945.343883108507</v>
      </c>
      <c r="IC72" s="1028"/>
    </row>
    <row r="73" ht="23.5" customHeight="1" spans="56:237" x14ac:dyDescent="0.25">
      <c r="BD73" s="828">
        <v>1995</v>
      </c>
      <c r="BE73" s="1103">
        <f t="array" ref="BE73:BE96">TRANSPOSE(P100:AM100)</f>
        <v>0.5033850497134363</v>
      </c>
      <c r="BF73" s="20"/>
      <c r="BG73" s="604">
        <f t="array" ref="BG73:BG96">TRANSPOSE(P97:AM97)</f>
        <v>0.5033850497134363</v>
      </c>
      <c r="BH73" s="20"/>
      <c r="BI73" s="604">
        <f t="array" ref="BI73:BI96">TRANSPOSE(P101:AM101)</f>
        <v>1</v>
      </c>
      <c r="BJ73" s="798"/>
      <c r="BZ73" s="1104">
        <f>BG73</f>
        <v>0.5033850497134363</v>
      </c>
      <c r="CJ73" s="1069">
        <v>2008</v>
      </c>
      <c r="CK73" s="142">
        <v>2574.2110575957295</v>
      </c>
      <c r="CL73" s="55">
        <v>6196.254803103662</v>
      </c>
      <c r="CM73" s="57">
        <v>71.003</v>
      </c>
      <c r="CN73" s="57">
        <f t="shared" si="71"/>
        <v>36.254961869156645</v>
      </c>
      <c r="CO73" s="75">
        <f t="shared" si="72"/>
        <v>87.2675070504579</v>
      </c>
      <c r="DF73" s="1046">
        <v>2015</v>
      </c>
      <c r="DG73" s="1047">
        <v>0.6742851313259158</v>
      </c>
      <c r="DH73" s="1092"/>
      <c r="DW73" s="1043">
        <f t="shared" si="65"/>
        <v>0.6742851313259158</v>
      </c>
      <c r="DZ73" s="1007">
        <v>2019</v>
      </c>
      <c r="EA73" s="1008"/>
      <c r="EB73" s="1102"/>
      <c r="ES73" s="863">
        <v>2019</v>
      </c>
      <c r="ET73" s="951"/>
      <c r="EU73" s="935"/>
      <c r="FL73" s="795">
        <v>2019</v>
      </c>
      <c r="FM73" s="949"/>
      <c r="FN73" s="20"/>
      <c r="FO73" s="20"/>
      <c r="FP73" s="955"/>
      <c r="GH73" s="609">
        <v>2019</v>
      </c>
      <c r="GI73" s="949"/>
      <c r="GJ73" s="20"/>
      <c r="GK73" s="955"/>
      <c r="HC73" s="609">
        <v>2019</v>
      </c>
      <c r="HD73" s="949"/>
      <c r="HE73" s="20"/>
      <c r="HF73" s="955"/>
      <c r="HZ73" s="795">
        <v>2019</v>
      </c>
      <c r="IA73" s="796"/>
      <c r="IB73" s="1028">
        <f t="shared" si="58"/>
        <v>968.3593797963788</v>
      </c>
      <c r="IC73" s="1105"/>
    </row>
    <row r="74" ht="23.5" customHeight="1" spans="16:237" x14ac:dyDescent="0.25">
      <c r="P74" s="754" t="s">
        <v>950</v>
      </c>
      <c r="BD74" s="928">
        <v>1996</v>
      </c>
      <c r="BE74" s="604">
        <v>0.4953618002876285</v>
      </c>
      <c r="BF74" s="20"/>
      <c r="BG74" s="604">
        <v>0.5074724155594162</v>
      </c>
      <c r="BH74" s="20"/>
      <c r="BI74" s="604">
        <v>0.9761354215510657</v>
      </c>
      <c r="BJ74" s="823"/>
      <c r="BZ74" s="1106">
        <f>BG74</f>
        <v>0.5074724155594162</v>
      </c>
      <c r="CJ74" s="1069">
        <v>2009</v>
      </c>
      <c r="CK74" s="142">
        <v>2370.848384045667</v>
      </c>
      <c r="CL74" s="55">
        <v>6394.53495680298</v>
      </c>
      <c r="CM74" s="57">
        <v>69.41</v>
      </c>
      <c r="CN74" s="57">
        <f t="shared" si="71"/>
        <v>34.15715868096336</v>
      </c>
      <c r="CO74" s="75">
        <f t="shared" si="72"/>
        <v>92.12699836915401</v>
      </c>
      <c r="DF74" s="1046">
        <v>2016</v>
      </c>
      <c r="DG74" s="1047">
        <v>0.6567628035628748</v>
      </c>
      <c r="DH74" s="1107">
        <f>DG74</f>
        <v>0.6567628035628748</v>
      </c>
      <c r="DW74" s="1043">
        <f t="shared" si="65"/>
        <v>0.6567628035628748</v>
      </c>
      <c r="DZ74" s="1007">
        <v>2020</v>
      </c>
      <c r="EA74" s="1008"/>
      <c r="EB74" s="1102"/>
      <c r="ES74" s="863">
        <v>2020</v>
      </c>
      <c r="ET74" s="951"/>
      <c r="EU74" s="935"/>
      <c r="FL74" s="795">
        <v>2020</v>
      </c>
      <c r="FM74" s="949"/>
      <c r="FN74" s="20"/>
      <c r="FO74" s="20"/>
      <c r="FP74" s="955"/>
      <c r="GH74" s="609">
        <v>2020</v>
      </c>
      <c r="GI74" s="949"/>
      <c r="GJ74" s="20"/>
      <c r="GK74" s="955"/>
      <c r="HC74" s="609">
        <v>2020</v>
      </c>
      <c r="HD74" s="949"/>
      <c r="HE74" s="20"/>
      <c r="HF74" s="955"/>
      <c r="HZ74" s="795">
        <v>2020</v>
      </c>
      <c r="IA74" s="796"/>
      <c r="IB74" s="1028">
        <f t="shared" si="58"/>
        <v>1001.3440304615528</v>
      </c>
      <c r="IC74" s="1105"/>
    </row>
    <row r="75" ht="23.5" customHeight="1" spans="16:237" x14ac:dyDescent="0.25">
      <c r="P75" s="1077">
        <v>1995</v>
      </c>
      <c r="Q75" s="1078">
        <v>1996</v>
      </c>
      <c r="R75" s="1078">
        <v>1997</v>
      </c>
      <c r="S75" s="1078">
        <v>1998</v>
      </c>
      <c r="T75" s="1078">
        <v>1999</v>
      </c>
      <c r="U75" s="1078">
        <v>2000</v>
      </c>
      <c r="V75" s="1078">
        <v>2001</v>
      </c>
      <c r="W75" s="1078">
        <v>2002</v>
      </c>
      <c r="X75" s="1078">
        <v>2003</v>
      </c>
      <c r="Y75" s="1078">
        <v>2004</v>
      </c>
      <c r="Z75" s="1078">
        <v>2005</v>
      </c>
      <c r="AA75" s="1078">
        <v>2006</v>
      </c>
      <c r="AB75" s="1078">
        <v>2007</v>
      </c>
      <c r="AC75" s="1078">
        <v>2008</v>
      </c>
      <c r="AD75" s="1078">
        <v>2009</v>
      </c>
      <c r="AE75" s="1078">
        <v>2010</v>
      </c>
      <c r="AF75" s="1078">
        <v>2011</v>
      </c>
      <c r="AG75" s="1078">
        <v>2012</v>
      </c>
      <c r="AH75" s="1078">
        <v>2013</v>
      </c>
      <c r="AI75" s="1078">
        <v>2014</v>
      </c>
      <c r="AJ75" s="1078">
        <v>2015</v>
      </c>
      <c r="AK75" s="1078">
        <v>2016</v>
      </c>
      <c r="AL75" s="1078">
        <v>2017</v>
      </c>
      <c r="AM75" s="1078">
        <v>2018</v>
      </c>
      <c r="AN75" s="1078">
        <v>2019</v>
      </c>
      <c r="AO75" s="1078">
        <v>2020</v>
      </c>
      <c r="AP75" s="1078">
        <v>2021</v>
      </c>
      <c r="AQ75" s="1079">
        <f>O75</f>
        <v>0</v>
      </c>
      <c r="BD75" s="928">
        <v>1997</v>
      </c>
      <c r="BE75" s="604">
        <v>0.48426929267941665</v>
      </c>
      <c r="BF75" s="20"/>
      <c r="BG75" s="604">
        <v>0.5074724155594164</v>
      </c>
      <c r="BH75" s="20"/>
      <c r="BI75" s="604">
        <v>0.954277075623073</v>
      </c>
      <c r="BJ75" s="823"/>
      <c r="BZ75" s="1106">
        <f t="shared" ref="BZ75:BZ96" si="79">BG75</f>
        <v>0.5074724155594164</v>
      </c>
      <c r="CF75" s="1108" t="s">
        <v>951</v>
      </c>
      <c r="CJ75" s="1069">
        <v>2010</v>
      </c>
      <c r="CK75" s="142">
        <v>2477.5365613277218</v>
      </c>
      <c r="CL75" s="55">
        <v>6586.37100550707</v>
      </c>
      <c r="CM75" s="57">
        <v>69.93370846147305</v>
      </c>
      <c r="CN75" s="57">
        <f t="shared" si="71"/>
        <v>35.426929528449264</v>
      </c>
      <c r="CO75" s="75">
        <f t="shared" si="72"/>
        <v>94.18020508858824</v>
      </c>
      <c r="DF75" s="1046">
        <v>2017</v>
      </c>
      <c r="DG75" s="1109">
        <v>0.6485374505317406</v>
      </c>
      <c r="DH75" s="1107">
        <f t="shared" ref="DH75:DH76" si="80">DG75</f>
        <v>0.6485374505317406</v>
      </c>
      <c r="DW75" s="1043">
        <f t="shared" si="65"/>
        <v>0.6485374505317406</v>
      </c>
      <c r="DZ75" s="1007">
        <v>2021</v>
      </c>
      <c r="EA75" s="1008"/>
      <c r="EB75" s="1102"/>
      <c r="ES75" s="863">
        <v>2021</v>
      </c>
      <c r="ET75" s="951"/>
      <c r="EU75" s="935"/>
      <c r="FL75" s="795">
        <v>2021</v>
      </c>
      <c r="FM75" s="949"/>
      <c r="FN75" s="20"/>
      <c r="FO75" s="20"/>
      <c r="FP75" s="955"/>
      <c r="GH75" s="609">
        <v>2021</v>
      </c>
      <c r="GI75" s="949"/>
      <c r="GJ75" s="20"/>
      <c r="GK75" s="955"/>
      <c r="HC75" s="609">
        <v>2021</v>
      </c>
      <c r="HD75" s="949"/>
      <c r="HE75" s="20"/>
      <c r="HF75" s="955"/>
      <c r="HZ75" s="795">
        <v>2021</v>
      </c>
      <c r="IA75" s="796"/>
      <c r="IB75" s="1028">
        <f t="shared" si="58"/>
        <v>1029.3921814769699</v>
      </c>
      <c r="IC75" s="1105"/>
    </row>
    <row r="76" ht="23.5" customHeight="1" spans="12:237" x14ac:dyDescent="0.25">
      <c r="L76" s="1110" t="s">
        <v>871</v>
      </c>
      <c r="M76" s="1111" t="s">
        <v>952</v>
      </c>
      <c r="N76" s="1111"/>
      <c r="O76" s="932" t="s">
        <v>336</v>
      </c>
      <c r="P76" s="1112">
        <f>ОТЧЁТ!U79</f>
        <v>266.974</v>
      </c>
      <c r="Q76" s="684">
        <f>ОТЧЁТ!V79</f>
        <v>375.958</v>
      </c>
      <c r="R76" s="684">
        <f>ОТЧЁТ!W79</f>
        <v>408.797</v>
      </c>
      <c r="S76" s="684">
        <f>ОТЧЁТ!X79</f>
        <v>407.086</v>
      </c>
      <c r="T76" s="684">
        <f>ОТЧЁТ!Y79</f>
        <v>670.439</v>
      </c>
      <c r="U76" s="684">
        <f>ОТЧЁТ!Z79</f>
        <v>1165.234</v>
      </c>
      <c r="V76" s="684">
        <f>ОТЧЁТ!AA79</f>
        <v>1504.7</v>
      </c>
      <c r="W76" s="684">
        <f>ОТЧЁТ!AB79</f>
        <v>1762.4</v>
      </c>
      <c r="X76" s="684">
        <f>ОТЧЁТ!AC79</f>
        <v>2186.4</v>
      </c>
      <c r="Y76" s="684">
        <f>ОТЧЁТ!AD79</f>
        <v>2865</v>
      </c>
      <c r="Z76" s="684">
        <f>ОТЧЁТ!AE79</f>
        <v>3611.1</v>
      </c>
      <c r="AA76" s="668">
        <f>ОТЧЁТ!AF79</f>
        <v>4730</v>
      </c>
      <c r="AB76" s="668">
        <f>ОТЧЁТ!AG79</f>
        <v>6716.222</v>
      </c>
      <c r="AC76" s="668">
        <f>ОТЧЁТ!AH79</f>
        <v>8781.616</v>
      </c>
      <c r="AD76" s="668">
        <f>ОТЧЁТ!AI79</f>
        <v>7976.013</v>
      </c>
      <c r="AE76" s="668">
        <f>ОТЧЁТ!AJ79</f>
        <v>9152.1</v>
      </c>
      <c r="AF76" s="668">
        <f>ОТЧЁТ!AK79</f>
        <v>11035.652</v>
      </c>
      <c r="AG76" s="668">
        <f>ОТЧЁТ!AL79</f>
        <v>12586.090400000001</v>
      </c>
      <c r="AH76" s="668">
        <f>ОТЧЁТ!AM79</f>
        <v>13450.2382</v>
      </c>
      <c r="AI76" s="668">
        <f>ОТЧЁТ!AN79</f>
        <v>13902.6453</v>
      </c>
      <c r="AJ76" s="668">
        <f>ОТЧЁТ!AO79</f>
        <v>13897.2</v>
      </c>
      <c r="AK76" s="668">
        <f>ОТЧЁТ!AP79</f>
        <v>14748.8</v>
      </c>
      <c r="AL76" s="668">
        <f>ОТЧЁТ!AQ79</f>
        <v>16027.3</v>
      </c>
      <c r="AM76" s="668">
        <f>ОТЧЁТ!AR79</f>
        <v>17595</v>
      </c>
      <c r="BD76" s="928">
        <v>1998</v>
      </c>
      <c r="BE76" s="604">
        <v>0.4544735980569671</v>
      </c>
      <c r="BF76" s="20"/>
      <c r="BG76" s="604">
        <v>0.5085104083611879</v>
      </c>
      <c r="BH76" s="20"/>
      <c r="BI76" s="604">
        <v>0.8937350948658669</v>
      </c>
      <c r="BJ76" s="823"/>
      <c r="BZ76" s="1106">
        <f t="shared" si="79"/>
        <v>0.5085104083611879</v>
      </c>
      <c r="CJ76" s="1069">
        <v>2011</v>
      </c>
      <c r="CK76" s="142">
        <v>2584.0706334648135</v>
      </c>
      <c r="CL76" s="55">
        <v>6849.825845727352</v>
      </c>
      <c r="CM76" s="57">
        <v>70.85661311334043</v>
      </c>
      <c r="CN76" s="57">
        <f t="shared" si="71"/>
        <v>36.46901142919998</v>
      </c>
      <c r="CO76" s="75">
        <f t="shared" si="72"/>
        <v>96.67165201320793</v>
      </c>
      <c r="DF76" s="1046">
        <v>2018</v>
      </c>
      <c r="DG76" s="1109">
        <v>0.6379567051775759</v>
      </c>
      <c r="DH76" s="1107">
        <f t="shared" si="80"/>
        <v>0.6379567051775759</v>
      </c>
      <c r="DW76" s="1043">
        <f t="shared" si="65"/>
        <v>0.6379567051775759</v>
      </c>
      <c r="DZ76" s="1007">
        <v>2022</v>
      </c>
      <c r="EA76" s="1008"/>
      <c r="EB76" s="1102"/>
      <c r="ES76" s="863">
        <v>2022</v>
      </c>
      <c r="ET76" s="951"/>
      <c r="EU76" s="935"/>
      <c r="FL76" s="795">
        <v>2022</v>
      </c>
      <c r="FM76" s="949"/>
      <c r="FN76" s="20"/>
      <c r="FO76" s="20"/>
      <c r="FP76" s="955"/>
      <c r="GH76" s="609">
        <v>2022</v>
      </c>
      <c r="GI76" s="949"/>
      <c r="GJ76" s="20"/>
      <c r="GK76" s="955"/>
      <c r="HC76" s="609">
        <v>2022</v>
      </c>
      <c r="HD76" s="949"/>
      <c r="HE76" s="20"/>
      <c r="HF76" s="955"/>
      <c r="HZ76" s="795">
        <v>2022</v>
      </c>
      <c r="IA76" s="796"/>
      <c r="IB76" s="1028">
        <f t="shared" si="58"/>
        <v>1088.3255958832835</v>
      </c>
      <c r="IC76" s="1105"/>
    </row>
    <row r="77" ht="23.5" customHeight="1" spans="12:237" x14ac:dyDescent="0.25">
      <c r="L77" s="1113" t="s">
        <v>871</v>
      </c>
      <c r="M77" s="1114" t="s">
        <v>952</v>
      </c>
      <c r="N77" s="1114"/>
      <c r="O77" s="932" t="s">
        <v>24</v>
      </c>
      <c r="P77" s="1112">
        <f>ОТЧЁТ!U195</f>
        <v>266.974</v>
      </c>
      <c r="Q77" s="684">
        <f>ОТЧЁТ!V195</f>
        <v>218.651706</v>
      </c>
      <c r="R77" s="684">
        <f>ОТЧЁТ!W195</f>
        <v>207.7191207</v>
      </c>
      <c r="S77" s="684">
        <f>ОТЧЁТ!X195</f>
        <v>182.79282621599998</v>
      </c>
      <c r="T77" s="684">
        <f>ОТЧЁТ!Y195</f>
        <v>191.9324675268</v>
      </c>
      <c r="U77" s="684">
        <f>ОТЧЁТ!Z195</f>
        <v>225.32871687646318</v>
      </c>
      <c r="V77" s="684">
        <f>ОТЧЁТ!AA195</f>
        <v>247.86158856410952</v>
      </c>
      <c r="W77" s="684">
        <f>ОТЧЁТ!AB195</f>
        <v>254.80171304390458</v>
      </c>
      <c r="X77" s="684">
        <f>ОТЧЁТ!AC195</f>
        <v>286.65192717439265</v>
      </c>
      <c r="Y77" s="684">
        <f>ОТЧЁТ!AD195</f>
        <v>325.9232411972844</v>
      </c>
      <c r="Z77" s="684">
        <f>ОТЧЁТ!AE195</f>
        <v>359.1674117994075</v>
      </c>
      <c r="AA77" s="684">
        <f>ОТЧЁТ!AF195</f>
        <v>419.14836956990854</v>
      </c>
      <c r="AB77" s="684">
        <f>ОТЧЁТ!AG195</f>
        <v>514.2950494622778</v>
      </c>
      <c r="AC77" s="684">
        <f>ОТЧЁТ!AH195</f>
        <v>563.1530791611942</v>
      </c>
      <c r="AD77" s="684">
        <f>ОТЧЁТ!AI195</f>
        <v>487.127413474433</v>
      </c>
      <c r="AE77" s="684">
        <f>ОТЧЁТ!AJ195</f>
        <v>517.8164405233223</v>
      </c>
      <c r="AF77" s="684">
        <f>ОТЧЁТ!AK195</f>
        <v>573.7406160998412</v>
      </c>
      <c r="AG77" s="684">
        <f>ОТЧЁТ!AL195</f>
        <v>612.7549779946304</v>
      </c>
      <c r="AH77" s="684">
        <f>ОТЧЁТ!AM195</f>
        <v>617.6570178185874</v>
      </c>
      <c r="AI77" s="684">
        <f>ОТЧЁТ!AN195</f>
        <v>608.3921625513086</v>
      </c>
      <c r="AJ77" s="684">
        <f>ОТЧЁТ!AO195</f>
        <v>546.9445541336264</v>
      </c>
      <c r="AK77" s="684">
        <f>ОТЧЁТ!AP195</f>
        <v>545.8506650253591</v>
      </c>
      <c r="AL77" s="684">
        <f>ОТЧЁТ!AQ195</f>
        <v>572.0514969465764</v>
      </c>
      <c r="AM77" s="684">
        <f>ОТЧЁТ!AR195</f>
        <v>596.6497113152792</v>
      </c>
      <c r="BD77" s="928">
        <v>1999</v>
      </c>
      <c r="BE77" s="604">
        <v>0.45181578644747206</v>
      </c>
      <c r="BF77" s="20"/>
      <c r="BG77" s="604">
        <v>0.5057231327942381</v>
      </c>
      <c r="BH77" s="20"/>
      <c r="BI77" s="604">
        <v>0.8934054172113594</v>
      </c>
      <c r="BJ77" s="823"/>
      <c r="BZ77" s="1106">
        <f t="shared" si="79"/>
        <v>0.5057231327942381</v>
      </c>
      <c r="CJ77" s="1069">
        <v>2012</v>
      </c>
      <c r="CK77" s="142">
        <v>2678.541712402734</v>
      </c>
      <c r="CL77" s="55">
        <v>7144.368357093628</v>
      </c>
      <c r="CM77" s="57">
        <v>71.54541586357954</v>
      </c>
      <c r="CN77" s="57">
        <f t="shared" si="71"/>
        <v>37.43834150758296</v>
      </c>
      <c r="CO77" s="75">
        <f t="shared" si="72"/>
        <v>99.85780739210848</v>
      </c>
      <c r="DF77" s="1046">
        <v>2019</v>
      </c>
      <c r="DG77" s="1115"/>
      <c r="DH77" s="1116">
        <f>DH76-0.011</f>
        <v>0.6269567051775758</v>
      </c>
      <c r="DW77" s="1043">
        <f>DH77</f>
        <v>0.6269567051775758</v>
      </c>
      <c r="DZ77" s="1007">
        <v>2023</v>
      </c>
      <c r="EA77" s="1008"/>
      <c r="EB77" s="1102"/>
      <c r="ES77" s="863">
        <v>2023</v>
      </c>
      <c r="ET77" s="951"/>
      <c r="EU77" s="935"/>
      <c r="FL77" s="795">
        <v>2023</v>
      </c>
      <c r="FM77" s="949"/>
      <c r="FN77" s="20"/>
      <c r="FO77" s="20"/>
      <c r="FP77" s="955"/>
      <c r="GH77" s="609">
        <v>2023</v>
      </c>
      <c r="GI77" s="949"/>
      <c r="GJ77" s="20"/>
      <c r="GK77" s="955"/>
      <c r="HC77" s="609">
        <v>2023</v>
      </c>
      <c r="HD77" s="949"/>
      <c r="HE77" s="20"/>
      <c r="HF77" s="955"/>
      <c r="HZ77" s="795">
        <v>2023</v>
      </c>
      <c r="IA77" s="796"/>
      <c r="IB77" s="1028">
        <f t="shared" si="58"/>
        <v>1141.1534328411099</v>
      </c>
      <c r="IC77" s="1105"/>
    </row>
    <row r="78" ht="23.5" customHeight="1" spans="7:237" x14ac:dyDescent="0.25">
      <c r="G78" s="939" t="s">
        <v>953</v>
      </c>
      <c r="H78" s="939"/>
      <c r="I78" s="15"/>
      <c r="J78" s="15"/>
      <c r="K78" s="15"/>
      <c r="L78" s="1117" t="s">
        <v>954</v>
      </c>
      <c r="M78" s="1118"/>
      <c r="N78" s="1119"/>
      <c r="O78" s="932" t="s">
        <v>955</v>
      </c>
      <c r="P78" s="1120">
        <f>P65-P63+P15-P40-P45-P50-P76</f>
        <v>514.8565000000003</v>
      </c>
      <c r="Q78" s="1121">
        <f>Q66-Q63+Q15-Q40-Q45-Q50-Q76</f>
        <v>622.7616000000007</v>
      </c>
      <c r="R78" s="1121">
        <f t="shared" ref="R78:Y78" si="81">R66-R63+R15-R40-R45-R50-R76</f>
        <v>685.2900999999999</v>
      </c>
      <c r="S78" s="1121">
        <f t="shared" si="81"/>
        <v>807.4396999999997</v>
      </c>
      <c r="T78" s="1121">
        <f t="shared" si="81"/>
        <v>2129.4648000000016</v>
      </c>
      <c r="U78" s="1121">
        <f t="shared" si="81"/>
        <v>3419.3657</v>
      </c>
      <c r="V78" s="1121">
        <f t="shared" si="81"/>
        <v>3757.972600000002</v>
      </c>
      <c r="W78" s="1122">
        <f t="shared" si="81"/>
        <v>4220.6078</v>
      </c>
      <c r="X78" s="1122">
        <f t="shared" si="81"/>
        <v>5224.508600000001</v>
      </c>
      <c r="Y78" s="1122">
        <f t="shared" si="81"/>
        <v>6554.384800000002</v>
      </c>
      <c r="Z78" s="1122">
        <f>Z66-Z63+Z15-Z40-Z45-Z50-Z76</f>
        <v>8334.911600000003</v>
      </c>
      <c r="AA78" s="1122">
        <f t="shared" ref="AA78:AM78" si="82">AA66-AA63+AA15-AA40-AA45-AA50-AA76</f>
        <v>10048.060000000005</v>
      </c>
      <c r="AB78" s="1122">
        <f t="shared" si="82"/>
        <v>11346.638300000004</v>
      </c>
      <c r="AC78" s="1122">
        <f t="shared" si="82"/>
        <v>14668.0538</v>
      </c>
      <c r="AD78" s="1122">
        <f t="shared" si="82"/>
        <v>10210.6627</v>
      </c>
      <c r="AE78" s="1122">
        <f t="shared" si="82"/>
        <v>14849.841999999995</v>
      </c>
      <c r="AF78" s="1122">
        <f t="shared" si="82"/>
        <v>20565.42760000001</v>
      </c>
      <c r="AG78" s="1122">
        <f t="shared" si="82"/>
        <v>22468.884299999998</v>
      </c>
      <c r="AH78" s="1122">
        <f t="shared" si="82"/>
        <v>22328.994100000004</v>
      </c>
      <c r="AI78" s="1122">
        <f t="shared" si="82"/>
        <v>25406.959199999987</v>
      </c>
      <c r="AJ78" s="1122">
        <f t="shared" si="82"/>
        <v>28560.193000000003</v>
      </c>
      <c r="AK78" s="1122">
        <f t="shared" si="82"/>
        <v>27631.69499999998</v>
      </c>
      <c r="AL78" s="1122">
        <f t="shared" si="82"/>
        <v>30156.061999999994</v>
      </c>
      <c r="AM78" s="1122">
        <f t="shared" si="82"/>
        <v>37948.793999999994</v>
      </c>
      <c r="AN78" s="1121"/>
      <c r="AO78" s="1121"/>
      <c r="AP78" s="1121"/>
      <c r="AQ78" s="1079" t="str">
        <f>O78</f>
        <v>EXM</v>
      </c>
      <c r="BD78" s="928">
        <v>2000</v>
      </c>
      <c r="BE78" s="604">
        <v>0.4542184044051023</v>
      </c>
      <c r="BF78" s="20"/>
      <c r="BG78" s="604">
        <v>0.5030122907437494</v>
      </c>
      <c r="BH78" s="20"/>
      <c r="BI78" s="604">
        <v>0.9029966320176769</v>
      </c>
      <c r="BJ78" s="823"/>
      <c r="BZ78" s="1106">
        <f t="shared" si="79"/>
        <v>0.5030122907437494</v>
      </c>
      <c r="CJ78" s="1069">
        <v>2013</v>
      </c>
      <c r="CK78" s="142">
        <v>2726.3631774238834</v>
      </c>
      <c r="CL78" s="55">
        <v>7437.287459734466</v>
      </c>
      <c r="CM78" s="57">
        <v>71.391459581339</v>
      </c>
      <c r="CN78" s="57">
        <f t="shared" si="71"/>
        <v>38.1889261462379</v>
      </c>
      <c r="CO78" s="75">
        <f t="shared" si="72"/>
        <v>104.1761508077991</v>
      </c>
      <c r="DF78" s="1046">
        <v>2020</v>
      </c>
      <c r="DG78" s="1115"/>
      <c r="DH78" s="1116">
        <f t="shared" ref="DH78:DH88" si="83">DH77-0.011</f>
        <v>0.6159567051775758</v>
      </c>
      <c r="DW78" s="1043">
        <f t="shared" ref="DW78:DW88" si="84">DH78</f>
        <v>0.6159567051775758</v>
      </c>
      <c r="DZ78" s="1007">
        <v>2024</v>
      </c>
      <c r="EA78" s="1008"/>
      <c r="EB78" s="1102"/>
      <c r="ES78" s="863">
        <v>2024</v>
      </c>
      <c r="ET78" s="951"/>
      <c r="EU78" s="935"/>
      <c r="FL78" s="795">
        <v>2024</v>
      </c>
      <c r="FM78" s="949"/>
      <c r="FN78" s="20"/>
      <c r="FO78" s="20"/>
      <c r="FP78" s="955"/>
      <c r="GH78" s="609">
        <v>2024</v>
      </c>
      <c r="GI78" s="949"/>
      <c r="GJ78" s="20"/>
      <c r="GK78" s="955"/>
      <c r="HC78" s="609">
        <v>2024</v>
      </c>
      <c r="HD78" s="949"/>
      <c r="HE78" s="20"/>
      <c r="HF78" s="955"/>
      <c r="HZ78" s="795">
        <v>2024</v>
      </c>
      <c r="IA78" s="796"/>
      <c r="IB78" s="1028">
        <f t="shared" si="58"/>
        <v>1194.513699949808</v>
      </c>
      <c r="IC78" s="1105"/>
    </row>
    <row r="79" ht="23.5" customHeight="1" spans="7:237" x14ac:dyDescent="0.25">
      <c r="G79" s="939" t="s">
        <v>956</v>
      </c>
      <c r="H79" s="939"/>
      <c r="I79" s="15"/>
      <c r="J79" s="15"/>
      <c r="K79" s="15"/>
      <c r="L79" s="1117" t="s">
        <v>954</v>
      </c>
      <c r="M79" s="1118"/>
      <c r="N79" s="1119"/>
      <c r="O79" s="932" t="s">
        <v>957</v>
      </c>
      <c r="P79" s="1120">
        <f>P78</f>
        <v>514.8565000000003</v>
      </c>
      <c r="Q79" s="1121">
        <f>Q69+Q19-Q44-Q54-Q49-Q77</f>
        <v>543.2361159000004</v>
      </c>
      <c r="R79" s="1121">
        <f t="shared" ref="R79:AM79" si="85">R69+R19-R44-R54-R49-R77</f>
        <v>547.6590219642003</v>
      </c>
      <c r="S79" s="1121">
        <f t="shared" si="85"/>
        <v>454.69111671309315</v>
      </c>
      <c r="T79" s="1121">
        <f t="shared" si="85"/>
        <v>485.7747187871728</v>
      </c>
      <c r="U79" s="1121">
        <f t="shared" si="85"/>
        <v>630.5685561842778</v>
      </c>
      <c r="V79" s="1121">
        <f t="shared" si="85"/>
        <v>693.8470935952522</v>
      </c>
      <c r="W79" s="1121">
        <f t="shared" si="85"/>
        <v>755.0398501514281</v>
      </c>
      <c r="X79" s="1121">
        <f t="shared" si="85"/>
        <v>856.3462624141974</v>
      </c>
      <c r="Y79" s="1121">
        <f t="shared" si="85"/>
        <v>959.4377971795634</v>
      </c>
      <c r="Z79" s="1121">
        <f t="shared" si="85"/>
        <v>1039.225440156078</v>
      </c>
      <c r="AA79" s="1121">
        <f t="shared" si="85"/>
        <v>1171.4070713444628</v>
      </c>
      <c r="AB79" s="1121">
        <f t="shared" si="85"/>
        <v>1325.3532840756984</v>
      </c>
      <c r="AC79" s="1121">
        <f t="shared" si="85"/>
        <v>1415.7084330046948</v>
      </c>
      <c r="AD79" s="1121">
        <f t="shared" si="85"/>
        <v>955.5974556612289</v>
      </c>
      <c r="AE79" s="1121">
        <f t="shared" si="85"/>
        <v>1199.8140185252819</v>
      </c>
      <c r="AF79" s="1121">
        <f t="shared" si="85"/>
        <v>1381.4696147268055</v>
      </c>
      <c r="AG79" s="1121">
        <f t="shared" si="85"/>
        <v>1432.7169214123069</v>
      </c>
      <c r="AH79" s="1121">
        <f t="shared" si="85"/>
        <v>1431.6281795485988</v>
      </c>
      <c r="AI79" s="1121">
        <f t="shared" si="85"/>
        <v>1309.0676111217117</v>
      </c>
      <c r="AJ79" s="1121">
        <f t="shared" si="85"/>
        <v>1124.732041271055</v>
      </c>
      <c r="AK79" s="1121">
        <f t="shared" si="85"/>
        <v>1119.2869569831846</v>
      </c>
      <c r="AL79" s="1121">
        <f t="shared" si="85"/>
        <v>1266.197965248548</v>
      </c>
      <c r="AM79" s="1121">
        <f t="shared" si="85"/>
        <v>1309.2948926238073</v>
      </c>
      <c r="AN79" s="1123"/>
      <c r="AO79" s="1123"/>
      <c r="AP79" s="1123"/>
      <c r="AQ79" s="1079" t="str">
        <f>O79</f>
        <v>EXMS</v>
      </c>
      <c r="BD79" s="928">
        <v>2001</v>
      </c>
      <c r="BE79" s="604">
        <v>0.47453367284444886</v>
      </c>
      <c r="BF79" s="20"/>
      <c r="BG79" s="604">
        <v>0.5020647450635659</v>
      </c>
      <c r="BH79" s="20"/>
      <c r="BI79" s="604">
        <v>0.9451642990474636</v>
      </c>
      <c r="BJ79" s="823"/>
      <c r="BZ79" s="1106">
        <f t="shared" si="79"/>
        <v>0.5020647450635659</v>
      </c>
      <c r="CJ79" s="1069">
        <v>2014</v>
      </c>
      <c r="CK79" s="142">
        <v>2746.5001169353304</v>
      </c>
      <c r="CL79" s="55">
        <v>7712.467095744641</v>
      </c>
      <c r="CM79" s="57">
        <v>71.539043569578</v>
      </c>
      <c r="CN79" s="57">
        <f t="shared" si="71"/>
        <v>38.39162476730791</v>
      </c>
      <c r="CO79" s="75">
        <f t="shared" si="72"/>
        <v>107.80780271745721</v>
      </c>
      <c r="DF79" s="1046">
        <v>2021</v>
      </c>
      <c r="DG79" s="1115"/>
      <c r="DH79" s="1116">
        <f t="shared" si="83"/>
        <v>0.6049567051775758</v>
      </c>
      <c r="DW79" s="1043">
        <f t="shared" si="84"/>
        <v>0.6049567051775758</v>
      </c>
      <c r="DZ79" s="1007">
        <v>2025</v>
      </c>
      <c r="EA79" s="1008"/>
      <c r="EB79" s="1102"/>
      <c r="EK79" s="24"/>
      <c r="EL79" s="805"/>
      <c r="EM79" s="805"/>
      <c r="EN79" s="24"/>
      <c r="EO79" s="24"/>
      <c r="ES79" s="863">
        <v>2025</v>
      </c>
      <c r="ET79" s="951"/>
      <c r="EU79" s="935"/>
      <c r="FL79" s="795">
        <v>2025</v>
      </c>
      <c r="FM79" s="949"/>
      <c r="FN79" s="20"/>
      <c r="FO79" s="20"/>
      <c r="FP79" s="955"/>
      <c r="GH79" s="609">
        <v>2025</v>
      </c>
      <c r="GI79" s="949"/>
      <c r="GJ79" s="20"/>
      <c r="GK79" s="955"/>
      <c r="HC79" s="609">
        <v>2025</v>
      </c>
      <c r="HD79" s="949"/>
      <c r="HE79" s="20"/>
      <c r="HF79" s="955"/>
      <c r="HZ79" s="795">
        <v>2025</v>
      </c>
      <c r="IA79" s="796"/>
      <c r="IB79" s="1028">
        <f t="shared" si="58"/>
        <v>1246.5475690695528</v>
      </c>
      <c r="IC79" s="1105"/>
    </row>
    <row r="80" ht="23.5" customHeight="1" spans="7:237" x14ac:dyDescent="0.25">
      <c r="G80" s="939" t="s">
        <v>958</v>
      </c>
      <c r="H80" s="939"/>
      <c r="I80" s="15"/>
      <c r="J80" s="15"/>
      <c r="K80" s="15"/>
      <c r="L80" s="1117" t="s">
        <v>959</v>
      </c>
      <c r="M80" s="1118"/>
      <c r="N80" s="1119"/>
      <c r="O80" s="932" t="s">
        <v>960</v>
      </c>
      <c r="P80" s="1124">
        <v>1</v>
      </c>
      <c r="Q80" s="1125">
        <f t="shared" ref="Q80:AM80" si="86">Q79/$P79</f>
        <v>1.0551214093635801</v>
      </c>
      <c r="R80" s="1125">
        <f t="shared" si="86"/>
        <v>1.0637119701590636</v>
      </c>
      <c r="S80" s="1125">
        <f t="shared" si="86"/>
        <v>0.8831414514784078</v>
      </c>
      <c r="T80" s="1125">
        <f t="shared" si="86"/>
        <v>0.943514782832056</v>
      </c>
      <c r="U80" s="1125">
        <f t="shared" si="86"/>
        <v>1.2247462277047632</v>
      </c>
      <c r="V80" s="1125">
        <f t="shared" si="86"/>
        <v>1.3476514205322294</v>
      </c>
      <c r="W80" s="1125">
        <f t="shared" si="86"/>
        <v>1.466505424621089</v>
      </c>
      <c r="X80" s="1125">
        <f t="shared" si="86"/>
        <v>1.6632717318596482</v>
      </c>
      <c r="Y80" s="1125">
        <f t="shared" si="86"/>
        <v>1.863505262494623</v>
      </c>
      <c r="Z80" s="1125">
        <f t="shared" si="86"/>
        <v>2.018475905725338</v>
      </c>
      <c r="AA80" s="1125">
        <f t="shared" si="86"/>
        <v>2.2752108040676617</v>
      </c>
      <c r="AB80" s="1125">
        <f t="shared" si="86"/>
        <v>2.5742188048042465</v>
      </c>
      <c r="AC80" s="1125">
        <f t="shared" si="86"/>
        <v>2.7497145962121365</v>
      </c>
      <c r="AD80" s="1125">
        <f t="shared" si="86"/>
        <v>1.8560462102765105</v>
      </c>
      <c r="AE80" s="1125">
        <f t="shared" si="86"/>
        <v>2.3303852986711466</v>
      </c>
      <c r="AF80" s="1125">
        <f t="shared" si="86"/>
        <v>2.6832129238473335</v>
      </c>
      <c r="AG80" s="1125">
        <f t="shared" si="86"/>
        <v>2.782749992303304</v>
      </c>
      <c r="AH80" s="1125">
        <f t="shared" si="86"/>
        <v>2.7806353412040012</v>
      </c>
      <c r="AI80" s="1125">
        <f t="shared" si="86"/>
        <v>2.5425873250540896</v>
      </c>
      <c r="AJ80" s="1125">
        <f t="shared" si="86"/>
        <v>2.1845544171454656</v>
      </c>
      <c r="AK80" s="1125">
        <f t="shared" si="86"/>
        <v>2.1739784910614586</v>
      </c>
      <c r="AL80" s="1125">
        <f t="shared" si="86"/>
        <v>2.4593220931435207</v>
      </c>
      <c r="AM80" s="1125">
        <f t="shared" si="86"/>
        <v>2.5430287713640722</v>
      </c>
      <c r="AN80" s="1123"/>
      <c r="AO80" s="1123"/>
      <c r="AP80" s="1123"/>
      <c r="AQ80" s="1079" t="str">
        <f>O80</f>
        <v>Pem</v>
      </c>
      <c r="BD80" s="928">
        <v>2002</v>
      </c>
      <c r="BE80" s="604">
        <v>0.4650009877874736</v>
      </c>
      <c r="BF80" s="20"/>
      <c r="BG80" s="604">
        <v>0.5006338966298406</v>
      </c>
      <c r="BH80" s="20"/>
      <c r="BI80" s="604">
        <v>0.9288244182380775</v>
      </c>
      <c r="BJ80" s="823"/>
      <c r="BZ80" s="1106">
        <f t="shared" si="79"/>
        <v>0.5006338966298406</v>
      </c>
      <c r="CJ80" s="1069">
        <v>2015</v>
      </c>
      <c r="CK80" s="142">
        <v>2683.3306142458177</v>
      </c>
      <c r="CL80" s="55">
        <v>7959.266042808469</v>
      </c>
      <c r="CM80" s="57">
        <v>72.323622532452</v>
      </c>
      <c r="CN80" s="57">
        <f t="shared" si="71"/>
        <v>37.101717534154105</v>
      </c>
      <c r="CO80" s="75">
        <f t="shared" si="72"/>
        <v>110.05071046098531</v>
      </c>
      <c r="DF80" s="1046">
        <v>2022</v>
      </c>
      <c r="DG80" s="1115"/>
      <c r="DH80" s="1116">
        <f t="shared" si="83"/>
        <v>0.5939567051775758</v>
      </c>
      <c r="DW80" s="1043">
        <f t="shared" si="84"/>
        <v>0.5939567051775758</v>
      </c>
      <c r="DZ80" s="1007">
        <v>2026</v>
      </c>
      <c r="EA80" s="1008"/>
      <c r="EB80" s="1102"/>
      <c r="EK80" s="24"/>
      <c r="EL80" s="805"/>
      <c r="EM80" s="805"/>
      <c r="EN80" s="24"/>
      <c r="EO80" s="24"/>
      <c r="ES80" s="863">
        <v>2026</v>
      </c>
      <c r="ET80" s="951"/>
      <c r="EU80" s="935"/>
      <c r="FL80" s="795">
        <v>2026</v>
      </c>
      <c r="FM80" s="949"/>
      <c r="FN80" s="20"/>
      <c r="FO80" s="20"/>
      <c r="FP80" s="955"/>
      <c r="GH80" s="609">
        <v>2026</v>
      </c>
      <c r="GI80" s="949"/>
      <c r="GJ80" s="20"/>
      <c r="GK80" s="955"/>
      <c r="HC80" s="609">
        <v>2026</v>
      </c>
      <c r="HD80" s="949"/>
      <c r="HE80" s="20"/>
      <c r="HF80" s="955"/>
      <c r="HZ80" s="795">
        <v>2026</v>
      </c>
      <c r="IA80" s="796"/>
      <c r="IB80" s="1028">
        <f t="shared" si="58"/>
        <v>1299.39602393987</v>
      </c>
      <c r="IC80" s="1105"/>
    </row>
    <row r="81" ht="23.5" customHeight="1" spans="7:237" x14ac:dyDescent="0.25">
      <c r="G81" s="939" t="s">
        <v>749</v>
      </c>
      <c r="H81" s="939"/>
      <c r="I81" s="15"/>
      <c r="J81" s="15"/>
      <c r="K81" s="15"/>
      <c r="L81" s="1117" t="s">
        <v>961</v>
      </c>
      <c r="M81" s="1118"/>
      <c r="N81" s="1119"/>
      <c r="O81" s="932" t="s">
        <v>962</v>
      </c>
      <c r="P81" s="1126">
        <v>1</v>
      </c>
      <c r="Q81" s="1127">
        <f>Q78/($P79*Q80)</f>
        <v>1.1463921152743082</v>
      </c>
      <c r="R81" s="1127">
        <f t="shared" ref="R81:W81" si="87">R78/($P79*R80)</f>
        <v>1.2513079717780973</v>
      </c>
      <c r="S81" s="1127">
        <f t="shared" si="87"/>
        <v>1.7757982734232487</v>
      </c>
      <c r="T81" s="1127">
        <f t="shared" si="87"/>
        <v>4.383646817431355</v>
      </c>
      <c r="U81" s="1127">
        <f t="shared" si="87"/>
        <v>5.422670804728046</v>
      </c>
      <c r="V81" s="1127">
        <f t="shared" si="87"/>
        <v>5.416139427100018</v>
      </c>
      <c r="W81" s="1127">
        <f t="shared" si="87"/>
        <v>5.58991396169822</v>
      </c>
      <c r="X81" s="1127">
        <f t="shared" ref="X81:AM81" si="88">X78/($P79*X80)</f>
        <v>6.100929996787925</v>
      </c>
      <c r="Y81" s="1127">
        <f t="shared" si="88"/>
        <v>6.831484875067224</v>
      </c>
      <c r="Z81" s="1127">
        <f t="shared" si="88"/>
        <v>8.020311356839194</v>
      </c>
      <c r="AA81" s="1127">
        <f t="shared" si="88"/>
        <v>8.57776962919262</v>
      </c>
      <c r="AB81" s="1127">
        <f t="shared" si="88"/>
        <v>8.561217930593616</v>
      </c>
      <c r="AC81" s="1127">
        <f t="shared" si="88"/>
        <v>10.360928463828227</v>
      </c>
      <c r="AD81" s="1127">
        <f t="shared" si="88"/>
        <v>10.68510871341186</v>
      </c>
      <c r="AE81" s="1127">
        <f t="shared" si="88"/>
        <v>12.376786544178128</v>
      </c>
      <c r="AF81" s="1127">
        <f t="shared" si="88"/>
        <v>14.886630426588829</v>
      </c>
      <c r="AG81" s="1127">
        <f t="shared" si="88"/>
        <v>15.682710215951941</v>
      </c>
      <c r="AH81" s="1127">
        <f t="shared" si="88"/>
        <v>15.596922733834754</v>
      </c>
      <c r="AI81" s="1127">
        <f t="shared" si="88"/>
        <v>19.408439246487287</v>
      </c>
      <c r="AJ81" s="1127">
        <f t="shared" si="88"/>
        <v>25.392886440510974</v>
      </c>
      <c r="AK81" s="1127">
        <f t="shared" si="88"/>
        <v>24.68687303788094</v>
      </c>
      <c r="AL81" s="1127">
        <f t="shared" si="88"/>
        <v>23.816230026937784</v>
      </c>
      <c r="AM81" s="1127">
        <f t="shared" si="88"/>
        <v>28.98414575187961</v>
      </c>
      <c r="AN81" s="1123"/>
      <c r="AO81" s="1123"/>
      <c r="AP81" s="1123"/>
      <c r="AQ81" s="1079" t="str">
        <f>O81</f>
        <v>Dem</v>
      </c>
      <c r="BD81" s="928">
        <v>2003</v>
      </c>
      <c r="BE81" s="604">
        <v>0.4687286466539077</v>
      </c>
      <c r="BF81" s="20"/>
      <c r="BG81" s="604">
        <v>0.5020261813046646</v>
      </c>
      <c r="BH81" s="20"/>
      <c r="BI81" s="604">
        <v>0.9336737088806336</v>
      </c>
      <c r="BJ81" s="823"/>
      <c r="BZ81" s="1106">
        <f t="shared" si="79"/>
        <v>0.5020261813046646</v>
      </c>
      <c r="CJ81" s="1069">
        <v>2016</v>
      </c>
      <c r="CK81" s="142">
        <v>2688.697275474309</v>
      </c>
      <c r="CL81" s="55">
        <v>8269.677418477999</v>
      </c>
      <c r="CM81" s="57">
        <v>72.393</v>
      </c>
      <c r="CN81" s="57">
        <f t="shared" si="71"/>
        <v>37.14029361228722</v>
      </c>
      <c r="CO81" s="75">
        <f t="shared" si="72"/>
        <v>114.23310842868784</v>
      </c>
      <c r="DF81" s="1046">
        <v>2023</v>
      </c>
      <c r="DG81" s="1115"/>
      <c r="DH81" s="1116">
        <f t="shared" si="83"/>
        <v>0.5829567051775758</v>
      </c>
      <c r="DW81" s="1043">
        <f t="shared" si="84"/>
        <v>0.5829567051775758</v>
      </c>
      <c r="DZ81" s="1007">
        <v>2027</v>
      </c>
      <c r="EA81" s="1008"/>
      <c r="EB81" s="1102"/>
      <c r="EK81" s="24"/>
      <c r="EL81" s="805"/>
      <c r="EM81" s="805"/>
      <c r="EN81" s="24"/>
      <c r="EO81" s="24"/>
      <c r="ES81" s="863">
        <v>2027</v>
      </c>
      <c r="ET81" s="951"/>
      <c r="EU81" s="935"/>
      <c r="FL81" s="795">
        <v>2027</v>
      </c>
      <c r="FM81" s="949"/>
      <c r="FN81" s="20"/>
      <c r="FO81" s="20"/>
      <c r="FP81" s="955"/>
      <c r="GH81" s="609">
        <v>2027</v>
      </c>
      <c r="GI81" s="949"/>
      <c r="GJ81" s="20"/>
      <c r="GK81" s="955"/>
      <c r="HC81" s="609">
        <v>2027</v>
      </c>
      <c r="HD81" s="949"/>
      <c r="HE81" s="20"/>
      <c r="HF81" s="955"/>
      <c r="HZ81" s="795">
        <v>2027</v>
      </c>
      <c r="IA81" s="796"/>
      <c r="IB81" s="1028">
        <f t="shared" si="58"/>
        <v>1353.1460515098345</v>
      </c>
      <c r="IC81" s="1105"/>
    </row>
    <row r="82" ht="23.5" customHeight="1" spans="56:237" x14ac:dyDescent="0.25">
      <c r="BD82" s="928">
        <v>2004</v>
      </c>
      <c r="BE82" s="604">
        <v>0.46217016187985543</v>
      </c>
      <c r="BF82" s="20"/>
      <c r="BG82" s="604">
        <v>0.5057148762579633</v>
      </c>
      <c r="BH82" s="20"/>
      <c r="BI82" s="604">
        <v>0.913894733134376</v>
      </c>
      <c r="BJ82" s="823"/>
      <c r="BZ82" s="1106">
        <f t="shared" si="79"/>
        <v>0.5057148762579633</v>
      </c>
      <c r="CJ82" s="1069">
        <v>2017</v>
      </c>
      <c r="CK82" s="142">
        <v>2737.093826432847</v>
      </c>
      <c r="CL82" s="55">
        <v>8583.925160380162</v>
      </c>
      <c r="CM82" s="57">
        <v>72.142</v>
      </c>
      <c r="CN82" s="57">
        <f t="shared" si="71"/>
        <v>37.94036520241811</v>
      </c>
      <c r="CO82" s="75">
        <f t="shared" si="72"/>
        <v>118.98651493415989</v>
      </c>
      <c r="DF82" s="1046">
        <v>2024</v>
      </c>
      <c r="DG82" s="1115"/>
      <c r="DH82" s="1116">
        <f t="shared" si="83"/>
        <v>0.5719567051775758</v>
      </c>
      <c r="DW82" s="1043">
        <f t="shared" si="84"/>
        <v>0.5719567051775758</v>
      </c>
      <c r="DZ82" s="1007">
        <v>2028</v>
      </c>
      <c r="EA82" s="1008"/>
      <c r="EB82" s="1102"/>
      <c r="EK82" s="24"/>
      <c r="EL82" s="805"/>
      <c r="EM82" s="805"/>
      <c r="EN82" s="24"/>
      <c r="EO82" s="24"/>
      <c r="ES82" s="863">
        <v>2028</v>
      </c>
      <c r="ET82" s="951"/>
      <c r="EU82" s="935"/>
      <c r="FL82" s="795">
        <v>2028</v>
      </c>
      <c r="FM82" s="949"/>
      <c r="FN82" s="20"/>
      <c r="FO82" s="20"/>
      <c r="FP82" s="955"/>
      <c r="GH82" s="609">
        <v>2028</v>
      </c>
      <c r="GI82" s="949"/>
      <c r="GJ82" s="20"/>
      <c r="GK82" s="955"/>
      <c r="HC82" s="609">
        <v>2028</v>
      </c>
      <c r="HD82" s="949"/>
      <c r="HE82" s="20"/>
      <c r="HF82" s="955"/>
      <c r="HZ82" s="795">
        <v>2028</v>
      </c>
      <c r="IA82" s="796"/>
      <c r="IB82" s="1028">
        <f t="shared" si="58"/>
        <v>1407.8659491860951</v>
      </c>
      <c r="IC82" s="1105"/>
    </row>
    <row r="83" ht="23.5" customHeight="1" spans="56:237" x14ac:dyDescent="0.25">
      <c r="BD83" s="928">
        <v>2005</v>
      </c>
      <c r="BE83" s="604">
        <v>0.4612737431649456</v>
      </c>
      <c r="BF83" s="20"/>
      <c r="BG83" s="604">
        <v>0.502441464842453</v>
      </c>
      <c r="BH83" s="20"/>
      <c r="BI83" s="604">
        <v>0.9180646412405151</v>
      </c>
      <c r="BJ83" s="823"/>
      <c r="BZ83" s="1106">
        <f t="shared" si="79"/>
        <v>0.502441464842453</v>
      </c>
      <c r="CJ83" s="1069">
        <v>2018</v>
      </c>
      <c r="CK83" s="142">
        <v>2813.7324535729667</v>
      </c>
      <c r="CL83" s="55">
        <v>8944.450017116129</v>
      </c>
      <c r="CM83" s="57">
        <v>72.354</v>
      </c>
      <c r="CN83" s="57">
        <f t="shared" si="71"/>
        <v>38.88841603191208</v>
      </c>
      <c r="CO83" s="75">
        <f t="shared" si="72"/>
        <v>123.6206708283734</v>
      </c>
      <c r="DF83" s="1046">
        <v>2025</v>
      </c>
      <c r="DG83" s="1115"/>
      <c r="DH83" s="1116">
        <f t="shared" si="83"/>
        <v>0.5609567051775758</v>
      </c>
      <c r="DW83" s="1043">
        <f t="shared" si="84"/>
        <v>0.5609567051775758</v>
      </c>
      <c r="DZ83" s="1007">
        <v>2029</v>
      </c>
      <c r="EA83" s="1008"/>
      <c r="EB83" s="1102"/>
      <c r="ES83" s="863">
        <v>2029</v>
      </c>
      <c r="ET83" s="951"/>
      <c r="EU83" s="935"/>
      <c r="FL83" s="795">
        <v>2029</v>
      </c>
      <c r="FM83" s="949"/>
      <c r="FN83" s="20"/>
      <c r="FO83" s="20"/>
      <c r="FP83" s="955"/>
      <c r="GH83" s="609">
        <v>2029</v>
      </c>
      <c r="GI83" s="949"/>
      <c r="GJ83" s="20"/>
      <c r="GK83" s="955"/>
      <c r="HC83" s="609">
        <v>2029</v>
      </c>
      <c r="HD83" s="949"/>
      <c r="HE83" s="20"/>
      <c r="HF83" s="955"/>
      <c r="HZ83" s="795">
        <v>2029</v>
      </c>
      <c r="IA83" s="796"/>
      <c r="IB83" s="1028">
        <f t="shared" si="58"/>
        <v>1463.607460064199</v>
      </c>
      <c r="IC83" s="1105"/>
    </row>
    <row r="84" ht="23.5" customHeight="1" spans="11:237" x14ac:dyDescent="0.25">
      <c r="K84" s="24"/>
      <c r="L84" s="24"/>
      <c r="M84" s="26"/>
      <c r="AB84" s="276"/>
      <c r="AC84" s="276"/>
      <c r="AD84" s="276"/>
      <c r="AF84" s="276"/>
      <c r="AG84" s="276"/>
      <c r="AH84" s="276"/>
      <c r="AI84" s="276"/>
      <c r="AJ84" s="276"/>
      <c r="AP84" s="232"/>
      <c r="AR84" s="232"/>
      <c r="BD84" s="928">
        <v>2006</v>
      </c>
      <c r="BE84" s="604">
        <v>0.4634129962414176</v>
      </c>
      <c r="BF84" s="20"/>
      <c r="BG84" s="604">
        <v>0.5056397290721157</v>
      </c>
      <c r="BH84" s="20"/>
      <c r="BI84" s="604">
        <v>0.9164884988207171</v>
      </c>
      <c r="BJ84" s="823"/>
      <c r="BZ84" s="1106">
        <f t="shared" si="79"/>
        <v>0.5056397290721157</v>
      </c>
      <c r="CJ84" s="1069">
        <v>2019</v>
      </c>
      <c r="CK84" s="959"/>
      <c r="CL84" s="20"/>
      <c r="CM84" s="20"/>
      <c r="CN84" s="164"/>
      <c r="CO84" s="1128"/>
      <c r="DF84" s="1046">
        <v>2026</v>
      </c>
      <c r="DG84" s="1115"/>
      <c r="DH84" s="1116">
        <f t="shared" si="83"/>
        <v>0.5499567051775758</v>
      </c>
      <c r="DW84" s="1043">
        <f t="shared" si="84"/>
        <v>0.5499567051775758</v>
      </c>
      <c r="DZ84" s="1129">
        <v>2030</v>
      </c>
      <c r="EA84" s="1130"/>
      <c r="EB84" s="1131"/>
      <c r="ES84" s="973">
        <v>2030</v>
      </c>
      <c r="ET84" s="1132"/>
      <c r="EU84" s="976"/>
      <c r="FL84" s="977">
        <v>2030</v>
      </c>
      <c r="FM84" s="978"/>
      <c r="FN84" s="82"/>
      <c r="FO84" s="82"/>
      <c r="FP84" s="979"/>
      <c r="GH84" s="960">
        <v>2030</v>
      </c>
      <c r="GI84" s="978"/>
      <c r="GJ84" s="82"/>
      <c r="GK84" s="979"/>
      <c r="HC84" s="960">
        <v>2030</v>
      </c>
      <c r="HD84" s="978"/>
      <c r="HE84" s="82"/>
      <c r="HF84" s="979"/>
      <c r="HZ84" s="795">
        <v>2030</v>
      </c>
      <c r="IA84" s="796"/>
      <c r="IB84" s="1028">
        <f t="shared" ref="IB84:IB89" si="89">2.191*(IX40-IX39+70.942)</f>
        <v>1520.4075997303948</v>
      </c>
      <c r="IC84" s="1105"/>
    </row>
    <row r="85" ht="23.5" customHeight="1" spans="11:237" x14ac:dyDescent="0.25">
      <c r="K85" s="24"/>
      <c r="L85" s="682"/>
      <c r="M85" s="1133"/>
      <c r="N85" s="1133"/>
      <c r="O85" s="1133"/>
      <c r="P85" s="1134">
        <v>1995</v>
      </c>
      <c r="Q85" s="897">
        <v>1996</v>
      </c>
      <c r="R85" s="897">
        <v>1997</v>
      </c>
      <c r="S85" s="897">
        <v>1998</v>
      </c>
      <c r="T85" s="897">
        <v>1999</v>
      </c>
      <c r="U85" s="1134">
        <v>2000</v>
      </c>
      <c r="V85" s="897">
        <v>2001</v>
      </c>
      <c r="W85" s="897">
        <v>2002</v>
      </c>
      <c r="X85" s="897">
        <v>2003</v>
      </c>
      <c r="Y85" s="897">
        <v>2004</v>
      </c>
      <c r="Z85" s="1134">
        <v>2005</v>
      </c>
      <c r="AA85" s="897">
        <v>2006</v>
      </c>
      <c r="AB85" s="897">
        <v>2007</v>
      </c>
      <c r="AC85" s="897">
        <v>2008</v>
      </c>
      <c r="AD85" s="897">
        <v>2009</v>
      </c>
      <c r="AE85" s="897">
        <v>2010</v>
      </c>
      <c r="AF85" s="897">
        <v>2011</v>
      </c>
      <c r="AG85" s="897">
        <v>2012</v>
      </c>
      <c r="AH85" s="897">
        <v>2013</v>
      </c>
      <c r="AI85" s="897">
        <v>2014</v>
      </c>
      <c r="AJ85" s="897">
        <v>2015</v>
      </c>
      <c r="AK85" s="897">
        <v>2016</v>
      </c>
      <c r="AL85" s="897">
        <v>2017</v>
      </c>
      <c r="AM85" s="897">
        <v>2018</v>
      </c>
      <c r="AN85" s="897">
        <v>2019</v>
      </c>
      <c r="AO85" s="277">
        <v>2020</v>
      </c>
      <c r="AP85" s="277">
        <v>2021</v>
      </c>
      <c r="BD85" s="928">
        <v>2007</v>
      </c>
      <c r="BE85" s="604">
        <v>0.46816891313324255</v>
      </c>
      <c r="BF85" s="20"/>
      <c r="BG85" s="604">
        <v>0.5070028548191596</v>
      </c>
      <c r="BH85" s="20"/>
      <c r="BI85" s="604">
        <v>0.9234048855607161</v>
      </c>
      <c r="BJ85" s="823"/>
      <c r="BZ85" s="1106">
        <f t="shared" si="79"/>
        <v>0.5070028548191596</v>
      </c>
      <c r="CJ85" s="1069">
        <v>2020</v>
      </c>
      <c r="CK85" s="959"/>
      <c r="CL85" s="20"/>
      <c r="CM85" s="20"/>
      <c r="CN85" s="164"/>
      <c r="CO85" s="1128"/>
      <c r="DF85" s="1046">
        <v>2027</v>
      </c>
      <c r="DG85" s="1115"/>
      <c r="DH85" s="1116">
        <f t="shared" si="83"/>
        <v>0.5389567051775758</v>
      </c>
      <c r="DW85" s="1043">
        <f t="shared" si="84"/>
        <v>0.5389567051775758</v>
      </c>
      <c r="FC85" s="24"/>
      <c r="FD85" s="24"/>
      <c r="FE85" s="24"/>
      <c r="FF85" s="24"/>
      <c r="FG85" s="24"/>
      <c r="FH85" s="24"/>
      <c r="FI85" s="24"/>
      <c r="HZ85" s="795">
        <v>2031</v>
      </c>
      <c r="IA85" s="796"/>
      <c r="IB85" s="1028">
        <f t="shared" si="89"/>
        <v>1578.2902205769249</v>
      </c>
      <c r="IC85" s="1105"/>
    </row>
    <row r="86" ht="23.5" customHeight="1" spans="9:237" x14ac:dyDescent="0.25">
      <c r="I86" s="907" t="s">
        <v>102</v>
      </c>
      <c r="J86" s="907"/>
      <c r="K86" s="15"/>
      <c r="L86" s="1135" t="s">
        <v>871</v>
      </c>
      <c r="M86" s="909" t="s">
        <v>963</v>
      </c>
      <c r="N86" s="909"/>
      <c r="O86" s="932" t="s">
        <v>300</v>
      </c>
      <c r="P86" s="964">
        <v>1319.6253</v>
      </c>
      <c r="Q86" s="934">
        <v>1828.2092000000002</v>
      </c>
      <c r="R86" s="934">
        <v>2127.919</v>
      </c>
      <c r="S86" s="934">
        <v>2383.2596</v>
      </c>
      <c r="T86" s="934">
        <v>4327.8727</v>
      </c>
      <c r="U86" s="934">
        <v>6472.1991</v>
      </c>
      <c r="V86" s="934">
        <v>7846.0933</v>
      </c>
      <c r="W86" s="934">
        <v>9569.970899999998</v>
      </c>
      <c r="X86" s="934">
        <v>11619.750299999998</v>
      </c>
      <c r="Y86" s="934">
        <v>14858.766999999998</v>
      </c>
      <c r="Z86" s="934">
        <v>18517.6658</v>
      </c>
      <c r="AA86" s="934">
        <v>22977.343699999998</v>
      </c>
      <c r="AB86" s="934">
        <v>28484.4712</v>
      </c>
      <c r="AC86" s="934">
        <v>35373.0951</v>
      </c>
      <c r="AD86" s="934">
        <v>34198.1958</v>
      </c>
      <c r="AE86" s="964">
        <v>34198.1958</v>
      </c>
      <c r="AF86" s="934">
        <v>34198.1958</v>
      </c>
      <c r="AG86" s="934">
        <v>34198.1958</v>
      </c>
      <c r="AH86" s="934">
        <v>34198.1958</v>
      </c>
      <c r="AI86" s="934">
        <f>AI10-AI30</f>
        <v>68766.4</v>
      </c>
      <c r="AJ86" s="934">
        <f>AJ10-AJ30</f>
        <v>74627.40000000001</v>
      </c>
      <c r="AK86" s="934">
        <f>AK10-AK30</f>
        <v>77475.26</v>
      </c>
      <c r="AL86" s="934">
        <f>AL10-AL30</f>
        <v>83155.59999999999</v>
      </c>
      <c r="AM86" s="934">
        <f>AM10-AM30</f>
        <v>92799.50000000001</v>
      </c>
      <c r="AN86" s="682"/>
      <c r="AO86" s="277"/>
      <c r="AQ86" s="1136" t="str">
        <f t="shared" ref="AQ86:AQ91" si="90">O86</f>
        <v>WDC</v>
      </c>
      <c r="BD86" s="928">
        <v>2008</v>
      </c>
      <c r="BE86" s="604">
        <v>0.4687377628534321</v>
      </c>
      <c r="BF86" s="20"/>
      <c r="BG86" s="604">
        <v>0.5060638126378627</v>
      </c>
      <c r="BH86" s="20"/>
      <c r="BI86" s="604">
        <v>0.9262424049056812</v>
      </c>
      <c r="BJ86" s="823"/>
      <c r="BZ86" s="1106">
        <f t="shared" si="79"/>
        <v>0.5060638126378627</v>
      </c>
      <c r="CJ86" s="1069">
        <v>2021</v>
      </c>
      <c r="CK86" s="959"/>
      <c r="CL86" s="20"/>
      <c r="CM86" s="20"/>
      <c r="CN86" s="164"/>
      <c r="CO86" s="1128"/>
      <c r="DF86" s="1046">
        <v>2028</v>
      </c>
      <c r="DG86" s="1115"/>
      <c r="DH86" s="1116">
        <f t="shared" si="83"/>
        <v>0.5279567051775758</v>
      </c>
      <c r="DW86" s="1043">
        <f t="shared" si="84"/>
        <v>0.5279567051775758</v>
      </c>
      <c r="HZ86" s="795">
        <v>2032</v>
      </c>
      <c r="IA86" s="796"/>
      <c r="IB86" s="1028">
        <f t="shared" si="89"/>
        <v>1637.2673530899838</v>
      </c>
      <c r="IC86" s="1105"/>
    </row>
    <row r="87" ht="23.5" customHeight="1" spans="9:237" x14ac:dyDescent="0.25">
      <c r="I87" s="1137"/>
      <c r="J87" s="1137"/>
      <c r="K87" s="15"/>
      <c r="L87" s="1135" t="s">
        <v>871</v>
      </c>
      <c r="M87" s="909" t="s">
        <v>964</v>
      </c>
      <c r="N87" s="909"/>
      <c r="O87" s="1138" t="s">
        <v>965</v>
      </c>
      <c r="P87" s="965">
        <v>0.959</v>
      </c>
      <c r="Q87" s="921">
        <f>Q90/P90</f>
        <v>0.972</v>
      </c>
      <c r="R87" s="921">
        <f t="shared" ref="R87:AK87" si="91">R90/Q90</f>
        <v>1.014</v>
      </c>
      <c r="S87" s="921">
        <f t="shared" si="91"/>
        <v>0.9490000000000001</v>
      </c>
      <c r="T87" s="921">
        <f t="shared" si="91"/>
        <v>1.058</v>
      </c>
      <c r="U87" s="921">
        <f t="shared" si="91"/>
        <v>1.094</v>
      </c>
      <c r="V87" s="921">
        <f t="shared" si="91"/>
        <v>1.0489999999999997</v>
      </c>
      <c r="W87" s="921">
        <f t="shared" si="91"/>
        <v>1.044</v>
      </c>
      <c r="X87" s="921">
        <f t="shared" si="91"/>
        <v>1.0750000000000002</v>
      </c>
      <c r="Y87" s="921">
        <f t="shared" si="91"/>
        <v>1.066</v>
      </c>
      <c r="Z87" s="921">
        <f t="shared" si="91"/>
        <v>1.06</v>
      </c>
      <c r="AA87" s="921">
        <f t="shared" si="91"/>
        <v>1.0789999999999997</v>
      </c>
      <c r="AB87" s="921">
        <f t="shared" si="91"/>
        <v>1.084</v>
      </c>
      <c r="AC87" s="921">
        <f t="shared" si="91"/>
        <v>1.0498516678208065</v>
      </c>
      <c r="AD87" s="921">
        <f t="shared" si="91"/>
        <v>0.9429122774828308</v>
      </c>
      <c r="AE87" s="965">
        <f t="shared" si="91"/>
        <v>1.10550486608972</v>
      </c>
      <c r="AF87" s="921">
        <f t="shared" si="91"/>
        <v>1.086178629331592</v>
      </c>
      <c r="AG87" s="921">
        <f t="shared" si="91"/>
        <v>1.0750548546915186</v>
      </c>
      <c r="AH87" s="921">
        <f t="shared" si="91"/>
        <v>1.0390587552732582</v>
      </c>
      <c r="AI87" s="921">
        <f t="shared" si="91"/>
        <v>1.0146209208896708</v>
      </c>
      <c r="AJ87" s="921">
        <f t="shared" si="91"/>
        <v>0.9763960431682392</v>
      </c>
      <c r="AK87" s="921">
        <f t="shared" si="91"/>
        <v>1.0220248950343354</v>
      </c>
      <c r="AL87" s="921">
        <f>AL90/AK90</f>
        <v>1.0454351166881282</v>
      </c>
      <c r="AM87" s="921">
        <f>AM90/AL90</f>
        <v>1.0445469966159786</v>
      </c>
      <c r="AN87" s="682"/>
      <c r="AO87" s="277"/>
      <c r="AQ87" s="1139" t="str">
        <f t="shared" si="90"/>
        <v>pWD</v>
      </c>
      <c r="BD87" s="928">
        <v>2009</v>
      </c>
      <c r="BE87" s="604">
        <v>0.469065544327923</v>
      </c>
      <c r="BF87" s="20"/>
      <c r="BG87" s="604">
        <v>0.5087308546862543</v>
      </c>
      <c r="BH87" s="20"/>
      <c r="BI87" s="604">
        <v>0.9220308538533725</v>
      </c>
      <c r="BJ87" s="823"/>
      <c r="BZ87" s="1106">
        <f t="shared" si="79"/>
        <v>0.5087308546862543</v>
      </c>
      <c r="CJ87" s="1069">
        <v>2022</v>
      </c>
      <c r="CK87" s="959"/>
      <c r="CL87" s="20"/>
      <c r="CM87" s="20"/>
      <c r="CN87" s="164"/>
      <c r="CO87" s="1128"/>
      <c r="DF87" s="1046">
        <v>2029</v>
      </c>
      <c r="DG87" s="1115"/>
      <c r="DH87" s="1116">
        <f t="shared" si="83"/>
        <v>0.5169567051775757</v>
      </c>
      <c r="DW87" s="1043">
        <f t="shared" si="84"/>
        <v>0.5169567051775757</v>
      </c>
      <c r="HZ87" s="795">
        <v>2033</v>
      </c>
      <c r="IA87" s="796"/>
      <c r="IB87" s="1028">
        <f t="shared" si="89"/>
        <v>1697.340357996338</v>
      </c>
      <c r="IC87" s="1105"/>
    </row>
    <row r="88" ht="23.5" customHeight="1" spans="9:237" x14ac:dyDescent="0.25">
      <c r="I88" s="1137"/>
      <c r="J88" s="1137"/>
      <c r="K88" s="15"/>
      <c r="L88" s="682"/>
      <c r="M88" s="909" t="s">
        <v>966</v>
      </c>
      <c r="N88" s="909"/>
      <c r="O88" s="1138" t="s">
        <v>967</v>
      </c>
      <c r="P88" s="1140">
        <v>1</v>
      </c>
      <c r="Q88" s="921">
        <f>P88*Q87</f>
        <v>0.972</v>
      </c>
      <c r="R88" s="921">
        <f>Q88*R87</f>
        <v>0.985608</v>
      </c>
      <c r="S88" s="921">
        <f t="shared" ref="S88:AK88" si="92">R88*S87</f>
        <v>0.9353419920000001</v>
      </c>
      <c r="T88" s="921">
        <f t="shared" si="92"/>
        <v>0.9895918275360002</v>
      </c>
      <c r="U88" s="921">
        <f t="shared" si="92"/>
        <v>1.0826134593243844</v>
      </c>
      <c r="V88" s="921">
        <f t="shared" si="92"/>
        <v>1.1356615188312789</v>
      </c>
      <c r="W88" s="921">
        <f t="shared" si="92"/>
        <v>1.1856306256598552</v>
      </c>
      <c r="X88" s="921">
        <f t="shared" si="92"/>
        <v>1.2745529225843446</v>
      </c>
      <c r="Y88" s="921">
        <f t="shared" si="92"/>
        <v>1.3586734154749114</v>
      </c>
      <c r="Z88" s="921">
        <f t="shared" si="92"/>
        <v>1.4401938204034062</v>
      </c>
      <c r="AA88" s="921">
        <f t="shared" si="92"/>
        <v>1.5539691322152749</v>
      </c>
      <c r="AB88" s="921">
        <f t="shared" si="92"/>
        <v>1.6845025393213582</v>
      </c>
      <c r="AC88" s="921">
        <f t="shared" si="92"/>
        <v>1.7684778003549115</v>
      </c>
      <c r="AD88" s="921">
        <f t="shared" si="92"/>
        <v>1.6675194304104766</v>
      </c>
      <c r="AE88" s="965">
        <f t="shared" si="92"/>
        <v>1.84345084461794</v>
      </c>
      <c r="AF88" s="921">
        <f t="shared" si="92"/>
        <v>2.00231691164728</v>
      </c>
      <c r="AG88" s="921">
        <f t="shared" si="92"/>
        <v>2.152600516497337</v>
      </c>
      <c r="AH88" s="921">
        <f t="shared" si="92"/>
        <v>2.2366784132722954</v>
      </c>
      <c r="AI88" s="921">
        <f t="shared" si="92"/>
        <v>2.269380711408384</v>
      </c>
      <c r="AJ88" s="921">
        <f t="shared" si="92"/>
        <v>2.21581434706147</v>
      </c>
      <c r="AK88" s="921">
        <f t="shared" si="92"/>
        <v>2.2646174254710734</v>
      </c>
      <c r="AL88" s="921">
        <f>AK88*AL87</f>
        <v>2.36751058245132</v>
      </c>
      <c r="AM88" s="921">
        <f>AL88*AM87</f>
        <v>2.4729760683560724</v>
      </c>
      <c r="AN88" s="682"/>
      <c r="AO88" s="277"/>
      <c r="AQ88" s="1139" t="str">
        <f t="shared" si="90"/>
        <v>Pwd</v>
      </c>
      <c r="BD88" s="928">
        <v>2010</v>
      </c>
      <c r="BE88" s="604">
        <v>0.47569154866767077</v>
      </c>
      <c r="BF88" s="20"/>
      <c r="BG88" s="604">
        <v>0.5110702315687009</v>
      </c>
      <c r="BH88" s="20"/>
      <c r="BI88" s="604">
        <v>0.9307753010923033</v>
      </c>
      <c r="BJ88" s="823"/>
      <c r="BZ88" s="1106">
        <f t="shared" si="79"/>
        <v>0.5110702315687009</v>
      </c>
      <c r="CJ88" s="1069">
        <v>2023</v>
      </c>
      <c r="CK88" s="959"/>
      <c r="CL88" s="20"/>
      <c r="CM88" s="20"/>
      <c r="CN88" s="164"/>
      <c r="CO88" s="1128"/>
      <c r="DF88" s="1141">
        <v>2030</v>
      </c>
      <c r="DG88" s="1142"/>
      <c r="DH88" s="1143">
        <f t="shared" si="83"/>
        <v>0.5059567051775757</v>
      </c>
      <c r="DW88" s="1144">
        <f t="shared" si="84"/>
        <v>0.5059567051775757</v>
      </c>
      <c r="HZ88" s="795">
        <v>2034</v>
      </c>
      <c r="IA88" s="796"/>
      <c r="IB88" s="1028">
        <f t="shared" si="89"/>
        <v>1758.5009183609602</v>
      </c>
      <c r="IC88" s="1105"/>
    </row>
    <row r="89" ht="20.5" customHeight="1" spans="9:237" x14ac:dyDescent="0.25">
      <c r="I89" s="1137"/>
      <c r="J89" s="1137"/>
      <c r="K89" s="15"/>
      <c r="L89" s="682"/>
      <c r="M89" s="909" t="s">
        <v>968</v>
      </c>
      <c r="N89" s="909"/>
      <c r="O89" s="1138" t="s">
        <v>969</v>
      </c>
      <c r="P89" s="1140">
        <v>1</v>
      </c>
      <c r="Q89" s="921">
        <f t="shared" ref="Q89:AK89" si="93">Q86/($P86*Q88)</f>
        <v>1.4253088831742167</v>
      </c>
      <c r="R89" s="921">
        <f t="shared" si="93"/>
        <v>1.636063814000928</v>
      </c>
      <c r="S89" s="921">
        <f t="shared" si="93"/>
        <v>1.9308577757139922</v>
      </c>
      <c r="T89" s="921">
        <f t="shared" si="93"/>
        <v>3.3141162989408333</v>
      </c>
      <c r="U89" s="921">
        <f t="shared" si="93"/>
        <v>4.530308878161353</v>
      </c>
      <c r="V89" s="921">
        <f t="shared" si="93"/>
        <v>5.235448894391383</v>
      </c>
      <c r="W89" s="921">
        <f t="shared" si="93"/>
        <v>6.1166069659965165</v>
      </c>
      <c r="X89" s="921">
        <f t="shared" si="93"/>
        <v>6.908572014825802</v>
      </c>
      <c r="Y89" s="921">
        <f t="shared" si="93"/>
        <v>8.287376345896346</v>
      </c>
      <c r="Z89" s="921">
        <f t="shared" si="93"/>
        <v>9.743492729771052</v>
      </c>
      <c r="AA89" s="921">
        <f t="shared" si="93"/>
        <v>11.204869414258274</v>
      </c>
      <c r="AB89" s="921">
        <f t="shared" si="93"/>
        <v>12.814033590603865</v>
      </c>
      <c r="AC89" s="921">
        <f t="shared" si="93"/>
        <v>15.157333834501415</v>
      </c>
      <c r="AD89" s="921">
        <f t="shared" si="93"/>
        <v>15.541096533729839</v>
      </c>
      <c r="AE89" s="965">
        <f t="shared" si="93"/>
        <v>14.057917798860746</v>
      </c>
      <c r="AF89" s="921">
        <f t="shared" si="93"/>
        <v>12.94254685116724</v>
      </c>
      <c r="AG89" s="921">
        <f t="shared" si="93"/>
        <v>12.038964146514212</v>
      </c>
      <c r="AH89" s="921">
        <f t="shared" si="93"/>
        <v>11.586413266252812</v>
      </c>
      <c r="AI89" s="921">
        <f t="shared" si="93"/>
        <v>22.962453855349583</v>
      </c>
      <c r="AJ89" s="921">
        <f t="shared" si="93"/>
        <v>25.521976699682337</v>
      </c>
      <c r="AK89" s="921">
        <f t="shared" si="93"/>
        <v>25.924928323100985</v>
      </c>
      <c r="AL89" s="921">
        <f>AL86/($P86*AL88)</f>
        <v>26.616376997108286</v>
      </c>
      <c r="AM89" s="921">
        <f>AM86/($P86*AM88)</f>
        <v>28.43643108713918</v>
      </c>
      <c r="AN89" s="682"/>
      <c r="AO89" s="277"/>
      <c r="AQ89" s="1139" t="str">
        <f t="shared" si="90"/>
        <v>Dwd</v>
      </c>
      <c r="BD89" s="928">
        <v>2011</v>
      </c>
      <c r="BE89" s="604">
        <v>0.44775372911459155</v>
      </c>
      <c r="BF89" s="20"/>
      <c r="BG89" s="604">
        <v>0.5110702315687009</v>
      </c>
      <c r="BH89" s="20"/>
      <c r="BI89" s="604">
        <v>0.8761099775665605</v>
      </c>
      <c r="BJ89" s="823"/>
      <c r="BZ89" s="1106">
        <f t="shared" si="79"/>
        <v>0.5110702315687009</v>
      </c>
      <c r="CJ89" s="1069">
        <v>2024</v>
      </c>
      <c r="CK89" s="959"/>
      <c r="CL89" s="20"/>
      <c r="CM89" s="20"/>
      <c r="CN89" s="164"/>
      <c r="CO89" s="1128"/>
      <c r="HZ89" s="982">
        <v>2035</v>
      </c>
      <c r="IA89" s="1145"/>
      <c r="IB89" s="984">
        <f t="shared" si="89"/>
        <v>1820.7318966012951</v>
      </c>
      <c r="IC89" s="1146"/>
    </row>
    <row r="90" ht="21" customHeight="1" spans="9:93" x14ac:dyDescent="0.25">
      <c r="I90" s="907" t="s">
        <v>970</v>
      </c>
      <c r="J90" s="907"/>
      <c r="K90" s="15"/>
      <c r="L90" s="682"/>
      <c r="M90" s="909" t="s">
        <v>971</v>
      </c>
      <c r="N90" s="909"/>
      <c r="O90" s="1138" t="s">
        <v>972</v>
      </c>
      <c r="P90" s="1147">
        <v>1319.6253</v>
      </c>
      <c r="Q90" s="684">
        <f t="shared" ref="Q90:AM90" si="94">Q92-Q94</f>
        <v>1282.6757916</v>
      </c>
      <c r="R90" s="684">
        <f t="shared" si="94"/>
        <v>1300.6332526823999</v>
      </c>
      <c r="S90" s="684">
        <f t="shared" si="94"/>
        <v>1234.3009567955976</v>
      </c>
      <c r="T90" s="684">
        <f t="shared" si="94"/>
        <v>1305.8904122897422</v>
      </c>
      <c r="U90" s="684">
        <f t="shared" si="94"/>
        <v>1428.6441110449782</v>
      </c>
      <c r="V90" s="684">
        <f t="shared" si="94"/>
        <v>1498.6476724861818</v>
      </c>
      <c r="W90" s="684">
        <f t="shared" si="94"/>
        <v>1564.588170075574</v>
      </c>
      <c r="X90" s="684">
        <f t="shared" si="94"/>
        <v>1681.9322828312422</v>
      </c>
      <c r="Y90" s="684">
        <f t="shared" si="94"/>
        <v>1792.9398134981043</v>
      </c>
      <c r="Z90" s="684">
        <f t="shared" si="94"/>
        <v>1900.5162023079906</v>
      </c>
      <c r="AA90" s="684">
        <f t="shared" si="94"/>
        <v>2050.6569822903216</v>
      </c>
      <c r="AB90" s="684">
        <f t="shared" si="94"/>
        <v>2222.912168802709</v>
      </c>
      <c r="AC90" s="684">
        <f t="shared" si="94"/>
        <v>2333.72804783669</v>
      </c>
      <c r="AD90" s="684">
        <f t="shared" si="94"/>
        <v>2200.5008286112543</v>
      </c>
      <c r="AE90" s="1112">
        <f t="shared" si="94"/>
        <v>2432.6643738642024</v>
      </c>
      <c r="AF90" s="684">
        <f t="shared" si="94"/>
        <v>2642.308055227615</v>
      </c>
      <c r="AG90" s="684">
        <f t="shared" si="94"/>
        <v>2840.626102362953</v>
      </c>
      <c r="AH90" s="684">
        <f t="shared" si="94"/>
        <v>2951.577422117977</v>
      </c>
      <c r="AI90" s="684">
        <f t="shared" si="94"/>
        <v>2994.732202106503</v>
      </c>
      <c r="AJ90" s="684">
        <f t="shared" si="94"/>
        <v>2924.0446724852973</v>
      </c>
      <c r="AK90" s="684">
        <f t="shared" si="94"/>
        <v>2988.4464494724934</v>
      </c>
      <c r="AL90" s="684">
        <f t="shared" si="94"/>
        <v>3124.2268626204987</v>
      </c>
      <c r="AM90" s="684">
        <f t="shared" si="94"/>
        <v>3263.4017860972035</v>
      </c>
      <c r="AN90" s="682"/>
      <c r="AO90" s="277"/>
      <c r="AQ90" s="1139" t="str">
        <f t="shared" si="90"/>
        <v>WDCS</v>
      </c>
      <c r="BD90" s="928">
        <v>2012</v>
      </c>
      <c r="BE90" s="604">
        <v>0.44246702013857986</v>
      </c>
      <c r="BF90" s="20"/>
      <c r="BG90" s="604">
        <v>0.5122189032468178</v>
      </c>
      <c r="BH90" s="20"/>
      <c r="BI90" s="604">
        <v>0.8638240746952139</v>
      </c>
      <c r="BJ90" s="823"/>
      <c r="BZ90" s="1106">
        <f t="shared" si="79"/>
        <v>0.5122189032468178</v>
      </c>
      <c r="CJ90" s="1148">
        <v>2025</v>
      </c>
      <c r="CK90" s="1149"/>
      <c r="CL90" s="82"/>
      <c r="CM90" s="82"/>
      <c r="CN90" s="178"/>
      <c r="CO90" s="778"/>
    </row>
    <row r="91" ht="21" customHeight="1" spans="9:246" x14ac:dyDescent="0.25">
      <c r="I91" s="1137"/>
      <c r="J91" s="1137"/>
      <c r="K91" s="15"/>
      <c r="O91" s="1150"/>
      <c r="P91" s="1151"/>
      <c r="AE91" s="1151"/>
      <c r="AO91" s="277"/>
      <c r="AQ91" s="1139">
        <f t="shared" si="90"/>
        <v>0</v>
      </c>
      <c r="BD91" s="928">
        <v>2013</v>
      </c>
      <c r="BE91" s="604">
        <v>0.4477540316276978</v>
      </c>
      <c r="BF91" s="20"/>
      <c r="BG91" s="604">
        <v>0.5137221170238432</v>
      </c>
      <c r="BH91" s="20"/>
      <c r="BI91" s="604">
        <v>0.8715879982385812</v>
      </c>
      <c r="BJ91" s="823"/>
      <c r="BZ91" s="1106">
        <f t="shared" si="79"/>
        <v>0.5137221170238432</v>
      </c>
      <c r="GI91" s="24"/>
      <c r="GJ91" s="1152"/>
      <c r="GW91" s="869" t="s">
        <v>159</v>
      </c>
      <c r="GX91" s="1153" t="s">
        <v>909</v>
      </c>
      <c r="GY91" s="1154" t="s">
        <v>116</v>
      </c>
      <c r="GZ91" s="1153" t="s">
        <v>909</v>
      </c>
      <c r="HA91" s="1154" t="s">
        <v>973</v>
      </c>
      <c r="HT91" s="1155">
        <f>HR94/HT94</f>
        <v>10.114276793380688</v>
      </c>
      <c r="HU91" s="1156" t="s">
        <v>974</v>
      </c>
      <c r="HV91" s="1157" t="s">
        <v>699</v>
      </c>
      <c r="IL91" s="1158" t="s">
        <v>634</v>
      </c>
    </row>
    <row r="92" ht="21" customHeight="1" spans="9:246" x14ac:dyDescent="0.25">
      <c r="I92" s="1137"/>
      <c r="J92" s="1137"/>
      <c r="K92" s="939"/>
      <c r="L92" s="1159" t="s">
        <v>292</v>
      </c>
      <c r="M92" s="909" t="s">
        <v>880</v>
      </c>
      <c r="N92" s="909"/>
      <c r="O92" s="1138" t="s">
        <v>589</v>
      </c>
      <c r="P92" s="1147">
        <v>2767.6205</v>
      </c>
      <c r="Q92" s="929">
        <f>ОТЧЁТ!V167</f>
        <v>2690.127126</v>
      </c>
      <c r="R92" s="929">
        <f>ОТЧЁТ!W167</f>
        <v>2727.788905764</v>
      </c>
      <c r="S92" s="929">
        <f>ОТЧЁТ!X167</f>
        <v>2588.671671570036</v>
      </c>
      <c r="T92" s="929">
        <f>ОТЧЁТ!Y167</f>
        <v>2738.8146285210983</v>
      </c>
      <c r="U92" s="929">
        <f>ОТЧЁТ!Z167</f>
        <v>2996.263203602082</v>
      </c>
      <c r="V92" s="929">
        <f>ОТЧЁТ!AA167</f>
        <v>3143.0801005785834</v>
      </c>
      <c r="W92" s="929">
        <f>ОТЧЁТ!AB167</f>
        <v>3281.3756250040415</v>
      </c>
      <c r="X92" s="929">
        <f>ОТЧЁТ!AC167</f>
        <v>3530.7601725043487</v>
      </c>
      <c r="Y92" s="929">
        <f>ОТЧЁТ!AD167</f>
        <v>3813.2209863046965</v>
      </c>
      <c r="Z92" s="929">
        <f>ОТЧЁТ!AE167</f>
        <v>4030.5745825240638</v>
      </c>
      <c r="AA92" s="929">
        <f>ОТЧЁТ!AF167</f>
        <v>4389.295720368706</v>
      </c>
      <c r="AB92" s="929">
        <f>ОТЧЁТ!AG167</f>
        <v>4775.553743761152</v>
      </c>
      <c r="AC92" s="929">
        <f>ОТЧЁТ!AH167</f>
        <v>5014.33143094921</v>
      </c>
      <c r="AD92" s="929">
        <f>ОТЧЁТ!AI167</f>
        <v>4643.270905058968</v>
      </c>
      <c r="AE92" s="1147">
        <f>ОТЧЁТ!AJ167</f>
        <v>4875.434450311916</v>
      </c>
      <c r="AF92" s="929">
        <f>ОТЧЁТ!AK167</f>
        <v>5085.078131675329</v>
      </c>
      <c r="AG92" s="929">
        <f>ОТЧЁТ!AL167</f>
        <v>5283.396178810667</v>
      </c>
      <c r="AH92" s="929">
        <f>ОТЧЁТ!AM167</f>
        <v>5394.347498565691</v>
      </c>
      <c r="AI92" s="929">
        <f>ОТЧЁТ!AN167</f>
        <v>5437.502278554217</v>
      </c>
      <c r="AJ92" s="929">
        <f>ОТЧЁТ!AO167</f>
        <v>5366.814748933011</v>
      </c>
      <c r="AK92" s="929">
        <f>ОТЧЁТ!AP167</f>
        <v>5431.2165259202075</v>
      </c>
      <c r="AL92" s="929">
        <f>ОТЧЁТ!AQ167</f>
        <v>5566.996939068213</v>
      </c>
      <c r="AM92" s="929">
        <f>ОТЧЁТ!AR167</f>
        <v>5706.1718625449175</v>
      </c>
      <c r="AN92" s="682"/>
      <c r="AO92" s="277"/>
      <c r="AQ92" s="1139" t="str">
        <f t="shared" ref="AQ92:AQ101" si="95">O92</f>
        <v>XOS</v>
      </c>
      <c r="BD92" s="928">
        <v>2014</v>
      </c>
      <c r="BE92" s="604">
        <v>0.4476723656851211</v>
      </c>
      <c r="BF92" s="20"/>
      <c r="BG92" s="604">
        <v>0.5140183182736008</v>
      </c>
      <c r="BH92" s="20"/>
      <c r="BI92" s="604">
        <v>0.8709268712225832</v>
      </c>
      <c r="BJ92" s="823"/>
      <c r="BZ92" s="1106">
        <f t="shared" si="79"/>
        <v>0.5140183182736008</v>
      </c>
      <c r="GI92" s="24"/>
      <c r="GJ92" s="1152"/>
      <c r="GW92" s="850">
        <v>43123</v>
      </c>
      <c r="GX92" s="1160" t="s">
        <v>56</v>
      </c>
      <c r="GY92" s="1160" t="s">
        <v>56</v>
      </c>
      <c r="GZ92" s="1160" t="s">
        <v>56</v>
      </c>
      <c r="HA92" s="1160" t="s">
        <v>56</v>
      </c>
      <c r="HQ92" s="1161" t="s">
        <v>520</v>
      </c>
      <c r="HR92" s="875" t="s">
        <v>368</v>
      </c>
      <c r="HS92" s="1153" t="s">
        <v>381</v>
      </c>
      <c r="HT92" s="1153" t="s">
        <v>795</v>
      </c>
      <c r="HU92" s="1162" t="s">
        <v>975</v>
      </c>
      <c r="HV92" s="1162" t="s">
        <v>975</v>
      </c>
      <c r="IL92" s="1162" t="s">
        <v>975</v>
      </c>
    </row>
    <row r="93" ht="23.5" customHeight="1" spans="9:246" x14ac:dyDescent="0.25">
      <c r="I93" s="1137"/>
      <c r="J93" s="1137"/>
      <c r="K93" s="939"/>
      <c r="L93" s="1159" t="s">
        <v>292</v>
      </c>
      <c r="M93" s="909" t="s">
        <v>971</v>
      </c>
      <c r="N93" s="909"/>
      <c r="O93" s="1138" t="s">
        <v>972</v>
      </c>
      <c r="P93" s="1147">
        <v>1319.6253</v>
      </c>
      <c r="Q93" s="929">
        <f>Q92-Q94</f>
        <v>1282.6757916</v>
      </c>
      <c r="R93" s="929">
        <f>R92-R94</f>
        <v>1300.6332526823999</v>
      </c>
      <c r="S93" s="929">
        <f>S92-S94</f>
        <v>1234.3009567955976</v>
      </c>
      <c r="T93" s="929">
        <f>T92-T94</f>
        <v>1305.8904122897422</v>
      </c>
      <c r="U93" s="929">
        <v>1428.6441110449782</v>
      </c>
      <c r="V93" s="929">
        <v>1498.6476724861818</v>
      </c>
      <c r="W93" s="929">
        <v>1564.588170075574</v>
      </c>
      <c r="X93" s="929">
        <v>1681.9322828312422</v>
      </c>
      <c r="Y93" s="929">
        <v>1792.9398134981043</v>
      </c>
      <c r="Z93" s="929">
        <v>1900.5162023079906</v>
      </c>
      <c r="AA93" s="929">
        <f>AA92-AA94</f>
        <v>2050.6569822903216</v>
      </c>
      <c r="AB93" s="929">
        <f t="shared" ref="AB93:AM93" si="96">AB92-AB94</f>
        <v>2222.912168802709</v>
      </c>
      <c r="AC93" s="929">
        <f t="shared" si="96"/>
        <v>2333.72804783669</v>
      </c>
      <c r="AD93" s="929">
        <f t="shared" si="96"/>
        <v>2200.5008286112543</v>
      </c>
      <c r="AE93" s="1147">
        <f t="shared" si="96"/>
        <v>2432.6643738642024</v>
      </c>
      <c r="AF93" s="929">
        <f t="shared" si="96"/>
        <v>2642.308055227615</v>
      </c>
      <c r="AG93" s="929">
        <f t="shared" si="96"/>
        <v>2840.626102362953</v>
      </c>
      <c r="AH93" s="929">
        <f t="shared" si="96"/>
        <v>2951.577422117977</v>
      </c>
      <c r="AI93" s="929">
        <f t="shared" si="96"/>
        <v>2994.732202106503</v>
      </c>
      <c r="AJ93" s="929">
        <f t="shared" si="96"/>
        <v>2924.0446724852973</v>
      </c>
      <c r="AK93" s="929">
        <f t="shared" si="96"/>
        <v>2988.4464494724934</v>
      </c>
      <c r="AL93" s="929">
        <f t="shared" si="96"/>
        <v>3124.2268626204987</v>
      </c>
      <c r="AM93" s="929">
        <f t="shared" si="96"/>
        <v>3263.4017860972035</v>
      </c>
      <c r="AN93" s="682"/>
      <c r="AO93" s="277"/>
      <c r="AQ93" s="1139" t="str">
        <f t="shared" si="95"/>
        <v>WDCS</v>
      </c>
      <c r="BD93" s="928">
        <v>2015</v>
      </c>
      <c r="BE93" s="604">
        <v>0.46190475940081643</v>
      </c>
      <c r="BF93" s="20"/>
      <c r="BG93" s="604">
        <v>0.5189421448361783</v>
      </c>
      <c r="BH93" s="20"/>
      <c r="BI93" s="604">
        <v>0.8900891245721281</v>
      </c>
      <c r="BJ93" s="823"/>
      <c r="BZ93" s="1106">
        <f t="shared" si="79"/>
        <v>0.5189421448361783</v>
      </c>
      <c r="CZ93" s="1163" t="s">
        <v>159</v>
      </c>
      <c r="DA93" s="875" t="s">
        <v>795</v>
      </c>
      <c r="DB93" s="703" t="s">
        <v>870</v>
      </c>
      <c r="DE93" s="187"/>
      <c r="DF93" s="187"/>
      <c r="DG93" s="820"/>
      <c r="DH93" s="24"/>
      <c r="DR93" s="992" t="s">
        <v>159</v>
      </c>
      <c r="DS93" s="702" t="s">
        <v>766</v>
      </c>
      <c r="DT93" s="703" t="s">
        <v>120</v>
      </c>
      <c r="EL93" s="992" t="s">
        <v>159</v>
      </c>
      <c r="EM93" s="703" t="s">
        <v>120</v>
      </c>
      <c r="EN93" s="391" t="s">
        <v>522</v>
      </c>
      <c r="EO93" s="391" t="s">
        <v>976</v>
      </c>
      <c r="EP93" s="702" t="s">
        <v>279</v>
      </c>
      <c r="FF93" s="780" t="s">
        <v>159</v>
      </c>
      <c r="FG93" s="1164" t="s">
        <v>918</v>
      </c>
      <c r="FH93" s="391" t="s">
        <v>522</v>
      </c>
      <c r="FI93" s="391" t="s">
        <v>523</v>
      </c>
      <c r="FJ93" s="391" t="s">
        <v>977</v>
      </c>
      <c r="GA93" s="992" t="s">
        <v>159</v>
      </c>
      <c r="GB93" s="1153" t="s">
        <v>368</v>
      </c>
      <c r="GC93" s="391" t="s">
        <v>522</v>
      </c>
      <c r="GD93" s="391" t="s">
        <v>976</v>
      </c>
      <c r="GE93" s="702" t="s">
        <v>279</v>
      </c>
      <c r="GW93" s="827">
        <v>1995</v>
      </c>
      <c r="GX93" s="1165">
        <f t="array" ref="GX93:GX114">TRANSPOSE(ОТЧЁТ!U71:AP71)</f>
        <v>24.2993</v>
      </c>
      <c r="GY93" s="1166">
        <v>1428.5209</v>
      </c>
      <c r="GZ93" s="17"/>
      <c r="HA93" s="1167"/>
      <c r="HQ93" s="1168">
        <v>43124</v>
      </c>
      <c r="HR93" s="1169" t="s">
        <v>56</v>
      </c>
      <c r="HS93" s="1170" t="s">
        <v>55</v>
      </c>
      <c r="HT93" s="1170" t="s">
        <v>55</v>
      </c>
      <c r="HU93" s="843" t="s">
        <v>840</v>
      </c>
      <c r="HV93" s="843" t="s">
        <v>840</v>
      </c>
      <c r="IL93" s="1171" t="s">
        <v>840</v>
      </c>
    </row>
    <row r="94" ht="21.5" customHeight="1" spans="9:246" x14ac:dyDescent="0.25">
      <c r="I94" s="907" t="s">
        <v>978</v>
      </c>
      <c r="J94" s="907"/>
      <c r="K94" s="939"/>
      <c r="L94" s="1159" t="s">
        <v>292</v>
      </c>
      <c r="M94" s="909" t="s">
        <v>979</v>
      </c>
      <c r="N94" s="909"/>
      <c r="O94" s="1138" t="s">
        <v>544</v>
      </c>
      <c r="P94" s="1147">
        <v>1447.9952</v>
      </c>
      <c r="Q94" s="929">
        <v>1407.4513344</v>
      </c>
      <c r="R94" s="929">
        <v>1427.1556530816001</v>
      </c>
      <c r="S94" s="929">
        <v>1354.3707147744383</v>
      </c>
      <c r="T94" s="929">
        <v>1432.924216231356</v>
      </c>
      <c r="U94" s="929">
        <v>1567.6190925571036</v>
      </c>
      <c r="V94" s="929">
        <v>1644.4324280924016</v>
      </c>
      <c r="W94" s="929">
        <v>1716.7874549284675</v>
      </c>
      <c r="X94" s="929">
        <v>1848.8278896731065</v>
      </c>
      <c r="Y94" s="929">
        <v>2020.2811728065922</v>
      </c>
      <c r="Z94" s="929">
        <v>2130.058380216073</v>
      </c>
      <c r="AA94" s="929">
        <v>2338.638738078384</v>
      </c>
      <c r="AB94" s="1172">
        <v>2552.641574958443</v>
      </c>
      <c r="AC94" s="1172">
        <v>2680.6033831125196</v>
      </c>
      <c r="AD94" s="1172">
        <v>2442.770076447714</v>
      </c>
      <c r="AE94" s="1147">
        <v>2442.770076447714</v>
      </c>
      <c r="AF94" s="1172">
        <v>2442.770076447714</v>
      </c>
      <c r="AG94" s="1172">
        <v>2442.770076447714</v>
      </c>
      <c r="AH94" s="1172">
        <v>2442.770076447714</v>
      </c>
      <c r="AI94" s="1172">
        <v>2442.770076447714</v>
      </c>
      <c r="AJ94" s="1172">
        <v>2442.770076447714</v>
      </c>
      <c r="AK94" s="1172">
        <v>2442.770076447714</v>
      </c>
      <c r="AL94" s="1172">
        <v>2442.770076447714</v>
      </c>
      <c r="AM94" s="1172">
        <v>2442.770076447714</v>
      </c>
      <c r="AN94" s="682"/>
      <c r="AO94" s="277"/>
      <c r="AQ94" s="1139" t="str">
        <f t="shared" si="95"/>
        <v>ZS</v>
      </c>
      <c r="BD94" s="928">
        <v>2016</v>
      </c>
      <c r="BE94" s="604">
        <v>0.4703410970580328</v>
      </c>
      <c r="BF94" s="20"/>
      <c r="BG94" s="604">
        <v>0.5236956809543979</v>
      </c>
      <c r="BH94" s="20"/>
      <c r="BI94" s="604">
        <v>0.8981191065025967</v>
      </c>
      <c r="BJ94" s="823"/>
      <c r="BZ94" s="1106">
        <f t="shared" si="79"/>
        <v>0.5236956809543979</v>
      </c>
      <c r="CC94" s="1173" t="s">
        <v>159</v>
      </c>
      <c r="CD94" s="1174" t="s">
        <v>980</v>
      </c>
      <c r="CE94" s="1175" t="s">
        <v>981</v>
      </c>
      <c r="CF94" s="1175" t="s">
        <v>982</v>
      </c>
      <c r="CG94" s="1175" t="s">
        <v>983</v>
      </c>
      <c r="CV94" s="1176" t="s">
        <v>386</v>
      </c>
      <c r="CW94" s="1177" t="s">
        <v>386</v>
      </c>
      <c r="CZ94" s="906">
        <v>43917</v>
      </c>
      <c r="DA94" s="671" t="s">
        <v>58</v>
      </c>
      <c r="DB94" s="671" t="s">
        <v>56</v>
      </c>
      <c r="DE94" s="187"/>
      <c r="DF94" s="187"/>
      <c r="DG94" s="820"/>
      <c r="DH94" s="24"/>
      <c r="DR94" s="737">
        <v>43922</v>
      </c>
      <c r="DS94" s="1178" t="s">
        <v>984</v>
      </c>
      <c r="DT94" s="1178" t="s">
        <v>984</v>
      </c>
      <c r="EL94" s="1179">
        <v>43923</v>
      </c>
      <c r="EM94" s="1002" t="s">
        <v>984</v>
      </c>
      <c r="EN94" s="1002" t="s">
        <v>984</v>
      </c>
      <c r="EO94" s="1002" t="s">
        <v>984</v>
      </c>
      <c r="EP94" s="1002" t="s">
        <v>984</v>
      </c>
      <c r="FF94" s="324">
        <v>43923</v>
      </c>
      <c r="FG94" s="1180" t="s">
        <v>985</v>
      </c>
      <c r="FH94" s="1181"/>
      <c r="FI94" s="1178"/>
      <c r="FJ94" s="1182"/>
      <c r="GA94" s="1179">
        <v>43923</v>
      </c>
      <c r="GB94" s="1183" t="s">
        <v>984</v>
      </c>
      <c r="GC94" s="1002" t="s">
        <v>984</v>
      </c>
      <c r="GD94" s="1002" t="s">
        <v>984</v>
      </c>
      <c r="GE94" s="1002" t="s">
        <v>984</v>
      </c>
      <c r="GW94" s="1184">
        <v>1996</v>
      </c>
      <c r="GX94" s="1185">
        <v>36.6615</v>
      </c>
      <c r="GY94" s="1186">
        <v>2007.8252000000002</v>
      </c>
      <c r="GZ94" s="20"/>
      <c r="HA94" s="1187"/>
      <c r="HQ94" s="1188">
        <v>1995</v>
      </c>
      <c r="HR94" s="1027">
        <v>647.87</v>
      </c>
      <c r="HS94" s="1189">
        <v>1</v>
      </c>
      <c r="HT94" s="48">
        <f t="array" ref="HT94:HT115">TRANSPOSE(ОТЧЁТ!U91:AP91)</f>
        <v>64.055</v>
      </c>
      <c r="HU94" s="796">
        <v>1</v>
      </c>
      <c r="HV94" s="797"/>
      <c r="IL94" s="1190">
        <v>1</v>
      </c>
    </row>
    <row r="95" ht="21.5" customHeight="1" spans="9:246" x14ac:dyDescent="0.25">
      <c r="I95" s="907" t="s">
        <v>901</v>
      </c>
      <c r="J95" s="907"/>
      <c r="K95" s="939"/>
      <c r="L95" s="1159" t="s">
        <v>292</v>
      </c>
      <c r="M95" s="909" t="s">
        <v>979</v>
      </c>
      <c r="N95" s="909"/>
      <c r="O95" s="1138" t="s">
        <v>544</v>
      </c>
      <c r="P95" s="1147">
        <v>1447.9951999999998</v>
      </c>
      <c r="Q95" s="929">
        <v>1407.4513344</v>
      </c>
      <c r="R95" s="929">
        <v>1427.1556530816001</v>
      </c>
      <c r="S95" s="929">
        <v>1354.3707147744383</v>
      </c>
      <c r="T95" s="929">
        <v>1432.9242162313558</v>
      </c>
      <c r="U95" s="929">
        <v>1567.6190925571036</v>
      </c>
      <c r="V95" s="929">
        <v>1644.4324280924018</v>
      </c>
      <c r="W95" s="929">
        <v>1716.7874549284672</v>
      </c>
      <c r="X95" s="929">
        <v>1848.8278896731063</v>
      </c>
      <c r="Y95" s="929">
        <v>2020.2811728065922</v>
      </c>
      <c r="Z95" s="929">
        <v>2130.058380216073</v>
      </c>
      <c r="AA95" s="929">
        <v>2338.638738078384</v>
      </c>
      <c r="AB95" s="1172">
        <v>2552.6415749584426</v>
      </c>
      <c r="AC95" s="1172">
        <v>2680.6033831125196</v>
      </c>
      <c r="AD95" s="1172">
        <v>2442.7700764477136</v>
      </c>
      <c r="AE95" s="1147">
        <v>2442.7700764477136</v>
      </c>
      <c r="AF95" s="1172">
        <v>2442.7700764477136</v>
      </c>
      <c r="AG95" s="1172">
        <v>2442.7700764477136</v>
      </c>
      <c r="AH95" s="1172">
        <v>2442.7700764477136</v>
      </c>
      <c r="AI95" s="1172">
        <v>2442.7700764477136</v>
      </c>
      <c r="AJ95" s="1172">
        <v>2442.7700764477136</v>
      </c>
      <c r="AK95" s="1172">
        <v>2442.7700764477136</v>
      </c>
      <c r="AL95" s="1172">
        <v>2442.7700764477136</v>
      </c>
      <c r="AM95" s="1172">
        <v>2442.7700764477136</v>
      </c>
      <c r="AN95" s="682"/>
      <c r="AO95" s="277"/>
      <c r="AQ95" s="1139" t="str">
        <f t="shared" si="95"/>
        <v>ZS</v>
      </c>
      <c r="BD95" s="928">
        <v>2017</v>
      </c>
      <c r="BE95" s="604">
        <v>0.47453242920013833</v>
      </c>
      <c r="BF95" s="21"/>
      <c r="BG95" s="611">
        <v>0.5269484909381239</v>
      </c>
      <c r="BH95" s="1191">
        <f>BG95</f>
        <v>0.5269484909381239</v>
      </c>
      <c r="BI95" s="604">
        <v>0.9005290599757303</v>
      </c>
      <c r="BJ95" s="823"/>
      <c r="BZ95" s="1106">
        <f t="shared" si="79"/>
        <v>0.5269484909381239</v>
      </c>
      <c r="CC95" s="305">
        <v>43918</v>
      </c>
      <c r="CD95" s="1192" t="s">
        <v>866</v>
      </c>
      <c r="CE95" s="785" t="s">
        <v>866</v>
      </c>
      <c r="CF95" s="785" t="s">
        <v>866</v>
      </c>
      <c r="CG95" s="785" t="s">
        <v>866</v>
      </c>
      <c r="CV95" s="1193" t="s">
        <v>980</v>
      </c>
      <c r="CW95" s="1194" t="s">
        <v>982</v>
      </c>
      <c r="CZ95" s="795">
        <v>1995</v>
      </c>
      <c r="DA95" s="1195">
        <f t="array" ref="DA95:DA118">TRANSPOSE(ОТЧЁТ!U91:AR91)</f>
        <v>64.055</v>
      </c>
      <c r="DB95" s="917">
        <v>1428.5209</v>
      </c>
      <c r="DE95" s="187"/>
      <c r="DF95" s="187"/>
      <c r="DG95" s="820"/>
      <c r="DH95" s="24"/>
      <c r="DR95" s="795">
        <v>1995</v>
      </c>
      <c r="DS95" s="1018">
        <f t="array" ref="DS95:DS118">TRANSPOSE(НАСТРОЙКА!P50:AM50)</f>
        <v>719.7935</v>
      </c>
      <c r="DT95" s="50">
        <f t="array" ref="DT95:DT118">TRANSPOSE(ОТЧЁТ!U89:AR89)</f>
        <v>910.9</v>
      </c>
      <c r="EL95" s="827">
        <v>1995</v>
      </c>
      <c r="EM95" s="50">
        <f t="shared" ref="EM95:EM118" si="97">DT95</f>
        <v>910.9</v>
      </c>
      <c r="EN95" s="50">
        <f>EM95</f>
        <v>910.9</v>
      </c>
      <c r="EO95" s="50"/>
      <c r="EP95" s="799">
        <f t="array" ref="EP95:EP118">TRANSPOSE(ОТЧЁТ!U67:AR67)</f>
        <v>1428.5209</v>
      </c>
      <c r="FF95" s="795">
        <v>1995</v>
      </c>
      <c r="FG95" s="1196">
        <f t="array" ref="FG95:FG118">TRANSPOSE(ОТЧЁТ!U159:AR159)</f>
        <v>1</v>
      </c>
      <c r="FH95" s="49"/>
      <c r="FI95" s="1197"/>
      <c r="FJ95" s="64"/>
      <c r="GA95" s="827">
        <v>1995</v>
      </c>
      <c r="GB95" s="1198">
        <f t="array" ref="GB95:GB118">TRANSPOSE(ОТЧЁТ!U88:AR88)</f>
        <v>647.87</v>
      </c>
      <c r="GC95" s="50">
        <f>GB95</f>
        <v>647.87</v>
      </c>
      <c r="GD95" s="50"/>
      <c r="GE95" s="799">
        <v>1428.5209</v>
      </c>
      <c r="GW95" s="1184">
        <v>1997</v>
      </c>
      <c r="GX95" s="1185">
        <v>47.3504</v>
      </c>
      <c r="GY95" s="1186">
        <v>2342.5137</v>
      </c>
      <c r="GZ95" s="20"/>
      <c r="HA95" s="1187"/>
      <c r="HQ95" s="1199">
        <v>1996</v>
      </c>
      <c r="HR95" s="1027">
        <v>1022.64</v>
      </c>
      <c r="HS95" s="1200">
        <v>1.218</v>
      </c>
      <c r="HT95" s="48">
        <v>62.928</v>
      </c>
      <c r="HU95" s="796">
        <f t="shared" ref="HU95:HU115" si="98">(HR95/HT95)/($HT$91*HS95)</f>
        <v>1.3191577216179184</v>
      </c>
      <c r="HV95" s="825"/>
      <c r="IL95" s="1190">
        <f>HU95</f>
        <v>1.3191577216179184</v>
      </c>
    </row>
    <row r="96" ht="21" customHeight="1" spans="8:246" x14ac:dyDescent="0.25">
      <c r="H96" s="25"/>
      <c r="I96" s="1137"/>
      <c r="J96" s="1137"/>
      <c r="K96" s="15"/>
      <c r="L96" s="682"/>
      <c r="M96" s="682"/>
      <c r="N96" s="272" t="s">
        <v>986</v>
      </c>
      <c r="O96" s="1201"/>
      <c r="P96" s="1140"/>
      <c r="Q96" s="636"/>
      <c r="R96" s="636"/>
      <c r="S96" s="636"/>
      <c r="T96" s="636"/>
      <c r="U96" s="636"/>
      <c r="V96" s="636"/>
      <c r="W96" s="636"/>
      <c r="X96" s="636"/>
      <c r="Y96" s="636"/>
      <c r="Z96" s="636"/>
      <c r="AA96" s="636"/>
      <c r="AB96" s="636"/>
      <c r="AC96" s="636"/>
      <c r="AD96" s="636"/>
      <c r="AE96" s="1140"/>
      <c r="AF96" s="636"/>
      <c r="AG96" s="636"/>
      <c r="AH96" s="636"/>
      <c r="AI96" s="636"/>
      <c r="AJ96" s="636"/>
      <c r="AK96" s="682"/>
      <c r="AL96" s="682"/>
      <c r="AM96" s="682"/>
      <c r="AN96" s="682"/>
      <c r="AO96" s="277"/>
      <c r="AQ96" s="1139">
        <f t="shared" si="95"/>
        <v>0</v>
      </c>
      <c r="BD96" s="928">
        <v>2018</v>
      </c>
      <c r="BE96" s="604">
        <v>0.4716671497708133</v>
      </c>
      <c r="BF96" s="21"/>
      <c r="BG96" s="611">
        <v>0.5255639499359915</v>
      </c>
      <c r="BH96" s="1022">
        <f>BG96</f>
        <v>0.5255639499359915</v>
      </c>
      <c r="BI96" s="611">
        <v>0.8974495869213588</v>
      </c>
      <c r="BJ96" s="823"/>
      <c r="BZ96" s="1106">
        <f t="shared" si="79"/>
        <v>0.5255639499359915</v>
      </c>
      <c r="CC96" s="1202">
        <v>1995</v>
      </c>
      <c r="CD96" s="1041">
        <f t="array" ref="CD96:CD119">TRANSPOSE(ОТЧЁТ!U148:AR148)</f>
        <v>0.3059108200657057</v>
      </c>
      <c r="CE96" s="1203"/>
      <c r="CF96" s="1204">
        <f t="array" ref="CF96:CF119">TRANSPOSE(ОТЧЁТ!U147:AR147)</f>
        <v>0.34028203577560534</v>
      </c>
      <c r="CG96" s="1205"/>
      <c r="CV96" s="1206">
        <f t="shared" ref="CV96:CV111" si="99">CD96</f>
        <v>0.3059108200657057</v>
      </c>
      <c r="CW96" s="1206">
        <f t="shared" ref="CW96:CW111" si="100">CF96</f>
        <v>0.34028203577560534</v>
      </c>
      <c r="CZ96" s="923">
        <v>1996</v>
      </c>
      <c r="DA96" s="1207">
        <v>62.928</v>
      </c>
      <c r="DB96" s="925">
        <f t="shared" ref="DB96:DB118" si="101">DG12</f>
        <v>1377.0941476</v>
      </c>
      <c r="DR96" s="795">
        <v>1996</v>
      </c>
      <c r="DS96" s="1027">
        <v>1007.827</v>
      </c>
      <c r="DT96" s="64">
        <v>1357.1</v>
      </c>
      <c r="EL96" s="1184">
        <v>1996</v>
      </c>
      <c r="EM96" s="64">
        <f t="shared" si="97"/>
        <v>1357.1</v>
      </c>
      <c r="EN96" s="64">
        <f>EM96</f>
        <v>1357.1</v>
      </c>
      <c r="EO96" s="64"/>
      <c r="EP96" s="824">
        <v>2007.8252000000002</v>
      </c>
      <c r="FF96" s="795">
        <v>1996</v>
      </c>
      <c r="FG96" s="1208">
        <v>0.951</v>
      </c>
      <c r="FH96" s="49"/>
      <c r="FI96" s="49"/>
      <c r="FJ96" s="64"/>
      <c r="GA96" s="1184">
        <v>1996</v>
      </c>
      <c r="GB96" s="1209">
        <v>1022.64</v>
      </c>
      <c r="GC96" s="64">
        <f>GB96</f>
        <v>1022.64</v>
      </c>
      <c r="GD96" s="64"/>
      <c r="GE96" s="824">
        <f t="shared" ref="GE96:GE118" si="102">EP96</f>
        <v>2007.8252000000002</v>
      </c>
      <c r="GW96" s="1184">
        <v>1998</v>
      </c>
      <c r="GX96" s="1185">
        <v>48.8855</v>
      </c>
      <c r="GY96" s="1186">
        <v>2629.6229</v>
      </c>
      <c r="GZ96" s="20"/>
      <c r="HA96" s="1187"/>
      <c r="HQ96" s="1199">
        <v>1997</v>
      </c>
      <c r="HR96" s="1027">
        <v>1202.9</v>
      </c>
      <c r="HS96" s="1200">
        <v>1.3519800000000002</v>
      </c>
      <c r="HT96" s="48">
        <v>60.021</v>
      </c>
      <c r="HU96" s="796">
        <f t="shared" si="98"/>
        <v>1.465619370714605</v>
      </c>
      <c r="HV96" s="825"/>
      <c r="IL96" s="1190">
        <f t="shared" ref="IL96:IL115" si="103">HU96</f>
        <v>1.465619370714605</v>
      </c>
    </row>
    <row r="97" ht="21" customHeight="1" spans="8:246" x14ac:dyDescent="0.25">
      <c r="H97" s="187"/>
      <c r="I97" s="907" t="s">
        <v>354</v>
      </c>
      <c r="J97" s="907"/>
      <c r="K97" s="15"/>
      <c r="L97" s="1135" t="s">
        <v>871</v>
      </c>
      <c r="M97" s="909" t="s">
        <v>987</v>
      </c>
      <c r="N97" s="909"/>
      <c r="O97" s="1138" t="s">
        <v>355</v>
      </c>
      <c r="P97" s="1210">
        <f>ОТЧЁТ!U171</f>
        <v>0.5033850497134363</v>
      </c>
      <c r="Q97" s="1211">
        <f>ОТЧЁТ!V171</f>
        <v>0.5074724155594162</v>
      </c>
      <c r="R97" s="1211">
        <f>ОТЧЁТ!W171</f>
        <v>0.5074724155594164</v>
      </c>
      <c r="S97" s="1211">
        <f>ОТЧЁТ!X171</f>
        <v>0.5085104083611879</v>
      </c>
      <c r="T97" s="1211">
        <f>ОТЧЁТ!Y171</f>
        <v>0.5057231327942381</v>
      </c>
      <c r="U97" s="1211">
        <f>ОТЧЁТ!Z171</f>
        <v>0.5030122907437494</v>
      </c>
      <c r="V97" s="1211">
        <f>ОТЧЁТ!AA171</f>
        <v>0.5020647450635659</v>
      </c>
      <c r="W97" s="1211">
        <f>ОТЧЁТ!AB171</f>
        <v>0.5006338966298406</v>
      </c>
      <c r="X97" s="1211">
        <f>ОТЧЁТ!AC171</f>
        <v>0.5020261813046646</v>
      </c>
      <c r="Y97" s="1211">
        <f>ОТЧЁТ!AD171</f>
        <v>0.5057148762579633</v>
      </c>
      <c r="Z97" s="1211">
        <f>ОТЧЁТ!AE171</f>
        <v>0.502441464842453</v>
      </c>
      <c r="AA97" s="1211">
        <f>ОТЧЁТ!AF171</f>
        <v>0.5056397290721157</v>
      </c>
      <c r="AB97" s="1211">
        <f>ОТЧЁТ!AG171</f>
        <v>0.5070028548191596</v>
      </c>
      <c r="AC97" s="1211">
        <f>ОТЧЁТ!AH171</f>
        <v>0.5060638126378627</v>
      </c>
      <c r="AD97" s="1211">
        <f>ОТЧЁТ!AI171</f>
        <v>0.5087308546862543</v>
      </c>
      <c r="AE97" s="1212">
        <f>ОТЧЁТ!AJ171</f>
        <v>0.5110702315687009</v>
      </c>
      <c r="AF97" s="1211">
        <f>ОТЧЁТ!AK171</f>
        <v>0.5110702315687009</v>
      </c>
      <c r="AG97" s="1211">
        <f>ОТЧЁТ!AL171</f>
        <v>0.5122189032468178</v>
      </c>
      <c r="AH97" s="1211">
        <f>ОТЧЁТ!AM171</f>
        <v>0.5137221170238432</v>
      </c>
      <c r="AI97" s="1211">
        <f>ОТЧЁТ!AN171</f>
        <v>0.5140183182736008</v>
      </c>
      <c r="AJ97" s="1211">
        <f>ОТЧЁТ!AO171</f>
        <v>0.5189421448361783</v>
      </c>
      <c r="AK97" s="1211">
        <f>ОТЧЁТ!AP171</f>
        <v>0.5236956809543979</v>
      </c>
      <c r="AL97" s="1211">
        <f>ОТЧЁТ!AQ171</f>
        <v>0.5269484909381239</v>
      </c>
      <c r="AM97" s="1211">
        <f>ОТЧЁТ!AR171</f>
        <v>0.5255639499359915</v>
      </c>
      <c r="AN97" s="682"/>
      <c r="AO97" s="277"/>
      <c r="AQ97" s="1139" t="str">
        <f t="shared" si="95"/>
        <v>aS</v>
      </c>
      <c r="BD97" s="928">
        <v>2019</v>
      </c>
      <c r="BE97" s="958"/>
      <c r="BF97" s="21"/>
      <c r="BG97" s="20"/>
      <c r="BH97" s="1022">
        <f>BH96+0.001</f>
        <v>0.5265639499359915</v>
      </c>
      <c r="BI97" s="20"/>
      <c r="BJ97" s="438"/>
      <c r="BZ97" s="1009">
        <f>BH97</f>
        <v>0.5265639499359915</v>
      </c>
      <c r="CC97" s="1202">
        <v>1996</v>
      </c>
      <c r="CD97" s="1047">
        <v>0.2781616646708089</v>
      </c>
      <c r="CE97" s="1213"/>
      <c r="CF97" s="1214">
        <v>0.3250780994281772</v>
      </c>
      <c r="CG97" s="1215"/>
      <c r="CV97" s="1206">
        <f t="shared" si="99"/>
        <v>0.2781616646708089</v>
      </c>
      <c r="CW97" s="1206">
        <f t="shared" si="100"/>
        <v>0.3250780994281772</v>
      </c>
      <c r="CZ97" s="923">
        <v>1997</v>
      </c>
      <c r="DA97" s="1207">
        <v>60.021</v>
      </c>
      <c r="DB97" s="925">
        <f t="shared" si="101"/>
        <v>1396.3734656664</v>
      </c>
      <c r="DR97" s="795">
        <v>1997</v>
      </c>
      <c r="DS97" s="1027">
        <v>1235.2137</v>
      </c>
      <c r="DT97" s="64">
        <v>1656.4</v>
      </c>
      <c r="EL97" s="1184">
        <v>1997</v>
      </c>
      <c r="EM97" s="64">
        <f t="shared" si="97"/>
        <v>1656.4</v>
      </c>
      <c r="EN97" s="64">
        <f t="shared" ref="EN97:EN114" si="104">EM97</f>
        <v>1656.4</v>
      </c>
      <c r="EO97" s="64"/>
      <c r="EP97" s="824">
        <v>2342.5137</v>
      </c>
      <c r="FF97" s="795">
        <v>1997</v>
      </c>
      <c r="FG97" s="1208">
        <v>0.99855</v>
      </c>
      <c r="FH97" s="49"/>
      <c r="FI97" s="49"/>
      <c r="FJ97" s="64"/>
      <c r="GA97" s="1184">
        <v>1997</v>
      </c>
      <c r="GB97" s="1209">
        <v>1202.9</v>
      </c>
      <c r="GC97" s="64">
        <f t="shared" ref="GC97:GC114" si="105">GB97</f>
        <v>1202.9</v>
      </c>
      <c r="GD97" s="64"/>
      <c r="GE97" s="824">
        <f t="shared" si="102"/>
        <v>2342.5137</v>
      </c>
      <c r="GW97" s="1184">
        <v>1999</v>
      </c>
      <c r="GX97" s="1185">
        <v>56.3011</v>
      </c>
      <c r="GY97" s="1186">
        <v>4823.2329</v>
      </c>
      <c r="GZ97" s="20"/>
      <c r="HA97" s="1187"/>
      <c r="HQ97" s="1199">
        <v>1998</v>
      </c>
      <c r="HR97" s="1027">
        <v>1263.047</v>
      </c>
      <c r="HS97" s="1200">
        <v>2.4930511200000005</v>
      </c>
      <c r="HT97" s="48">
        <v>58.437</v>
      </c>
      <c r="HU97" s="796">
        <f t="shared" si="98"/>
        <v>0.8571672725429934</v>
      </c>
      <c r="HV97" s="825"/>
      <c r="IL97" s="1190">
        <f t="shared" si="103"/>
        <v>0.8571672725429934</v>
      </c>
    </row>
    <row r="98" ht="22.75" customHeight="1" spans="8:246" x14ac:dyDescent="0.25">
      <c r="H98" s="187"/>
      <c r="I98" s="15"/>
      <c r="J98" s="15"/>
      <c r="K98" s="15"/>
      <c r="L98" s="682"/>
      <c r="M98" s="682"/>
      <c r="N98" s="682" t="s">
        <v>319</v>
      </c>
      <c r="O98" s="1138" t="s">
        <v>355</v>
      </c>
      <c r="P98" s="1210">
        <f t="shared" ref="P98:AK98" si="106">P34/P29</f>
        <v>0.5033850497134363</v>
      </c>
      <c r="Q98" s="1211">
        <f t="shared" si="106"/>
        <v>0.5074724155594164</v>
      </c>
      <c r="R98" s="1211">
        <f t="shared" si="106"/>
        <v>0.5074724155594164</v>
      </c>
      <c r="S98" s="1211">
        <f t="shared" si="106"/>
        <v>0.508510408361188</v>
      </c>
      <c r="T98" s="1211">
        <f t="shared" si="106"/>
        <v>0.5057231327942382</v>
      </c>
      <c r="U98" s="1211">
        <f t="shared" si="106"/>
        <v>0.5030122907437495</v>
      </c>
      <c r="V98" s="1211">
        <f t="shared" si="106"/>
        <v>0.502064745063566</v>
      </c>
      <c r="W98" s="1211">
        <f t="shared" si="106"/>
        <v>0.5006338966298407</v>
      </c>
      <c r="X98" s="1211">
        <f t="shared" si="106"/>
        <v>0.5020261813046647</v>
      </c>
      <c r="Y98" s="1211">
        <f t="shared" si="106"/>
        <v>0.5057148762579634</v>
      </c>
      <c r="Z98" s="1211">
        <f t="shared" si="106"/>
        <v>0.5024414648424531</v>
      </c>
      <c r="AA98" s="1211">
        <f t="shared" si="106"/>
        <v>0.5056397290721159</v>
      </c>
      <c r="AB98" s="1211">
        <f t="shared" si="106"/>
        <v>0.5070028548191597</v>
      </c>
      <c r="AC98" s="1211">
        <f t="shared" si="106"/>
        <v>0.5060638126378628</v>
      </c>
      <c r="AD98" s="1211">
        <f t="shared" si="106"/>
        <v>0.5087308546862543</v>
      </c>
      <c r="AE98" s="1212">
        <f t="shared" si="106"/>
        <v>0.5110702315687009</v>
      </c>
      <c r="AF98" s="1211">
        <f t="shared" si="106"/>
        <v>0.511070231568701</v>
      </c>
      <c r="AG98" s="1211">
        <f t="shared" si="106"/>
        <v>0.512218903246818</v>
      </c>
      <c r="AH98" s="1211">
        <f t="shared" si="106"/>
        <v>0.5137221170238433</v>
      </c>
      <c r="AI98" s="1211">
        <f t="shared" si="106"/>
        <v>0.5140183182736008</v>
      </c>
      <c r="AJ98" s="1211">
        <f t="shared" si="106"/>
        <v>0.5189421448361783</v>
      </c>
      <c r="AK98" s="1211">
        <f t="shared" si="106"/>
        <v>0.5236956809543979</v>
      </c>
      <c r="AL98" s="1211">
        <f>AL34/AL29</f>
        <v>0.5269484909381239</v>
      </c>
      <c r="AM98" s="1211">
        <f>AM34/AM29</f>
        <v>0.5255639499359915</v>
      </c>
      <c r="AN98" s="682"/>
      <c r="AO98" s="277"/>
      <c r="AQ98" s="1139" t="str">
        <f t="shared" si="95"/>
        <v>aS</v>
      </c>
      <c r="BD98" s="928">
        <v>2020</v>
      </c>
      <c r="BE98" s="958"/>
      <c r="BF98" s="21"/>
      <c r="BG98" s="20"/>
      <c r="BH98" s="1022">
        <f t="shared" ref="BH98:BH113" si="107">BH97+0.001</f>
        <v>0.5275639499359915</v>
      </c>
      <c r="BI98" s="20"/>
      <c r="BJ98" s="438"/>
      <c r="BZ98" s="1009">
        <f t="shared" ref="BZ98:BZ113" si="108">BH98</f>
        <v>0.5275639499359915</v>
      </c>
      <c r="CC98" s="1202">
        <v>1997</v>
      </c>
      <c r="CD98" s="1047">
        <v>0.30377623832039924</v>
      </c>
      <c r="CE98" s="1213"/>
      <c r="CF98" s="1214">
        <v>0.35837570555083637</v>
      </c>
      <c r="CG98" s="1215"/>
      <c r="CV98" s="1206">
        <f t="shared" si="99"/>
        <v>0.30377623832039924</v>
      </c>
      <c r="CW98" s="1206">
        <f t="shared" si="100"/>
        <v>0.35837570555083637</v>
      </c>
      <c r="CZ98" s="923">
        <v>1998</v>
      </c>
      <c r="DA98" s="1207">
        <v>58.437</v>
      </c>
      <c r="DB98" s="925">
        <f t="shared" si="101"/>
        <v>1322.3656719860808</v>
      </c>
      <c r="DR98" s="795">
        <v>1998</v>
      </c>
      <c r="DS98" s="1027">
        <v>1462.284</v>
      </c>
      <c r="DT98" s="64">
        <v>1776</v>
      </c>
      <c r="EG98" s="918"/>
      <c r="EH98" s="919"/>
      <c r="EI98" s="24"/>
      <c r="EL98" s="1184">
        <v>1998</v>
      </c>
      <c r="EM98" s="64">
        <f t="shared" si="97"/>
        <v>1776</v>
      </c>
      <c r="EN98" s="64">
        <f t="shared" si="104"/>
        <v>1776</v>
      </c>
      <c r="EO98" s="64"/>
      <c r="EP98" s="824">
        <v>2629.6229</v>
      </c>
      <c r="FA98" s="918"/>
      <c r="FB98" s="919"/>
      <c r="FF98" s="795">
        <v>1998</v>
      </c>
      <c r="FG98" s="1208">
        <v>0.9645993</v>
      </c>
      <c r="FH98" s="49"/>
      <c r="FI98" s="49"/>
      <c r="FJ98" s="64"/>
      <c r="FU98" s="918"/>
      <c r="FV98" s="919"/>
      <c r="GA98" s="1184">
        <v>1998</v>
      </c>
      <c r="GB98" s="1209">
        <v>1263.047</v>
      </c>
      <c r="GC98" s="64">
        <f t="shared" si="105"/>
        <v>1263.047</v>
      </c>
      <c r="GD98" s="64"/>
      <c r="GE98" s="824">
        <f t="shared" si="102"/>
        <v>2629.6229</v>
      </c>
      <c r="GP98" s="918"/>
      <c r="GQ98" s="919"/>
      <c r="GW98" s="1184">
        <v>2000</v>
      </c>
      <c r="GX98" s="1185">
        <v>79.1165</v>
      </c>
      <c r="GY98" s="1186">
        <v>7305.6466</v>
      </c>
      <c r="GZ98" s="20"/>
      <c r="HA98" s="1187"/>
      <c r="HQ98" s="1199">
        <v>1999</v>
      </c>
      <c r="HR98" s="1027">
        <v>1933.606</v>
      </c>
      <c r="HS98" s="1200">
        <v>3.4030147788000007</v>
      </c>
      <c r="HT98" s="48">
        <v>63.082</v>
      </c>
      <c r="HU98" s="796">
        <f t="shared" si="98"/>
        <v>0.8905613871995075</v>
      </c>
      <c r="HV98" s="825"/>
      <c r="IL98" s="1190">
        <f t="shared" si="103"/>
        <v>0.8905613871995075</v>
      </c>
    </row>
    <row r="99" ht="22.75" customHeight="1" spans="8:246" x14ac:dyDescent="0.25">
      <c r="H99" s="187"/>
      <c r="I99" s="15"/>
      <c r="J99" s="15"/>
      <c r="K99" s="15"/>
      <c r="L99" s="682"/>
      <c r="M99" s="682"/>
      <c r="N99" s="682"/>
      <c r="O99" s="1216"/>
      <c r="P99" s="1140"/>
      <c r="Q99" s="636"/>
      <c r="R99" s="636"/>
      <c r="S99" s="636"/>
      <c r="T99" s="636"/>
      <c r="U99" s="636"/>
      <c r="V99" s="636"/>
      <c r="W99" s="636"/>
      <c r="X99" s="636"/>
      <c r="Y99" s="636"/>
      <c r="Z99" s="636"/>
      <c r="AA99" s="636"/>
      <c r="AB99" s="636"/>
      <c r="AC99" s="636"/>
      <c r="AD99" s="636"/>
      <c r="AE99" s="897"/>
      <c r="AF99" s="636"/>
      <c r="AG99" s="636"/>
      <c r="AH99" s="636"/>
      <c r="AI99" s="636"/>
      <c r="AJ99" s="636"/>
      <c r="AK99" s="682"/>
      <c r="AL99" s="682"/>
      <c r="AM99" s="682"/>
      <c r="AN99" s="682"/>
      <c r="AO99" s="277"/>
      <c r="AQ99" s="1139">
        <f t="shared" si="95"/>
        <v>0</v>
      </c>
      <c r="BD99" s="928">
        <v>2021</v>
      </c>
      <c r="BE99" s="958"/>
      <c r="BF99" s="21"/>
      <c r="BG99" s="20"/>
      <c r="BH99" s="1022">
        <f t="shared" si="107"/>
        <v>0.5285639499359915</v>
      </c>
      <c r="BI99" s="20"/>
      <c r="BJ99" s="438"/>
      <c r="BZ99" s="1009">
        <f t="shared" si="108"/>
        <v>0.5285639499359915</v>
      </c>
      <c r="CC99" s="1202">
        <v>1998</v>
      </c>
      <c r="CD99" s="1047">
        <v>0.26117813318403943</v>
      </c>
      <c r="CE99" s="1213"/>
      <c r="CF99" s="1214">
        <v>0.32023603080122254</v>
      </c>
      <c r="CG99" s="1215"/>
      <c r="CV99" s="1206">
        <f t="shared" si="99"/>
        <v>0.26117813318403943</v>
      </c>
      <c r="CW99" s="1206">
        <f t="shared" si="100"/>
        <v>0.32023603080122254</v>
      </c>
      <c r="CZ99" s="923">
        <v>1999</v>
      </c>
      <c r="DA99" s="1207">
        <v>63.082</v>
      </c>
      <c r="DB99" s="925">
        <f t="shared" si="101"/>
        <v>1406.99707499319</v>
      </c>
      <c r="DR99" s="795">
        <v>1999</v>
      </c>
      <c r="DS99" s="1027">
        <v>2526.1679</v>
      </c>
      <c r="DT99" s="64">
        <v>2908.1</v>
      </c>
      <c r="EG99" s="918"/>
      <c r="EH99" s="919"/>
      <c r="EI99" s="24"/>
      <c r="EL99" s="1184">
        <v>1999</v>
      </c>
      <c r="EM99" s="64">
        <f t="shared" si="97"/>
        <v>2908.1</v>
      </c>
      <c r="EN99" s="64">
        <f t="shared" si="104"/>
        <v>2908.1</v>
      </c>
      <c r="EO99" s="64"/>
      <c r="EP99" s="824">
        <v>4823.2329</v>
      </c>
      <c r="FA99" s="918"/>
      <c r="FB99" s="919"/>
      <c r="FF99" s="795">
        <v>1999</v>
      </c>
      <c r="FG99" s="1208">
        <v>0.9414489168</v>
      </c>
      <c r="FH99" s="44">
        <f>FG99</f>
        <v>0.9414489168</v>
      </c>
      <c r="FI99" s="49"/>
      <c r="FJ99" s="64"/>
      <c r="FU99" s="918"/>
      <c r="FV99" s="919"/>
      <c r="GA99" s="1184">
        <v>1999</v>
      </c>
      <c r="GB99" s="1209">
        <v>1933.606</v>
      </c>
      <c r="GC99" s="64">
        <f t="shared" si="105"/>
        <v>1933.606</v>
      </c>
      <c r="GD99" s="64"/>
      <c r="GE99" s="824">
        <f t="shared" si="102"/>
        <v>4823.2329</v>
      </c>
      <c r="GP99" s="918"/>
      <c r="GQ99" s="919"/>
      <c r="GW99" s="1184">
        <v>2001</v>
      </c>
      <c r="GX99" s="1185">
        <v>98.7819</v>
      </c>
      <c r="GY99" s="1186">
        <v>8943.5826</v>
      </c>
      <c r="GZ99" s="20"/>
      <c r="HA99" s="1187"/>
      <c r="HQ99" s="1199">
        <v>2000</v>
      </c>
      <c r="HR99" s="1027">
        <v>2937.23</v>
      </c>
      <c r="HS99" s="1200">
        <v>4.090423764117601</v>
      </c>
      <c r="HT99" s="48">
        <v>65.07</v>
      </c>
      <c r="HU99" s="796">
        <f t="shared" si="98"/>
        <v>1.0910735084339893</v>
      </c>
      <c r="HV99" s="825"/>
      <c r="IL99" s="1190">
        <f t="shared" si="103"/>
        <v>1.0910735084339893</v>
      </c>
    </row>
    <row r="100" ht="22.75" customHeight="1" spans="8:246" x14ac:dyDescent="0.25">
      <c r="H100" s="187"/>
      <c r="I100" s="1217" t="s">
        <v>988</v>
      </c>
      <c r="J100" s="1217"/>
      <c r="K100" s="15"/>
      <c r="L100" s="1159" t="s">
        <v>292</v>
      </c>
      <c r="M100" s="633"/>
      <c r="N100" s="633"/>
      <c r="O100" s="1218" t="s">
        <v>989</v>
      </c>
      <c r="P100" s="1210">
        <f t="shared" ref="P100:AK100" si="109">P30/P25</f>
        <v>0.5033850497134363</v>
      </c>
      <c r="Q100" s="1211">
        <f t="shared" si="109"/>
        <v>0.4953618002876285</v>
      </c>
      <c r="R100" s="1211">
        <f t="shared" si="109"/>
        <v>0.48426929267941665</v>
      </c>
      <c r="S100" s="1211">
        <f t="shared" si="109"/>
        <v>0.4544735980569671</v>
      </c>
      <c r="T100" s="1211">
        <f t="shared" si="109"/>
        <v>0.45181578644747206</v>
      </c>
      <c r="U100" s="1211">
        <f t="shared" si="109"/>
        <v>0.4542184044051023</v>
      </c>
      <c r="V100" s="1211">
        <f t="shared" si="109"/>
        <v>0.47453367284444886</v>
      </c>
      <c r="W100" s="1211">
        <f t="shared" si="109"/>
        <v>0.4650009877874736</v>
      </c>
      <c r="X100" s="1211">
        <f t="shared" si="109"/>
        <v>0.4687286466539077</v>
      </c>
      <c r="Y100" s="1211">
        <f t="shared" si="109"/>
        <v>0.46217016187985543</v>
      </c>
      <c r="Z100" s="1211">
        <f t="shared" si="109"/>
        <v>0.4612737431649456</v>
      </c>
      <c r="AA100" s="1211">
        <f t="shared" si="109"/>
        <v>0.4634129962414176</v>
      </c>
      <c r="AB100" s="1211">
        <f t="shared" si="109"/>
        <v>0.46816891313324255</v>
      </c>
      <c r="AC100" s="1211">
        <f t="shared" si="109"/>
        <v>0.4687377628534321</v>
      </c>
      <c r="AD100" s="1211">
        <f t="shared" si="109"/>
        <v>0.469065544327923</v>
      </c>
      <c r="AE100" s="1212">
        <f t="shared" si="109"/>
        <v>0.47569154866767077</v>
      </c>
      <c r="AF100" s="1211">
        <f t="shared" si="109"/>
        <v>0.44775372911459155</v>
      </c>
      <c r="AG100" s="1211">
        <f t="shared" si="109"/>
        <v>0.44246702013857986</v>
      </c>
      <c r="AH100" s="1211">
        <f t="shared" si="109"/>
        <v>0.4477540316276978</v>
      </c>
      <c r="AI100" s="1211">
        <f t="shared" si="109"/>
        <v>0.4476723656851211</v>
      </c>
      <c r="AJ100" s="1211">
        <f t="shared" si="109"/>
        <v>0.46190475940081643</v>
      </c>
      <c r="AK100" s="1211">
        <f t="shared" si="109"/>
        <v>0.4703410970580328</v>
      </c>
      <c r="AL100" s="1211">
        <f>AL30/AL25</f>
        <v>0.47453242920013833</v>
      </c>
      <c r="AM100" s="1211">
        <f>AM30/AM25</f>
        <v>0.4716671497708133</v>
      </c>
      <c r="AN100" s="682"/>
      <c r="AO100" s="277"/>
      <c r="AQ100" s="1139" t="str">
        <f t="shared" si="95"/>
        <v>a</v>
      </c>
      <c r="BD100" s="928">
        <v>2022</v>
      </c>
      <c r="BE100" s="958"/>
      <c r="BF100" s="21"/>
      <c r="BG100" s="20"/>
      <c r="BH100" s="1022">
        <f t="shared" si="107"/>
        <v>0.5295639499359915</v>
      </c>
      <c r="BI100" s="20"/>
      <c r="BJ100" s="438"/>
      <c r="BZ100" s="1009">
        <f t="shared" si="108"/>
        <v>0.5295639499359915</v>
      </c>
      <c r="CC100" s="1202">
        <v>1999</v>
      </c>
      <c r="CD100" s="1047">
        <v>0.25161546729373147</v>
      </c>
      <c r="CE100" s="1213"/>
      <c r="CF100" s="1214">
        <v>0.26082091121911194</v>
      </c>
      <c r="CG100" s="1215"/>
      <c r="CV100" s="1206">
        <f t="shared" si="99"/>
        <v>0.25161546729373147</v>
      </c>
      <c r="CW100" s="1206">
        <f t="shared" si="100"/>
        <v>0.26082091121911194</v>
      </c>
      <c r="CZ100" s="923">
        <v>2000</v>
      </c>
      <c r="DA100" s="1207">
        <v>65.07</v>
      </c>
      <c r="DB100" s="925">
        <f t="shared" si="101"/>
        <v>1547.696782492509</v>
      </c>
      <c r="DR100" s="795">
        <v>2000</v>
      </c>
      <c r="DS100" s="1027">
        <v>3295.2373</v>
      </c>
      <c r="DT100" s="64">
        <v>3983.9</v>
      </c>
      <c r="EG100" s="918"/>
      <c r="EH100" s="919"/>
      <c r="EI100" s="24"/>
      <c r="EL100" s="1184">
        <v>2000</v>
      </c>
      <c r="EM100" s="64">
        <f t="shared" si="97"/>
        <v>3983.9</v>
      </c>
      <c r="EN100" s="64">
        <f t="shared" si="104"/>
        <v>3983.9</v>
      </c>
      <c r="EO100" s="64"/>
      <c r="EP100" s="824">
        <v>7305.6466</v>
      </c>
      <c r="FA100" s="918"/>
      <c r="FB100" s="919"/>
      <c r="FF100" s="795">
        <v>2000</v>
      </c>
      <c r="FG100" s="1208">
        <v>0.9969944028911999</v>
      </c>
      <c r="FH100" s="44">
        <f t="shared" ref="FH100:FH108" si="110">FG100</f>
        <v>0.9969944028911999</v>
      </c>
      <c r="FI100" s="49"/>
      <c r="FJ100" s="64"/>
      <c r="FU100" s="918"/>
      <c r="FV100" s="919"/>
      <c r="GA100" s="1184">
        <v>2000</v>
      </c>
      <c r="GB100" s="1209">
        <v>2937.23</v>
      </c>
      <c r="GC100" s="64">
        <f t="shared" si="105"/>
        <v>2937.23</v>
      </c>
      <c r="GD100" s="64"/>
      <c r="GE100" s="824">
        <f t="shared" si="102"/>
        <v>7305.6466</v>
      </c>
      <c r="GP100" s="918"/>
      <c r="GQ100" s="919"/>
      <c r="GW100" s="1184">
        <v>2002</v>
      </c>
      <c r="GX100" s="1185">
        <v>132.516</v>
      </c>
      <c r="GY100" s="1186">
        <v>10819.270899999998</v>
      </c>
      <c r="GZ100" s="20"/>
      <c r="HA100" s="1187"/>
      <c r="HQ100" s="1199">
        <v>2001</v>
      </c>
      <c r="HR100" s="1027">
        <v>3848.4</v>
      </c>
      <c r="HS100" s="1200">
        <v>4.851242584243474</v>
      </c>
      <c r="HT100" s="48">
        <v>65.123</v>
      </c>
      <c r="HU100" s="796">
        <f t="shared" si="98"/>
        <v>1.2043645968535897</v>
      </c>
      <c r="HV100" s="825"/>
      <c r="IL100" s="1190">
        <f t="shared" si="103"/>
        <v>1.2043645968535897</v>
      </c>
    </row>
    <row r="101" ht="22.75" customHeight="1" spans="7:246" x14ac:dyDescent="0.25">
      <c r="G101" s="1219"/>
      <c r="I101" s="1217" t="s">
        <v>990</v>
      </c>
      <c r="J101" s="1217"/>
      <c r="K101" s="15"/>
      <c r="L101" s="1159" t="s">
        <v>292</v>
      </c>
      <c r="M101" s="633"/>
      <c r="N101" s="633"/>
      <c r="O101" s="1220" t="s">
        <v>358</v>
      </c>
      <c r="P101" s="1210">
        <v>1</v>
      </c>
      <c r="Q101" s="1211">
        <f>Q100/Q98</f>
        <v>0.9761354215510657</v>
      </c>
      <c r="R101" s="1211">
        <f t="shared" ref="R101:AM101" si="111">R100/R98</f>
        <v>0.954277075623073</v>
      </c>
      <c r="S101" s="1211">
        <f t="shared" si="111"/>
        <v>0.8937350948658669</v>
      </c>
      <c r="T101" s="1211">
        <f t="shared" si="111"/>
        <v>0.8934054172113594</v>
      </c>
      <c r="U101" s="1211">
        <f t="shared" si="111"/>
        <v>0.9029966320176769</v>
      </c>
      <c r="V101" s="1211">
        <f t="shared" si="111"/>
        <v>0.9451642990474636</v>
      </c>
      <c r="W101" s="1211">
        <f t="shared" si="111"/>
        <v>0.9288244182380775</v>
      </c>
      <c r="X101" s="1211">
        <f t="shared" si="111"/>
        <v>0.9336737088806336</v>
      </c>
      <c r="Y101" s="1211">
        <f t="shared" si="111"/>
        <v>0.913894733134376</v>
      </c>
      <c r="Z101" s="1211">
        <f t="shared" si="111"/>
        <v>0.9180646412405151</v>
      </c>
      <c r="AA101" s="1211">
        <f t="shared" si="111"/>
        <v>0.9164884988207171</v>
      </c>
      <c r="AB101" s="1211">
        <f t="shared" si="111"/>
        <v>0.9234048855607161</v>
      </c>
      <c r="AC101" s="1211">
        <f t="shared" si="111"/>
        <v>0.9262424049056812</v>
      </c>
      <c r="AD101" s="1211">
        <f t="shared" si="111"/>
        <v>0.9220308538533725</v>
      </c>
      <c r="AE101" s="1212">
        <f t="shared" si="111"/>
        <v>0.9307753010923033</v>
      </c>
      <c r="AF101" s="1211">
        <f t="shared" si="111"/>
        <v>0.8761099775665605</v>
      </c>
      <c r="AG101" s="1211">
        <f t="shared" si="111"/>
        <v>0.8638240746952139</v>
      </c>
      <c r="AH101" s="1211">
        <f t="shared" si="111"/>
        <v>0.8715879982385812</v>
      </c>
      <c r="AI101" s="1211">
        <f t="shared" si="111"/>
        <v>0.8709268712225832</v>
      </c>
      <c r="AJ101" s="1211">
        <f t="shared" si="111"/>
        <v>0.8900891245721281</v>
      </c>
      <c r="AK101" s="1211">
        <f t="shared" si="111"/>
        <v>0.8981191065025967</v>
      </c>
      <c r="AL101" s="1211">
        <f t="shared" si="111"/>
        <v>0.9005290599757303</v>
      </c>
      <c r="AM101" s="1211">
        <f t="shared" si="111"/>
        <v>0.8974495869213588</v>
      </c>
      <c r="AN101" s="682"/>
      <c r="AO101" s="277"/>
      <c r="AQ101" s="1221" t="str">
        <f t="shared" si="95"/>
        <v>Ra</v>
      </c>
      <c r="BD101" s="928">
        <v>2023</v>
      </c>
      <c r="BE101" s="958"/>
      <c r="BF101" s="21"/>
      <c r="BG101" s="20"/>
      <c r="BH101" s="1022">
        <f t="shared" si="107"/>
        <v>0.5305639499359915</v>
      </c>
      <c r="BI101" s="20"/>
      <c r="BJ101" s="438"/>
      <c r="BZ101" s="1009">
        <f t="shared" si="108"/>
        <v>0.5305639499359915</v>
      </c>
      <c r="CC101" s="1202">
        <v>2000</v>
      </c>
      <c r="CD101" s="1047">
        <v>0.28713406421821713</v>
      </c>
      <c r="CE101" s="1213"/>
      <c r="CF101" s="1214">
        <v>0.26829931795496376</v>
      </c>
      <c r="CG101" s="1215"/>
      <c r="CV101" s="1206">
        <f t="shared" si="99"/>
        <v>0.28713406421821713</v>
      </c>
      <c r="CW101" s="1206">
        <f t="shared" si="100"/>
        <v>0.26829931795496376</v>
      </c>
      <c r="CZ101" s="923">
        <v>2001</v>
      </c>
      <c r="DA101" s="1207">
        <v>65.123</v>
      </c>
      <c r="DB101" s="925">
        <f t="shared" si="101"/>
        <v>1626.629318399627</v>
      </c>
      <c r="DR101" s="795">
        <v>2001</v>
      </c>
      <c r="DS101" s="1027">
        <v>4318.1211</v>
      </c>
      <c r="DT101" s="64">
        <v>5325.8</v>
      </c>
      <c r="EG101" s="918"/>
      <c r="EH101" s="919"/>
      <c r="EI101" s="24"/>
      <c r="EL101" s="1184">
        <v>2001</v>
      </c>
      <c r="EM101" s="64">
        <f t="shared" si="97"/>
        <v>5325.8</v>
      </c>
      <c r="EN101" s="64">
        <f t="shared" si="104"/>
        <v>5325.8</v>
      </c>
      <c r="EO101" s="64"/>
      <c r="EP101" s="824">
        <v>8943.5826</v>
      </c>
      <c r="FA101" s="918"/>
      <c r="FB101" s="919"/>
      <c r="FF101" s="795">
        <v>2001</v>
      </c>
      <c r="FG101" s="1208">
        <v>1.0787479439282783</v>
      </c>
      <c r="FH101" s="44">
        <f t="shared" si="110"/>
        <v>1.0787479439282783</v>
      </c>
      <c r="FI101" s="49"/>
      <c r="FJ101" s="64"/>
      <c r="FU101" s="918"/>
      <c r="FV101" s="919"/>
      <c r="GA101" s="1184">
        <v>2001</v>
      </c>
      <c r="GB101" s="1209">
        <v>3848.4</v>
      </c>
      <c r="GC101" s="64">
        <f t="shared" si="105"/>
        <v>3848.4</v>
      </c>
      <c r="GD101" s="64"/>
      <c r="GE101" s="824">
        <f t="shared" si="102"/>
        <v>8943.5826</v>
      </c>
      <c r="GP101" s="918"/>
      <c r="GQ101" s="919"/>
      <c r="GW101" s="1184">
        <v>2003</v>
      </c>
      <c r="GX101" s="1185">
        <v>154.9174</v>
      </c>
      <c r="GY101" s="1186">
        <v>13208.250299999998</v>
      </c>
      <c r="GZ101" s="1186">
        <f>GX101</f>
        <v>154.9174</v>
      </c>
      <c r="HA101" s="1222">
        <f>GY101</f>
        <v>13208.250299999998</v>
      </c>
      <c r="HQ101" s="1199">
        <v>2002</v>
      </c>
      <c r="HR101" s="1027">
        <v>5065.1</v>
      </c>
      <c r="HS101" s="1200">
        <v>5.583780214464239</v>
      </c>
      <c r="HT101" s="48">
        <v>66.659</v>
      </c>
      <c r="HU101" s="796">
        <f t="shared" si="98"/>
        <v>1.3454454046567674</v>
      </c>
      <c r="HV101" s="825"/>
      <c r="IL101" s="1190">
        <f t="shared" si="103"/>
        <v>1.3454454046567674</v>
      </c>
    </row>
    <row r="102" ht="22.75" customHeight="1" spans="7:246" x14ac:dyDescent="0.25">
      <c r="G102" s="187"/>
      <c r="I102" s="26"/>
      <c r="J102" s="24"/>
      <c r="L102" s="633"/>
      <c r="M102" s="633"/>
      <c r="N102" s="633"/>
      <c r="O102" s="633"/>
      <c r="P102" s="897">
        <v>1995</v>
      </c>
      <c r="Q102" s="897">
        <v>1996</v>
      </c>
      <c r="R102" s="897">
        <v>1997</v>
      </c>
      <c r="S102" s="897">
        <v>1998</v>
      </c>
      <c r="T102" s="897">
        <v>1999</v>
      </c>
      <c r="U102" s="897">
        <v>2000</v>
      </c>
      <c r="V102" s="897">
        <v>2001</v>
      </c>
      <c r="W102" s="897">
        <v>2002</v>
      </c>
      <c r="X102" s="897">
        <v>2003</v>
      </c>
      <c r="Y102" s="897">
        <v>2004</v>
      </c>
      <c r="Z102" s="897">
        <v>2005</v>
      </c>
      <c r="AA102" s="897">
        <v>2006</v>
      </c>
      <c r="AB102" s="897">
        <v>2007</v>
      </c>
      <c r="AC102" s="897">
        <v>2008</v>
      </c>
      <c r="AD102" s="897">
        <v>2009</v>
      </c>
      <c r="AE102" s="897">
        <v>2010</v>
      </c>
      <c r="AF102" s="897">
        <v>2011</v>
      </c>
      <c r="AG102" s="897">
        <v>2012</v>
      </c>
      <c r="AH102" s="897">
        <v>2013</v>
      </c>
      <c r="AI102" s="897">
        <v>2014</v>
      </c>
      <c r="AJ102" s="897">
        <v>2015</v>
      </c>
      <c r="AK102" s="897">
        <v>2016</v>
      </c>
      <c r="AL102" s="897">
        <v>2017</v>
      </c>
      <c r="AM102" s="897">
        <v>2018</v>
      </c>
      <c r="AN102" s="897">
        <v>2019</v>
      </c>
      <c r="AO102" s="897">
        <v>2020</v>
      </c>
      <c r="AP102" s="897">
        <v>2021</v>
      </c>
      <c r="AQ102" s="1223"/>
      <c r="BD102" s="928">
        <v>2024</v>
      </c>
      <c r="BE102" s="958"/>
      <c r="BF102" s="21"/>
      <c r="BG102" s="20"/>
      <c r="BH102" s="1022">
        <f t="shared" si="107"/>
        <v>0.5315639499359915</v>
      </c>
      <c r="BI102" s="20"/>
      <c r="BJ102" s="438"/>
      <c r="BZ102" s="1009">
        <f t="shared" si="108"/>
        <v>0.5315639499359915</v>
      </c>
      <c r="CC102" s="1202">
        <v>2001</v>
      </c>
      <c r="CD102" s="1047">
        <v>0.3000699071085897</v>
      </c>
      <c r="CE102" s="1213"/>
      <c r="CF102" s="1214">
        <v>0.27051799130250104</v>
      </c>
      <c r="CG102" s="1215"/>
      <c r="CV102" s="1206">
        <f t="shared" si="99"/>
        <v>0.3000699071085897</v>
      </c>
      <c r="CW102" s="1206">
        <f t="shared" si="100"/>
        <v>0.27051799130250104</v>
      </c>
      <c r="CZ102" s="923">
        <v>2002</v>
      </c>
      <c r="DA102" s="1207">
        <v>66.659</v>
      </c>
      <c r="DB102" s="925">
        <f t="shared" si="101"/>
        <v>1703.0808963644092</v>
      </c>
      <c r="DR102" s="795">
        <v>2002</v>
      </c>
      <c r="DS102" s="1027">
        <v>5409.1577</v>
      </c>
      <c r="DT102" s="64">
        <v>6831</v>
      </c>
      <c r="EG102" s="918"/>
      <c r="EH102" s="919"/>
      <c r="EI102" s="24"/>
      <c r="EL102" s="1184">
        <v>2002</v>
      </c>
      <c r="EM102" s="64">
        <f t="shared" si="97"/>
        <v>6831</v>
      </c>
      <c r="EN102" s="64">
        <f t="shared" si="104"/>
        <v>6831</v>
      </c>
      <c r="EO102" s="64"/>
      <c r="EP102" s="824">
        <v>10819.270899999998</v>
      </c>
      <c r="FA102" s="918"/>
      <c r="FB102" s="919"/>
      <c r="FF102" s="795">
        <v>2002</v>
      </c>
      <c r="FG102" s="1208">
        <v>1.1618115356107557</v>
      </c>
      <c r="FH102" s="44">
        <f t="shared" si="110"/>
        <v>1.1618115356107557</v>
      </c>
      <c r="FI102" s="49"/>
      <c r="FJ102" s="64"/>
      <c r="FU102" s="918"/>
      <c r="FV102" s="919"/>
      <c r="GA102" s="1184">
        <v>2002</v>
      </c>
      <c r="GB102" s="1209">
        <v>5065.1</v>
      </c>
      <c r="GC102" s="64">
        <f t="shared" si="105"/>
        <v>5065.1</v>
      </c>
      <c r="GD102" s="64"/>
      <c r="GE102" s="824">
        <f t="shared" si="102"/>
        <v>10819.270899999998</v>
      </c>
      <c r="GP102" s="918"/>
      <c r="GQ102" s="919"/>
      <c r="GW102" s="1184">
        <v>2004</v>
      </c>
      <c r="GX102" s="1185">
        <v>149.551</v>
      </c>
      <c r="GY102" s="1186">
        <v>17027.166999999998</v>
      </c>
      <c r="GZ102" s="1186">
        <f t="shared" ref="GZ102:GZ114" si="112">GX102</f>
        <v>149.551</v>
      </c>
      <c r="HA102" s="1222">
        <f t="shared" ref="HA102:HA114" si="113">GY102</f>
        <v>17027.166999999998</v>
      </c>
      <c r="HQ102" s="1199">
        <v>2003</v>
      </c>
      <c r="HR102" s="1027">
        <v>6231.387</v>
      </c>
      <c r="HS102" s="1200">
        <v>6.253833840199949</v>
      </c>
      <c r="HT102" s="48">
        <v>66.339</v>
      </c>
      <c r="HU102" s="796">
        <f t="shared" si="98"/>
        <v>1.4850279596592788</v>
      </c>
      <c r="HV102" s="825"/>
      <c r="IL102" s="1190">
        <f t="shared" si="103"/>
        <v>1.4850279596592788</v>
      </c>
    </row>
    <row r="103" ht="22.75" customHeight="1" spans="7:246" x14ac:dyDescent="0.25">
      <c r="G103" s="187"/>
      <c r="I103" s="26"/>
      <c r="J103" s="187"/>
      <c r="BD103" s="928">
        <v>2025</v>
      </c>
      <c r="BE103" s="958"/>
      <c r="BF103" s="21"/>
      <c r="BG103" s="20"/>
      <c r="BH103" s="1022">
        <f t="shared" si="107"/>
        <v>0.5325639499359915</v>
      </c>
      <c r="BI103" s="20"/>
      <c r="BJ103" s="438"/>
      <c r="BZ103" s="1009">
        <f t="shared" si="108"/>
        <v>0.5325639499359915</v>
      </c>
      <c r="CC103" s="1202">
        <v>2002</v>
      </c>
      <c r="CD103" s="1047">
        <v>0.3252732179033034</v>
      </c>
      <c r="CE103" s="1213"/>
      <c r="CF103" s="1214">
        <v>0.31631692817415186</v>
      </c>
      <c r="CG103" s="1215"/>
      <c r="CV103" s="1206">
        <f t="shared" si="99"/>
        <v>0.3252732179033034</v>
      </c>
      <c r="CW103" s="1206">
        <f t="shared" si="100"/>
        <v>0.31631692817415186</v>
      </c>
      <c r="CZ103" s="923">
        <v>2003</v>
      </c>
      <c r="DA103" s="1207">
        <v>66.339</v>
      </c>
      <c r="DB103" s="925">
        <f t="shared" si="101"/>
        <v>1827.405801799011</v>
      </c>
      <c r="DR103" s="795">
        <v>2003</v>
      </c>
      <c r="DS103" s="1027">
        <v>6537.4015</v>
      </c>
      <c r="DT103" s="64">
        <v>8900.5</v>
      </c>
      <c r="EG103" s="918"/>
      <c r="EH103" s="919"/>
      <c r="EI103" s="24"/>
      <c r="EL103" s="1184">
        <v>2003</v>
      </c>
      <c r="EM103" s="64">
        <f t="shared" si="97"/>
        <v>8900.5</v>
      </c>
      <c r="EN103" s="64">
        <f t="shared" si="104"/>
        <v>8900.5</v>
      </c>
      <c r="EO103" s="64"/>
      <c r="EP103" s="824">
        <v>13208.250299999998</v>
      </c>
      <c r="FA103" s="918"/>
      <c r="FB103" s="919"/>
      <c r="FF103" s="795">
        <v>2003</v>
      </c>
      <c r="FG103" s="1208">
        <v>1.2512710238527838</v>
      </c>
      <c r="FH103" s="44">
        <f t="shared" si="110"/>
        <v>1.2512710238527838</v>
      </c>
      <c r="FI103" s="49"/>
      <c r="FJ103" s="64"/>
      <c r="FU103" s="918"/>
      <c r="FV103" s="919"/>
      <c r="GA103" s="1184">
        <v>2003</v>
      </c>
      <c r="GB103" s="1209">
        <v>6231.387</v>
      </c>
      <c r="GC103" s="64">
        <f t="shared" si="105"/>
        <v>6231.387</v>
      </c>
      <c r="GD103" s="64"/>
      <c r="GE103" s="824">
        <f t="shared" si="102"/>
        <v>13208.250299999998</v>
      </c>
      <c r="GP103" s="918"/>
      <c r="GQ103" s="919"/>
      <c r="GW103" s="1184">
        <v>2005</v>
      </c>
      <c r="GX103" s="1185">
        <v>139.3729</v>
      </c>
      <c r="GY103" s="1186">
        <v>21609.765799999997</v>
      </c>
      <c r="GZ103" s="1186">
        <f t="shared" si="112"/>
        <v>139.3729</v>
      </c>
      <c r="HA103" s="1222">
        <f t="shared" si="113"/>
        <v>21609.765799999997</v>
      </c>
      <c r="HQ103" s="1199">
        <v>2004</v>
      </c>
      <c r="HR103" s="1027">
        <v>7845.037</v>
      </c>
      <c r="HS103" s="1200">
        <v>6.9855323995033425</v>
      </c>
      <c r="HT103" s="48">
        <v>67.319</v>
      </c>
      <c r="HU103" s="796">
        <f t="shared" si="98"/>
        <v>1.6493886216432383</v>
      </c>
      <c r="HV103" s="825"/>
      <c r="IL103" s="1190">
        <f t="shared" si="103"/>
        <v>1.6493886216432383</v>
      </c>
    </row>
    <row r="104" ht="22.75" customHeight="1" spans="7:246" x14ac:dyDescent="0.25">
      <c r="G104" s="187"/>
      <c r="BD104" s="928">
        <v>2026</v>
      </c>
      <c r="BE104" s="958"/>
      <c r="BF104" s="21"/>
      <c r="BG104" s="20"/>
      <c r="BH104" s="1022">
        <f t="shared" si="107"/>
        <v>0.5335639499359915</v>
      </c>
      <c r="BI104" s="20"/>
      <c r="BJ104" s="438"/>
      <c r="BZ104" s="1009">
        <f t="shared" si="108"/>
        <v>0.5335639499359915</v>
      </c>
      <c r="CC104" s="1202">
        <v>2003</v>
      </c>
      <c r="CD104" s="1047">
        <v>0.31334242432928466</v>
      </c>
      <c r="CE104" s="1213"/>
      <c r="CF104" s="1214">
        <v>0.3001839655503373</v>
      </c>
      <c r="CG104" s="1215"/>
      <c r="CV104" s="1206">
        <f t="shared" si="99"/>
        <v>0.31334242432928466</v>
      </c>
      <c r="CW104" s="1206">
        <f t="shared" si="100"/>
        <v>0.3001839655503373</v>
      </c>
      <c r="CZ104" s="923">
        <v>2004</v>
      </c>
      <c r="DA104" s="1207">
        <v>67.319</v>
      </c>
      <c r="DB104" s="925">
        <f t="shared" si="101"/>
        <v>1958.97901952854</v>
      </c>
      <c r="DE104" s="937" t="s">
        <v>816</v>
      </c>
      <c r="DR104" s="795">
        <v>2004</v>
      </c>
      <c r="DS104" s="1027">
        <v>8438.4841</v>
      </c>
      <c r="DT104" s="64">
        <v>10976.3</v>
      </c>
      <c r="EG104" s="918"/>
      <c r="EH104" s="919"/>
      <c r="EI104" s="24"/>
      <c r="EL104" s="1184">
        <v>2004</v>
      </c>
      <c r="EM104" s="64">
        <f t="shared" si="97"/>
        <v>10976.3</v>
      </c>
      <c r="EN104" s="64">
        <f t="shared" si="104"/>
        <v>10976.3</v>
      </c>
      <c r="EO104" s="64"/>
      <c r="EP104" s="824">
        <v>17027.166999999998</v>
      </c>
      <c r="FA104" s="918"/>
      <c r="FB104" s="919"/>
      <c r="FF104" s="795">
        <v>2004</v>
      </c>
      <c r="FG104" s="1208">
        <v>1.4076799018343817</v>
      </c>
      <c r="FH104" s="44">
        <f t="shared" si="110"/>
        <v>1.4076799018343817</v>
      </c>
      <c r="FI104" s="49"/>
      <c r="FJ104" s="64"/>
      <c r="FU104" s="918"/>
      <c r="FV104" s="919"/>
      <c r="GA104" s="1184">
        <v>2004</v>
      </c>
      <c r="GB104" s="1209">
        <v>7845.037</v>
      </c>
      <c r="GC104" s="64">
        <f t="shared" si="105"/>
        <v>7845.037</v>
      </c>
      <c r="GD104" s="64"/>
      <c r="GE104" s="824">
        <f t="shared" si="102"/>
        <v>17027.166999999998</v>
      </c>
      <c r="GP104" s="918"/>
      <c r="GQ104" s="919"/>
      <c r="GW104" s="1184">
        <v>2006</v>
      </c>
      <c r="GX104" s="1185">
        <v>154.5876</v>
      </c>
      <c r="GY104" s="1186">
        <v>26917.2037</v>
      </c>
      <c r="GZ104" s="1186">
        <f t="shared" si="112"/>
        <v>154.5876</v>
      </c>
      <c r="HA104" s="1222">
        <f t="shared" si="113"/>
        <v>26917.2037</v>
      </c>
      <c r="HQ104" s="1199">
        <v>2005</v>
      </c>
      <c r="HR104" s="1027">
        <v>9439.827</v>
      </c>
      <c r="HS104" s="1200">
        <v>7.746955431049207</v>
      </c>
      <c r="HT104" s="48">
        <v>68.339</v>
      </c>
      <c r="HU104" s="796">
        <f t="shared" si="98"/>
        <v>1.7629074929087367</v>
      </c>
      <c r="HV104" s="825"/>
      <c r="IL104" s="1190">
        <f t="shared" si="103"/>
        <v>1.7629074929087367</v>
      </c>
    </row>
    <row r="105" ht="22.75" customHeight="1" spans="7:246" x14ac:dyDescent="0.25">
      <c r="G105" s="187"/>
      <c r="BD105" s="928">
        <v>2027</v>
      </c>
      <c r="BE105" s="958"/>
      <c r="BF105" s="21"/>
      <c r="BG105" s="20"/>
      <c r="BH105" s="1022">
        <f t="shared" si="107"/>
        <v>0.5345639499359915</v>
      </c>
      <c r="BI105" s="20"/>
      <c r="BJ105" s="438"/>
      <c r="BZ105" s="1009">
        <f t="shared" si="108"/>
        <v>0.5345639499359915</v>
      </c>
      <c r="CC105" s="1202">
        <v>2004</v>
      </c>
      <c r="CD105" s="1047">
        <v>0.3188958197444065</v>
      </c>
      <c r="CE105" s="1224"/>
      <c r="CF105" s="1214">
        <v>0.27424958276588063</v>
      </c>
      <c r="CG105" s="1215"/>
      <c r="CV105" s="1206">
        <f t="shared" si="99"/>
        <v>0.3188958197444065</v>
      </c>
      <c r="CW105" s="1206">
        <f t="shared" si="100"/>
        <v>0.27424958276588063</v>
      </c>
      <c r="CZ105" s="923">
        <v>2005</v>
      </c>
      <c r="DA105" s="1207">
        <v>68.339</v>
      </c>
      <c r="DB105" s="925">
        <f t="shared" si="101"/>
        <v>2084.3536767783667</v>
      </c>
      <c r="DR105" s="795">
        <v>2005</v>
      </c>
      <c r="DS105" s="1027">
        <v>10652.8578</v>
      </c>
      <c r="DT105" s="64">
        <v>13819</v>
      </c>
      <c r="EG105" s="918"/>
      <c r="EH105" s="919"/>
      <c r="EI105" s="24"/>
      <c r="EL105" s="1184">
        <v>2005</v>
      </c>
      <c r="EM105" s="64">
        <f t="shared" si="97"/>
        <v>13819</v>
      </c>
      <c r="EN105" s="64">
        <f t="shared" si="104"/>
        <v>13819</v>
      </c>
      <c r="EO105" s="64"/>
      <c r="EP105" s="824">
        <v>21609.765799999997</v>
      </c>
      <c r="FA105" s="918"/>
      <c r="FB105" s="919"/>
      <c r="FF105" s="795">
        <v>2005</v>
      </c>
      <c r="FG105" s="1208">
        <v>1.5794168498581764</v>
      </c>
      <c r="FH105" s="44">
        <f t="shared" si="110"/>
        <v>1.5794168498581764</v>
      </c>
      <c r="FI105" s="49"/>
      <c r="FJ105" s="64"/>
      <c r="FU105" s="918"/>
      <c r="FV105" s="919"/>
      <c r="GA105" s="1184">
        <v>2005</v>
      </c>
      <c r="GB105" s="1209">
        <v>9439.827</v>
      </c>
      <c r="GC105" s="64">
        <f t="shared" si="105"/>
        <v>9439.827</v>
      </c>
      <c r="GD105" s="64"/>
      <c r="GE105" s="824">
        <f t="shared" si="102"/>
        <v>21609.765799999997</v>
      </c>
      <c r="GP105" s="918"/>
      <c r="GQ105" s="919"/>
      <c r="GW105" s="1184">
        <v>2007</v>
      </c>
      <c r="GX105" s="1185">
        <v>185.8756</v>
      </c>
      <c r="GY105" s="1186">
        <v>33247.5132</v>
      </c>
      <c r="GZ105" s="1186">
        <f t="shared" si="112"/>
        <v>185.8756</v>
      </c>
      <c r="HA105" s="1222">
        <f t="shared" si="113"/>
        <v>33247.5132</v>
      </c>
      <c r="HQ105" s="1199">
        <v>2006</v>
      </c>
      <c r="HR105" s="1027">
        <v>11985.905</v>
      </c>
      <c r="HS105" s="1200">
        <v>8.444181419843636</v>
      </c>
      <c r="HT105" s="48">
        <v>69.169</v>
      </c>
      <c r="HU105" s="796">
        <f t="shared" si="98"/>
        <v>2.0289294415498413</v>
      </c>
      <c r="HV105" s="825"/>
      <c r="IL105" s="1190">
        <f t="shared" si="103"/>
        <v>2.0289294415498413</v>
      </c>
    </row>
    <row r="106" ht="22.75" customHeight="1" spans="56:246" x14ac:dyDescent="0.25">
      <c r="BD106" s="928">
        <v>2028</v>
      </c>
      <c r="BE106" s="958"/>
      <c r="BF106" s="21"/>
      <c r="BG106" s="20"/>
      <c r="BH106" s="1022">
        <f t="shared" si="107"/>
        <v>0.5355639499359915</v>
      </c>
      <c r="BI106" s="20"/>
      <c r="BJ106" s="438"/>
      <c r="BZ106" s="1009">
        <f t="shared" si="108"/>
        <v>0.5355639499359915</v>
      </c>
      <c r="CC106" s="1202">
        <v>2005</v>
      </c>
      <c r="CD106" s="1047">
        <v>0.39702420648664605</v>
      </c>
      <c r="CE106" s="1224"/>
      <c r="CF106" s="1214">
        <v>0.3156258220386519</v>
      </c>
      <c r="CG106" s="1215"/>
      <c r="CV106" s="1206">
        <f t="shared" si="99"/>
        <v>0.39702420648664605</v>
      </c>
      <c r="CW106" s="1206">
        <f t="shared" si="100"/>
        <v>0.3156258220386519</v>
      </c>
      <c r="CZ106" s="923">
        <v>2006</v>
      </c>
      <c r="DA106" s="1207">
        <v>69.169</v>
      </c>
      <c r="DB106" s="925">
        <f t="shared" si="101"/>
        <v>2255.270678274193</v>
      </c>
      <c r="DR106" s="795">
        <v>2006</v>
      </c>
      <c r="DS106" s="1027">
        <v>12974.7434</v>
      </c>
      <c r="DT106" s="64">
        <v>17290.1</v>
      </c>
      <c r="EG106" s="918"/>
      <c r="EH106" s="919"/>
      <c r="EI106" s="24"/>
      <c r="EL106" s="1184">
        <v>2006</v>
      </c>
      <c r="EM106" s="64">
        <f t="shared" si="97"/>
        <v>17290.1</v>
      </c>
      <c r="EN106" s="64">
        <f t="shared" si="104"/>
        <v>17290.1</v>
      </c>
      <c r="EO106" s="64"/>
      <c r="EP106" s="824">
        <v>26917.2037</v>
      </c>
      <c r="FA106" s="918"/>
      <c r="FB106" s="919"/>
      <c r="FF106" s="795">
        <v>2006</v>
      </c>
      <c r="FG106" s="1208">
        <v>1.7721057055408742</v>
      </c>
      <c r="FH106" s="44">
        <f t="shared" si="110"/>
        <v>1.7721057055408742</v>
      </c>
      <c r="FI106" s="49"/>
      <c r="FJ106" s="64"/>
      <c r="FU106" s="918"/>
      <c r="FV106" s="919"/>
      <c r="GA106" s="1184">
        <v>2006</v>
      </c>
      <c r="GB106" s="1209">
        <v>11985.905</v>
      </c>
      <c r="GC106" s="64">
        <f t="shared" si="105"/>
        <v>11985.905</v>
      </c>
      <c r="GD106" s="64"/>
      <c r="GE106" s="824">
        <f t="shared" si="102"/>
        <v>26917.2037</v>
      </c>
      <c r="GP106" s="918"/>
      <c r="GQ106" s="919"/>
      <c r="GW106" s="1184">
        <v>2008</v>
      </c>
      <c r="GX106" s="1185">
        <v>216.7125</v>
      </c>
      <c r="GY106" s="1186">
        <v>41276.8492</v>
      </c>
      <c r="GZ106" s="1186">
        <f t="shared" si="112"/>
        <v>216.7125</v>
      </c>
      <c r="HA106" s="1222">
        <f t="shared" si="113"/>
        <v>41276.8492</v>
      </c>
      <c r="HQ106" s="1199">
        <v>2007</v>
      </c>
      <c r="HR106" s="1027">
        <v>15526.11</v>
      </c>
      <c r="HS106" s="1200">
        <v>9.446505754379075</v>
      </c>
      <c r="HT106" s="48">
        <v>70.77</v>
      </c>
      <c r="HU106" s="796">
        <f t="shared" si="98"/>
        <v>2.29618795817524</v>
      </c>
      <c r="HV106" s="825"/>
      <c r="IL106" s="1190">
        <f t="shared" si="103"/>
        <v>2.29618795817524</v>
      </c>
    </row>
    <row r="107" ht="22.75" customHeight="1" spans="56:246" x14ac:dyDescent="0.25">
      <c r="BD107" s="928">
        <v>2029</v>
      </c>
      <c r="BE107" s="958"/>
      <c r="BF107" s="21"/>
      <c r="BG107" s="20"/>
      <c r="BH107" s="1022">
        <f t="shared" si="107"/>
        <v>0.5365639499359915</v>
      </c>
      <c r="BI107" s="20"/>
      <c r="BJ107" s="438"/>
      <c r="BZ107" s="1009">
        <f t="shared" si="108"/>
        <v>0.5365639499359915</v>
      </c>
      <c r="CC107" s="1202">
        <v>2006</v>
      </c>
      <c r="CD107" s="1047">
        <v>0.3947587210905216</v>
      </c>
      <c r="CE107" s="1214"/>
      <c r="CF107" s="1214">
        <v>0.3111467598559485</v>
      </c>
      <c r="CG107" s="1215"/>
      <c r="CV107" s="1206">
        <f t="shared" si="99"/>
        <v>0.3947587210905216</v>
      </c>
      <c r="CW107" s="1206">
        <f t="shared" si="100"/>
        <v>0.3111467598559485</v>
      </c>
      <c r="CZ107" s="923">
        <v>2007</v>
      </c>
      <c r="DA107" s="1207">
        <v>70.77</v>
      </c>
      <c r="DB107" s="925">
        <f t="shared" si="101"/>
        <v>2446.9686859274993</v>
      </c>
      <c r="DR107" s="795">
        <v>2007</v>
      </c>
      <c r="DS107" s="1027">
        <v>16031.7398</v>
      </c>
      <c r="DT107" s="64">
        <v>21311.5</v>
      </c>
      <c r="EG107" s="918"/>
      <c r="EH107" s="919"/>
      <c r="EI107" s="24"/>
      <c r="EL107" s="1184">
        <v>2007</v>
      </c>
      <c r="EM107" s="64">
        <f t="shared" si="97"/>
        <v>21311.5</v>
      </c>
      <c r="EN107" s="64">
        <f t="shared" si="104"/>
        <v>21311.5</v>
      </c>
      <c r="EO107" s="64"/>
      <c r="EP107" s="824">
        <v>33247.5132</v>
      </c>
      <c r="FA107" s="918"/>
      <c r="FB107" s="919"/>
      <c r="FF107" s="795">
        <v>2007</v>
      </c>
      <c r="FG107" s="1208">
        <v>2.0255168214332193</v>
      </c>
      <c r="FH107" s="44">
        <f t="shared" si="110"/>
        <v>2.0255168214332193</v>
      </c>
      <c r="FI107" s="49"/>
      <c r="FJ107" s="64"/>
      <c r="FU107" s="918"/>
      <c r="FV107" s="919"/>
      <c r="GA107" s="1184">
        <v>2007</v>
      </c>
      <c r="GB107" s="1209">
        <v>15526.11</v>
      </c>
      <c r="GC107" s="64">
        <f t="shared" si="105"/>
        <v>15526.11</v>
      </c>
      <c r="GD107" s="64"/>
      <c r="GE107" s="824">
        <f t="shared" si="102"/>
        <v>33247.5132</v>
      </c>
      <c r="GP107" s="918"/>
      <c r="GQ107" s="919"/>
      <c r="GW107" s="1184">
        <v>2009</v>
      </c>
      <c r="GX107" s="1185">
        <v>216.9964</v>
      </c>
      <c r="GY107" s="1186">
        <v>38807.270899999996</v>
      </c>
      <c r="GZ107" s="1186">
        <f t="shared" si="112"/>
        <v>216.9964</v>
      </c>
      <c r="HA107" s="1222">
        <f t="shared" si="113"/>
        <v>38807.270899999996</v>
      </c>
      <c r="HQ107" s="1199">
        <v>2008</v>
      </c>
      <c r="HR107" s="1027">
        <v>19559.76</v>
      </c>
      <c r="HS107" s="1200">
        <v>10.701001718560617</v>
      </c>
      <c r="HT107" s="48">
        <v>71.003</v>
      </c>
      <c r="HU107" s="796">
        <f t="shared" si="98"/>
        <v>2.5452330528232636</v>
      </c>
      <c r="HV107" s="825"/>
      <c r="IL107" s="1190">
        <f t="shared" si="103"/>
        <v>2.5452330528232636</v>
      </c>
    </row>
    <row r="108" ht="22.75" customHeight="1" spans="56:246" x14ac:dyDescent="0.25">
      <c r="BD108" s="928">
        <v>2030</v>
      </c>
      <c r="BE108" s="958"/>
      <c r="BF108" s="21"/>
      <c r="BG108" s="20"/>
      <c r="BH108" s="1022">
        <f t="shared" si="107"/>
        <v>0.5375639499359915</v>
      </c>
      <c r="BI108" s="20"/>
      <c r="BJ108" s="438"/>
      <c r="BZ108" s="1009">
        <f t="shared" si="108"/>
        <v>0.5375639499359915</v>
      </c>
      <c r="CC108" s="1202">
        <v>2007</v>
      </c>
      <c r="CD108" s="1047">
        <v>0.40208306466662297</v>
      </c>
      <c r="CE108" s="1214"/>
      <c r="CF108" s="1214">
        <v>0.34223846853003126</v>
      </c>
      <c r="CG108" s="1225"/>
      <c r="CV108" s="1206">
        <f t="shared" si="99"/>
        <v>0.40208306466662297</v>
      </c>
      <c r="CW108" s="1206">
        <f t="shared" si="100"/>
        <v>0.34223846853003126</v>
      </c>
      <c r="CZ108" s="923">
        <v>2008</v>
      </c>
      <c r="DA108" s="1207">
        <v>71.003</v>
      </c>
      <c r="DB108" s="925">
        <f t="shared" si="101"/>
        <v>2574.2110575957295</v>
      </c>
      <c r="DR108" s="795">
        <v>2008</v>
      </c>
      <c r="DS108" s="1027">
        <v>19966.9547</v>
      </c>
      <c r="DT108" s="64">
        <v>25244</v>
      </c>
      <c r="EG108" s="918"/>
      <c r="EH108" s="919"/>
      <c r="EI108" s="24"/>
      <c r="EL108" s="1184">
        <v>2008</v>
      </c>
      <c r="EM108" s="64">
        <f t="shared" si="97"/>
        <v>25244</v>
      </c>
      <c r="EN108" s="64">
        <f t="shared" si="104"/>
        <v>25244</v>
      </c>
      <c r="EO108" s="64"/>
      <c r="EP108" s="824">
        <v>41276.8492</v>
      </c>
      <c r="FA108" s="918"/>
      <c r="FB108" s="919"/>
      <c r="FF108" s="795">
        <v>2008</v>
      </c>
      <c r="FG108" s="1208">
        <v>2.2402216045051406</v>
      </c>
      <c r="FH108" s="44">
        <f t="shared" si="110"/>
        <v>2.2402216045051406</v>
      </c>
      <c r="FI108" s="49"/>
      <c r="FJ108" s="64"/>
      <c r="FU108" s="918"/>
      <c r="FV108" s="919"/>
      <c r="GA108" s="1184">
        <v>2008</v>
      </c>
      <c r="GB108" s="1209">
        <v>19559.76</v>
      </c>
      <c r="GC108" s="64">
        <f t="shared" si="105"/>
        <v>19559.76</v>
      </c>
      <c r="GD108" s="64"/>
      <c r="GE108" s="824">
        <f t="shared" si="102"/>
        <v>41276.8492</v>
      </c>
      <c r="GP108" s="918"/>
      <c r="GQ108" s="919"/>
      <c r="GW108" s="1184">
        <v>2010</v>
      </c>
      <c r="GX108" s="1185">
        <v>225.726</v>
      </c>
      <c r="GY108" s="1186">
        <v>46308.53100000001</v>
      </c>
      <c r="GZ108" s="1186">
        <f t="shared" si="112"/>
        <v>225.726</v>
      </c>
      <c r="HA108" s="1222">
        <f t="shared" si="113"/>
        <v>46308.53100000001</v>
      </c>
      <c r="HQ108" s="1199">
        <v>2009</v>
      </c>
      <c r="HR108" s="1027">
        <v>20411.61</v>
      </c>
      <c r="HS108" s="1200">
        <v>11.642689869793951</v>
      </c>
      <c r="HT108" s="48">
        <v>69.41</v>
      </c>
      <c r="HU108" s="796">
        <f t="shared" si="98"/>
        <v>2.497278933559335</v>
      </c>
      <c r="HV108" s="825"/>
      <c r="IL108" s="1190">
        <f t="shared" si="103"/>
        <v>2.497278933559335</v>
      </c>
    </row>
    <row r="109" ht="22.75" customHeight="1" spans="9:246" x14ac:dyDescent="0.25">
      <c r="I109" s="26"/>
      <c r="J109" s="187"/>
      <c r="BD109" s="928">
        <v>2031</v>
      </c>
      <c r="BE109" s="958"/>
      <c r="BF109" s="21"/>
      <c r="BG109" s="20"/>
      <c r="BH109" s="1022">
        <f t="shared" si="107"/>
        <v>0.5385639499359915</v>
      </c>
      <c r="BI109" s="20"/>
      <c r="BJ109" s="438"/>
      <c r="BZ109" s="1009">
        <f t="shared" si="108"/>
        <v>0.5385639499359915</v>
      </c>
      <c r="CC109" s="1202">
        <v>2008</v>
      </c>
      <c r="CD109" s="1047">
        <v>0.3877200006826103</v>
      </c>
      <c r="CE109" s="1214"/>
      <c r="CF109" s="1214">
        <v>0.33897422577496544</v>
      </c>
      <c r="CG109" s="1225"/>
      <c r="CV109" s="1206">
        <f t="shared" si="99"/>
        <v>0.3877200006826103</v>
      </c>
      <c r="CW109" s="1206">
        <f t="shared" si="100"/>
        <v>0.33897422577496544</v>
      </c>
      <c r="CZ109" s="923">
        <v>2009</v>
      </c>
      <c r="DA109" s="1207">
        <v>69.41</v>
      </c>
      <c r="DB109" s="925">
        <f t="shared" si="101"/>
        <v>2370.848384045667</v>
      </c>
      <c r="DR109" s="795">
        <v>2009</v>
      </c>
      <c r="DS109" s="1027">
        <v>20986.036</v>
      </c>
      <c r="DT109" s="64">
        <v>28697.5</v>
      </c>
      <c r="EG109" s="918"/>
      <c r="EH109" s="919"/>
      <c r="EI109" s="24"/>
      <c r="EL109" s="1184">
        <v>2009</v>
      </c>
      <c r="EM109" s="64">
        <f t="shared" si="97"/>
        <v>28697.5</v>
      </c>
      <c r="EN109" s="64">
        <f t="shared" si="104"/>
        <v>28697.5</v>
      </c>
      <c r="EO109" s="64"/>
      <c r="EP109" s="824">
        <v>38807.270899999996</v>
      </c>
      <c r="FA109" s="918"/>
      <c r="FB109" s="919"/>
      <c r="FF109" s="795">
        <v>2009</v>
      </c>
      <c r="FG109" s="1208">
        <v>2.1259703026753782</v>
      </c>
      <c r="FH109" s="49"/>
      <c r="FI109" s="49"/>
      <c r="FJ109" s="64"/>
      <c r="FU109" s="918"/>
      <c r="FV109" s="919"/>
      <c r="GA109" s="1184">
        <v>2009</v>
      </c>
      <c r="GB109" s="1209">
        <v>20411.61</v>
      </c>
      <c r="GC109" s="64">
        <f t="shared" si="105"/>
        <v>20411.61</v>
      </c>
      <c r="GD109" s="64"/>
      <c r="GE109" s="824">
        <f t="shared" si="102"/>
        <v>38807.270899999996</v>
      </c>
      <c r="GP109" s="918"/>
      <c r="GQ109" s="919"/>
      <c r="GW109" s="1184">
        <v>2011</v>
      </c>
      <c r="GX109" s="1185">
        <v>225.3324</v>
      </c>
      <c r="GY109" s="1186">
        <v>60282.540400000005</v>
      </c>
      <c r="GZ109" s="1186">
        <f t="shared" si="112"/>
        <v>225.3324</v>
      </c>
      <c r="HA109" s="1222">
        <f t="shared" si="113"/>
        <v>60282.540400000005</v>
      </c>
      <c r="HQ109" s="1199">
        <v>2010</v>
      </c>
      <c r="HR109" s="1027">
        <v>22995.63</v>
      </c>
      <c r="HS109" s="1200">
        <v>12.664918040361862</v>
      </c>
      <c r="HT109" s="48">
        <v>69.93370846147305</v>
      </c>
      <c r="HU109" s="796">
        <f t="shared" si="98"/>
        <v>2.5669743863224377</v>
      </c>
      <c r="HV109" s="825"/>
      <c r="IL109" s="1190">
        <f t="shared" si="103"/>
        <v>2.5669743863224377</v>
      </c>
    </row>
    <row r="110" ht="22.75" customHeight="1" spans="9:246" x14ac:dyDescent="0.25">
      <c r="I110" s="26"/>
      <c r="J110" s="187"/>
      <c r="BD110" s="928">
        <v>2032</v>
      </c>
      <c r="BE110" s="958"/>
      <c r="BF110" s="21"/>
      <c r="BG110" s="20"/>
      <c r="BH110" s="1022">
        <f t="shared" si="107"/>
        <v>0.5395639499359915</v>
      </c>
      <c r="BI110" s="20"/>
      <c r="BJ110" s="438"/>
      <c r="BZ110" s="1009">
        <f t="shared" si="108"/>
        <v>0.5395639499359915</v>
      </c>
      <c r="CC110" s="1202">
        <v>2009</v>
      </c>
      <c r="CD110" s="1047">
        <v>0.35044252977777157</v>
      </c>
      <c r="CE110" s="1214"/>
      <c r="CF110" s="1214">
        <v>0.4135390376723465</v>
      </c>
      <c r="CG110" s="1225"/>
      <c r="CV110" s="1206">
        <f t="shared" si="99"/>
        <v>0.35044252977777157</v>
      </c>
      <c r="CW110" s="1206">
        <f t="shared" si="100"/>
        <v>0.4135390376723465</v>
      </c>
      <c r="CZ110" s="923">
        <v>2010</v>
      </c>
      <c r="DA110" s="1207">
        <v>69.93370846147305</v>
      </c>
      <c r="DB110" s="925">
        <f t="shared" si="101"/>
        <v>2477.5365613277218</v>
      </c>
      <c r="DR110" s="795">
        <v>2010</v>
      </c>
      <c r="DS110" s="1226">
        <v>23617.623</v>
      </c>
      <c r="DT110" s="64">
        <v>32498.3</v>
      </c>
      <c r="EG110" s="918"/>
      <c r="EH110" s="919"/>
      <c r="EI110" s="24"/>
      <c r="EL110" s="1184">
        <v>2010</v>
      </c>
      <c r="EM110" s="64">
        <f t="shared" si="97"/>
        <v>32498.3</v>
      </c>
      <c r="EN110" s="64">
        <f t="shared" si="104"/>
        <v>32498.3</v>
      </c>
      <c r="EO110" s="64"/>
      <c r="EP110" s="1227">
        <v>46308.53100000001</v>
      </c>
      <c r="FA110" s="918"/>
      <c r="FB110" s="919"/>
      <c r="FF110" s="795">
        <v>2010</v>
      </c>
      <c r="FG110" s="1208">
        <v>2.242898669322524</v>
      </c>
      <c r="FH110" s="49"/>
      <c r="FI110" s="44">
        <f>FG110</f>
        <v>2.242898669322524</v>
      </c>
      <c r="FJ110" s="64"/>
      <c r="FU110" s="918"/>
      <c r="FV110" s="919"/>
      <c r="GA110" s="1184">
        <v>2010</v>
      </c>
      <c r="GB110" s="1209">
        <v>22995.63</v>
      </c>
      <c r="GC110" s="64">
        <f t="shared" si="105"/>
        <v>22995.63</v>
      </c>
      <c r="GD110" s="64"/>
      <c r="GE110" s="824">
        <f t="shared" si="102"/>
        <v>46308.53100000001</v>
      </c>
      <c r="GP110" s="918"/>
      <c r="GQ110" s="919"/>
      <c r="GW110" s="1184">
        <v>2012</v>
      </c>
      <c r="GX110" s="1185">
        <v>247.44670000000002</v>
      </c>
      <c r="GY110" s="1186">
        <v>68163.8831</v>
      </c>
      <c r="GZ110" s="1186">
        <f t="shared" si="112"/>
        <v>247.44670000000002</v>
      </c>
      <c r="HA110" s="1222">
        <f t="shared" si="113"/>
        <v>68163.8831</v>
      </c>
      <c r="HQ110" s="1199">
        <v>2011</v>
      </c>
      <c r="HR110" s="1027">
        <v>26386.6754</v>
      </c>
      <c r="HS110" s="1200">
        <v>13.437478040823935</v>
      </c>
      <c r="HT110" s="48">
        <v>70.85661311334043</v>
      </c>
      <c r="HU110" s="796">
        <f t="shared" si="98"/>
        <v>2.7400070660747096</v>
      </c>
      <c r="HV110" s="825"/>
      <c r="IL110" s="1190">
        <f t="shared" si="103"/>
        <v>2.7400070660747096</v>
      </c>
    </row>
    <row r="111" ht="22.75" customHeight="1" spans="9:246" x14ac:dyDescent="0.25">
      <c r="I111" s="26"/>
      <c r="BD111" s="928">
        <v>2033</v>
      </c>
      <c r="BE111" s="958"/>
      <c r="BF111" s="21"/>
      <c r="BG111" s="20"/>
      <c r="BH111" s="1022">
        <f t="shared" si="107"/>
        <v>0.5405639499359916</v>
      </c>
      <c r="BI111" s="20"/>
      <c r="BJ111" s="438"/>
      <c r="BZ111" s="1009">
        <f t="shared" si="108"/>
        <v>0.5405639499359916</v>
      </c>
      <c r="CC111" s="1202">
        <v>2010</v>
      </c>
      <c r="CD111" s="1047">
        <v>0.346197475752907</v>
      </c>
      <c r="CE111" s="1214"/>
      <c r="CF111" s="1214">
        <v>0.3804201043604462</v>
      </c>
      <c r="CG111" s="1225"/>
      <c r="CV111" s="1206">
        <f t="shared" si="99"/>
        <v>0.346197475752907</v>
      </c>
      <c r="CW111" s="1206">
        <f t="shared" si="100"/>
        <v>0.3804201043604462</v>
      </c>
      <c r="CZ111" s="923">
        <v>2011</v>
      </c>
      <c r="DA111" s="1207">
        <v>70.85661311334043</v>
      </c>
      <c r="DB111" s="925">
        <f t="shared" si="101"/>
        <v>2584.0706334648135</v>
      </c>
      <c r="DR111" s="795">
        <v>2011</v>
      </c>
      <c r="DS111" s="1027">
        <v>29939.4635</v>
      </c>
      <c r="DT111" s="64">
        <v>35648.7</v>
      </c>
      <c r="EG111" s="918"/>
      <c r="EH111" s="919"/>
      <c r="EI111" s="24"/>
      <c r="EL111" s="1184">
        <v>2011</v>
      </c>
      <c r="EM111" s="64">
        <f t="shared" si="97"/>
        <v>35648.7</v>
      </c>
      <c r="EN111" s="64">
        <f t="shared" si="104"/>
        <v>35648.7</v>
      </c>
      <c r="EO111" s="64"/>
      <c r="EP111" s="824">
        <v>60282.540400000005</v>
      </c>
      <c r="FA111" s="918"/>
      <c r="FB111" s="919"/>
      <c r="FF111" s="795">
        <v>2011</v>
      </c>
      <c r="FG111" s="1208">
        <v>2.3954157788364556</v>
      </c>
      <c r="FH111" s="49"/>
      <c r="FI111" s="44">
        <f>FG111</f>
        <v>2.3954157788364556</v>
      </c>
      <c r="FJ111" s="64"/>
      <c r="FU111" s="918"/>
      <c r="FV111" s="919"/>
      <c r="GA111" s="1184">
        <v>2011</v>
      </c>
      <c r="GB111" s="1209">
        <v>26386.6754</v>
      </c>
      <c r="GC111" s="64">
        <f t="shared" si="105"/>
        <v>26386.6754</v>
      </c>
      <c r="GD111" s="64"/>
      <c r="GE111" s="824">
        <f t="shared" si="102"/>
        <v>60282.540400000005</v>
      </c>
      <c r="GP111" s="918"/>
      <c r="GQ111" s="919"/>
      <c r="GW111" s="1184">
        <v>2013</v>
      </c>
      <c r="GX111" s="1185">
        <v>257.1967</v>
      </c>
      <c r="GY111" s="1186">
        <v>73133.89509999998</v>
      </c>
      <c r="GZ111" s="1186">
        <f t="shared" si="112"/>
        <v>257.1967</v>
      </c>
      <c r="HA111" s="1222">
        <f t="shared" si="113"/>
        <v>73133.89509999998</v>
      </c>
      <c r="HQ111" s="1199">
        <v>2012</v>
      </c>
      <c r="HR111" s="1027">
        <v>30201.1615</v>
      </c>
      <c r="HS111" s="1200">
        <v>14.324351591518315</v>
      </c>
      <c r="HT111" s="48">
        <v>71.54541586357954</v>
      </c>
      <c r="HU111" s="796">
        <f t="shared" si="98"/>
        <v>2.913614075190335</v>
      </c>
      <c r="HV111" s="825"/>
      <c r="IL111" s="1190">
        <f t="shared" si="103"/>
        <v>2.913614075190335</v>
      </c>
    </row>
    <row r="112" ht="22.75" customHeight="1" spans="9:246" x14ac:dyDescent="0.25">
      <c r="I112" s="26"/>
      <c r="J112" s="24"/>
      <c r="BD112" s="928">
        <v>2034</v>
      </c>
      <c r="BE112" s="958"/>
      <c r="BF112" s="21"/>
      <c r="BG112" s="20"/>
      <c r="BH112" s="1022">
        <f t="shared" si="107"/>
        <v>0.5415639499359916</v>
      </c>
      <c r="BI112" s="20"/>
      <c r="BJ112" s="438"/>
      <c r="BZ112" s="1009">
        <f t="shared" si="108"/>
        <v>0.5415639499359916</v>
      </c>
      <c r="CC112" s="1202">
        <v>2011</v>
      </c>
      <c r="CD112" s="1047">
        <v>0.34595423254591307</v>
      </c>
      <c r="CE112" s="1214"/>
      <c r="CF112" s="1214">
        <v>0.331688078626494</v>
      </c>
      <c r="CG112" s="1225"/>
      <c r="CV112" s="1206">
        <f t="shared" ref="CV112:CV117" si="114">CD112</f>
        <v>0.34595423254591307</v>
      </c>
      <c r="CW112" s="1206">
        <f t="shared" ref="CW112:CW117" si="115">CF112</f>
        <v>0.331688078626494</v>
      </c>
      <c r="CZ112" s="923">
        <v>2012</v>
      </c>
      <c r="DA112" s="1207">
        <v>71.54541586357954</v>
      </c>
      <c r="DB112" s="925">
        <f t="shared" si="101"/>
        <v>2678.541712402734</v>
      </c>
      <c r="DR112" s="795">
        <v>2012</v>
      </c>
      <c r="DS112" s="1027">
        <v>34492.3617</v>
      </c>
      <c r="DT112" s="64">
        <v>39904</v>
      </c>
      <c r="EG112" s="918"/>
      <c r="EH112" s="919"/>
      <c r="EI112" s="24"/>
      <c r="EL112" s="1184">
        <v>2012</v>
      </c>
      <c r="EM112" s="64">
        <f t="shared" si="97"/>
        <v>39904</v>
      </c>
      <c r="EN112" s="64">
        <f t="shared" si="104"/>
        <v>39904</v>
      </c>
      <c r="EO112" s="64"/>
      <c r="EP112" s="824">
        <v>68163.8831</v>
      </c>
      <c r="FA112" s="918"/>
      <c r="FB112" s="919"/>
      <c r="FF112" s="795">
        <v>2012</v>
      </c>
      <c r="FG112" s="1208">
        <v>2.5846536253645356</v>
      </c>
      <c r="FH112" s="49"/>
      <c r="FI112" s="44">
        <f t="shared" ref="FI112:FI113" si="116">FG112</f>
        <v>2.5846536253645356</v>
      </c>
      <c r="FJ112" s="64"/>
      <c r="FU112" s="918"/>
      <c r="FV112" s="919"/>
      <c r="GA112" s="1184">
        <v>2012</v>
      </c>
      <c r="GB112" s="1209">
        <v>30201.1615</v>
      </c>
      <c r="GC112" s="64">
        <f t="shared" si="105"/>
        <v>30201.1615</v>
      </c>
      <c r="GD112" s="64"/>
      <c r="GE112" s="824">
        <f t="shared" si="102"/>
        <v>68163.8831</v>
      </c>
      <c r="GP112" s="918"/>
      <c r="GQ112" s="919"/>
      <c r="GW112" s="1184">
        <v>2014</v>
      </c>
      <c r="GX112" s="1185">
        <v>290.191</v>
      </c>
      <c r="GY112" s="1186">
        <v>79199.6585</v>
      </c>
      <c r="GZ112" s="1186">
        <f t="shared" si="112"/>
        <v>290.191</v>
      </c>
      <c r="HA112" s="1222">
        <f t="shared" si="113"/>
        <v>79199.6585</v>
      </c>
      <c r="HQ112" s="1199">
        <v>2013</v>
      </c>
      <c r="HR112" s="1027">
        <v>33792.2822</v>
      </c>
      <c r="HS112" s="1200">
        <v>15.255434444967005</v>
      </c>
      <c r="HT112" s="48">
        <v>71.391459581339</v>
      </c>
      <c r="HU112" s="796">
        <f t="shared" si="98"/>
        <v>3.0676926627762775</v>
      </c>
      <c r="HV112" s="825"/>
      <c r="IL112" s="1190">
        <f t="shared" si="103"/>
        <v>3.0676926627762775</v>
      </c>
    </row>
    <row r="113" ht="22.75" customHeight="1" spans="9:246" x14ac:dyDescent="0.25">
      <c r="I113" s="26"/>
      <c r="J113" s="187"/>
      <c r="BD113" s="960">
        <v>2035</v>
      </c>
      <c r="BE113" s="513"/>
      <c r="BF113" s="83"/>
      <c r="BG113" s="1149"/>
      <c r="BH113" s="1228">
        <f t="shared" si="107"/>
        <v>0.5425639499359916</v>
      </c>
      <c r="BI113" s="82"/>
      <c r="BJ113" s="514"/>
      <c r="BZ113" s="1229">
        <f t="shared" si="108"/>
        <v>0.5425639499359916</v>
      </c>
      <c r="CC113" s="1202">
        <v>2012</v>
      </c>
      <c r="CD113" s="1047">
        <v>0.3438037701816316</v>
      </c>
      <c r="CE113" s="1214"/>
      <c r="CF113" s="1214">
        <v>0.33998943349517013</v>
      </c>
      <c r="CG113" s="1225"/>
      <c r="CV113" s="1206">
        <f t="shared" si="114"/>
        <v>0.3438037701816316</v>
      </c>
      <c r="CW113" s="1206">
        <f t="shared" si="115"/>
        <v>0.33998943349517013</v>
      </c>
      <c r="CZ113" s="923">
        <v>2013</v>
      </c>
      <c r="DA113" s="1207">
        <v>71.391459581339</v>
      </c>
      <c r="DB113" s="925">
        <f t="shared" si="101"/>
        <v>2726.3631774238834</v>
      </c>
      <c r="DR113" s="795">
        <v>2013</v>
      </c>
      <c r="DS113" s="1027">
        <v>38465.140799999994</v>
      </c>
      <c r="DT113" s="64">
        <v>44650</v>
      </c>
      <c r="EG113" s="918"/>
      <c r="EH113" s="919"/>
      <c r="EI113" s="24"/>
      <c r="EL113" s="1184">
        <v>2013</v>
      </c>
      <c r="EM113" s="64">
        <f t="shared" si="97"/>
        <v>44650</v>
      </c>
      <c r="EN113" s="64">
        <f t="shared" si="104"/>
        <v>44650</v>
      </c>
      <c r="EO113" s="64"/>
      <c r="EP113" s="824">
        <v>73133.89509999998</v>
      </c>
      <c r="FA113" s="918"/>
      <c r="FB113" s="919"/>
      <c r="FF113" s="795">
        <v>2013</v>
      </c>
      <c r="FG113" s="1208">
        <v>2.7190556138834916</v>
      </c>
      <c r="FH113" s="49"/>
      <c r="FI113" s="44">
        <f t="shared" si="116"/>
        <v>2.7190556138834916</v>
      </c>
      <c r="FJ113" s="64"/>
      <c r="FU113" s="918"/>
      <c r="FV113" s="919"/>
      <c r="GA113" s="1184">
        <v>2013</v>
      </c>
      <c r="GB113" s="1209">
        <v>33792.2822</v>
      </c>
      <c r="GC113" s="64">
        <f t="shared" si="105"/>
        <v>33792.2822</v>
      </c>
      <c r="GD113" s="64"/>
      <c r="GE113" s="824">
        <f t="shared" si="102"/>
        <v>73133.89509999998</v>
      </c>
      <c r="GP113" s="918"/>
      <c r="GQ113" s="919"/>
      <c r="GW113" s="1184">
        <v>2015</v>
      </c>
      <c r="GX113" s="1185">
        <v>314.087</v>
      </c>
      <c r="GY113" s="1186">
        <v>83232.6184</v>
      </c>
      <c r="GZ113" s="1186">
        <f t="shared" si="112"/>
        <v>314.087</v>
      </c>
      <c r="HA113" s="1222">
        <f t="shared" si="113"/>
        <v>83232.6184</v>
      </c>
      <c r="HQ113" s="1199">
        <v>2014</v>
      </c>
      <c r="HR113" s="1027">
        <v>37387.1764</v>
      </c>
      <c r="HS113" s="1200">
        <v>16.994553971693247</v>
      </c>
      <c r="HT113" s="48">
        <v>71.539043569578</v>
      </c>
      <c r="HU113" s="796">
        <f t="shared" si="98"/>
        <v>3.0404294602847233</v>
      </c>
      <c r="HV113" s="825"/>
      <c r="IL113" s="1190">
        <f t="shared" si="103"/>
        <v>3.0404294602847233</v>
      </c>
    </row>
    <row r="114" ht="21" customHeight="1" spans="9:246" x14ac:dyDescent="0.25">
      <c r="I114" s="26"/>
      <c r="J114" s="187"/>
      <c r="CC114" s="1202">
        <v>2013</v>
      </c>
      <c r="CD114" s="1047">
        <v>0.3342089186768886</v>
      </c>
      <c r="CE114" s="1214"/>
      <c r="CF114" s="1214">
        <v>0.3458040894091528</v>
      </c>
      <c r="CG114" s="1225"/>
      <c r="CV114" s="1206">
        <f t="shared" si="114"/>
        <v>0.3342089186768886</v>
      </c>
      <c r="CW114" s="1206">
        <f t="shared" si="115"/>
        <v>0.3458040894091528</v>
      </c>
      <c r="CZ114" s="923">
        <v>2014</v>
      </c>
      <c r="DA114" s="1207">
        <v>71.539043569578</v>
      </c>
      <c r="DB114" s="925">
        <f t="shared" si="101"/>
        <v>2746.5001169353304</v>
      </c>
      <c r="DR114" s="795">
        <v>2014</v>
      </c>
      <c r="DS114" s="1027">
        <v>41954.83</v>
      </c>
      <c r="DT114" s="64">
        <v>47921</v>
      </c>
      <c r="EL114" s="1184">
        <v>2014</v>
      </c>
      <c r="EM114" s="64">
        <f t="shared" si="97"/>
        <v>47921</v>
      </c>
      <c r="EN114" s="64">
        <f t="shared" si="104"/>
        <v>47921</v>
      </c>
      <c r="EO114" s="64"/>
      <c r="EP114" s="824">
        <v>79058</v>
      </c>
      <c r="FF114" s="795">
        <v>2014</v>
      </c>
      <c r="FG114" s="1208">
        <v>2.7734367261611617</v>
      </c>
      <c r="FH114" s="49"/>
      <c r="FI114" s="49"/>
      <c r="FJ114" s="64"/>
      <c r="GA114" s="1184">
        <v>2014</v>
      </c>
      <c r="GB114" s="1209">
        <v>37430.46</v>
      </c>
      <c r="GC114" s="64">
        <f t="shared" si="105"/>
        <v>37430.46</v>
      </c>
      <c r="GD114" s="64"/>
      <c r="GE114" s="824">
        <f t="shared" si="102"/>
        <v>79058</v>
      </c>
      <c r="GW114" s="1184">
        <v>2016</v>
      </c>
      <c r="GX114" s="1230">
        <v>344.229</v>
      </c>
      <c r="GY114" s="1186">
        <v>86043.64890000001</v>
      </c>
      <c r="GZ114" s="1186">
        <f t="shared" si="112"/>
        <v>344.229</v>
      </c>
      <c r="HA114" s="1222">
        <f t="shared" si="113"/>
        <v>86043.64890000001</v>
      </c>
      <c r="HQ114" s="1199">
        <v>2015</v>
      </c>
      <c r="HR114" s="1027">
        <v>38091.4522</v>
      </c>
      <c r="HS114" s="1200">
        <v>19.186851434041674</v>
      </c>
      <c r="HT114" s="48">
        <v>72.323622532452</v>
      </c>
      <c r="HU114" s="796">
        <f t="shared" si="98"/>
        <v>2.7139935535586104</v>
      </c>
      <c r="HV114" s="825">
        <f>HU114</f>
        <v>2.7139935535586104</v>
      </c>
      <c r="IL114" s="1190">
        <f t="shared" si="103"/>
        <v>2.7139935535586104</v>
      </c>
    </row>
    <row r="115" ht="20.5" customHeight="1" spans="9:246" x14ac:dyDescent="0.25">
      <c r="I115" s="26"/>
      <c r="J115" s="187"/>
      <c r="CC115" s="1202">
        <v>2014</v>
      </c>
      <c r="CD115" s="1047">
        <v>0.3385595068359523</v>
      </c>
      <c r="CE115" s="1214"/>
      <c r="CF115" s="1214">
        <v>0.34926044619122454</v>
      </c>
      <c r="CG115" s="1225"/>
      <c r="CV115" s="1206">
        <f t="shared" si="114"/>
        <v>0.3385595068359523</v>
      </c>
      <c r="CW115" s="1206">
        <f t="shared" si="115"/>
        <v>0.34926044619122454</v>
      </c>
      <c r="CZ115" s="795">
        <v>2015</v>
      </c>
      <c r="DA115" s="1207">
        <v>72.323622532452</v>
      </c>
      <c r="DB115" s="925">
        <f t="shared" si="101"/>
        <v>2683.3306142458177</v>
      </c>
      <c r="DR115" s="1231">
        <v>2015</v>
      </c>
      <c r="DS115" s="1232">
        <v>43242.32</v>
      </c>
      <c r="DT115" s="64">
        <v>53526</v>
      </c>
      <c r="EL115" s="1184">
        <v>2015</v>
      </c>
      <c r="EM115" s="64">
        <f t="shared" si="97"/>
        <v>53526</v>
      </c>
      <c r="EN115" s="64"/>
      <c r="EO115" s="64">
        <f>EM115</f>
        <v>53526</v>
      </c>
      <c r="EP115" s="824">
        <v>83094</v>
      </c>
      <c r="FF115" s="795">
        <v>2015</v>
      </c>
      <c r="FG115" s="1208">
        <v>2.5127336739020127</v>
      </c>
      <c r="FH115" s="49"/>
      <c r="FI115" s="49"/>
      <c r="FJ115" s="64"/>
      <c r="GA115" s="1184">
        <v>2015</v>
      </c>
      <c r="GB115" s="1209">
        <v>37745.49</v>
      </c>
      <c r="GC115" s="64"/>
      <c r="GD115" s="64"/>
      <c r="GE115" s="824">
        <f t="shared" si="102"/>
        <v>83094</v>
      </c>
      <c r="GW115" s="1184">
        <v>2017</v>
      </c>
      <c r="GX115" s="1233"/>
      <c r="GY115" s="1214"/>
      <c r="GZ115" s="20"/>
      <c r="HA115" s="925"/>
      <c r="HQ115" s="1199">
        <v>2016</v>
      </c>
      <c r="HR115" s="1027">
        <v>40779.2886</v>
      </c>
      <c r="HS115" s="1200">
        <v>20.222941411479926</v>
      </c>
      <c r="HT115" s="48">
        <v>72.393</v>
      </c>
      <c r="HU115" s="796">
        <f t="shared" si="98"/>
        <v>2.7539998517348616</v>
      </c>
      <c r="HV115" s="825">
        <f>HU115</f>
        <v>2.7539998517348616</v>
      </c>
      <c r="IL115" s="1190">
        <f t="shared" si="103"/>
        <v>2.7539998517348616</v>
      </c>
    </row>
    <row r="116" ht="20.5" customHeight="1" spans="9:246" x14ac:dyDescent="0.25">
      <c r="I116" s="26"/>
      <c r="J116" s="187"/>
      <c r="CC116" s="1202">
        <v>2015</v>
      </c>
      <c r="CD116" s="1047">
        <v>0.3239933425036374</v>
      </c>
      <c r="CE116" s="1214"/>
      <c r="CF116" s="1214">
        <v>0.357930688386568</v>
      </c>
      <c r="CG116" s="1225"/>
      <c r="CV116" s="1206">
        <f t="shared" si="114"/>
        <v>0.3239933425036374</v>
      </c>
      <c r="CW116" s="1206">
        <f t="shared" si="115"/>
        <v>0.357930688386568</v>
      </c>
      <c r="CZ116" s="795">
        <v>2016</v>
      </c>
      <c r="DA116" s="1207">
        <v>72.393</v>
      </c>
      <c r="DB116" s="925">
        <f t="shared" si="101"/>
        <v>2688.697275474309</v>
      </c>
      <c r="DR116" s="795">
        <v>2016</v>
      </c>
      <c r="DS116" s="1027">
        <v>45317.05</v>
      </c>
      <c r="DT116" s="64">
        <v>54117</v>
      </c>
      <c r="EL116" s="1184">
        <v>2016</v>
      </c>
      <c r="EM116" s="64">
        <f t="shared" si="97"/>
        <v>54117</v>
      </c>
      <c r="EN116" s="64"/>
      <c r="EO116" s="64">
        <f t="shared" ref="EO116:EO118" si="117">EM116</f>
        <v>54117</v>
      </c>
      <c r="EP116" s="824">
        <v>86014</v>
      </c>
      <c r="FF116" s="795">
        <v>2016</v>
      </c>
      <c r="FG116" s="1208">
        <v>2.4649917340978744</v>
      </c>
      <c r="FH116" s="49"/>
      <c r="FI116" s="49"/>
      <c r="FJ116" s="52">
        <f>FG116</f>
        <v>2.4649917340978744</v>
      </c>
      <c r="GA116" s="1184">
        <v>2016</v>
      </c>
      <c r="GB116" s="1209">
        <v>41245.36</v>
      </c>
      <c r="GC116" s="64"/>
      <c r="GD116" s="64">
        <f>GB116</f>
        <v>41245.36</v>
      </c>
      <c r="GE116" s="824">
        <f t="shared" si="102"/>
        <v>86014</v>
      </c>
      <c r="GW116" s="1184">
        <v>2018</v>
      </c>
      <c r="GX116" s="1234"/>
      <c r="GY116" s="610"/>
      <c r="GZ116" s="20"/>
      <c r="HA116" s="607"/>
      <c r="HQ116" s="1199">
        <v>2017</v>
      </c>
      <c r="HR116" s="168"/>
      <c r="HS116" s="1235"/>
      <c r="HT116" s="20"/>
      <c r="HU116" s="796"/>
      <c r="HV116" s="825">
        <f>HV115+0.9*(HV115-HV114)</f>
        <v>2.7900055200934877</v>
      </c>
      <c r="IL116" s="1190">
        <f>HV116</f>
        <v>2.7900055200934877</v>
      </c>
    </row>
    <row r="117" ht="22.75" customHeight="1" spans="57:246" x14ac:dyDescent="0.25">
      <c r="BE117" s="754" t="s">
        <v>991</v>
      </c>
      <c r="CC117" s="1202">
        <v>2016</v>
      </c>
      <c r="CD117" s="1047">
        <v>0.327643575130618</v>
      </c>
      <c r="CE117" s="1214"/>
      <c r="CF117" s="1214">
        <v>0.36417242734339217</v>
      </c>
      <c r="CG117" s="1225"/>
      <c r="CV117" s="1206">
        <f t="shared" si="114"/>
        <v>0.327643575130618</v>
      </c>
      <c r="CW117" s="1206">
        <f t="shared" si="115"/>
        <v>0.36417242734339217</v>
      </c>
      <c r="CZ117" s="795">
        <v>2017</v>
      </c>
      <c r="DA117" s="1207">
        <v>72.142</v>
      </c>
      <c r="DB117" s="925">
        <f t="shared" si="101"/>
        <v>2737.093826432847</v>
      </c>
      <c r="DR117" s="795">
        <v>2017</v>
      </c>
      <c r="DS117" s="1027">
        <v>48135.66</v>
      </c>
      <c r="DT117" s="1236">
        <v>55368</v>
      </c>
      <c r="EL117" s="1184">
        <v>2017</v>
      </c>
      <c r="EM117" s="64">
        <f t="shared" si="97"/>
        <v>55368</v>
      </c>
      <c r="EN117" s="1236"/>
      <c r="EO117" s="64">
        <f t="shared" si="117"/>
        <v>55368</v>
      </c>
      <c r="EP117" s="824">
        <v>92101</v>
      </c>
      <c r="FF117" s="795">
        <v>2017</v>
      </c>
      <c r="FG117" s="1208">
        <v>2.546336461323104</v>
      </c>
      <c r="FH117" s="1232"/>
      <c r="FI117" s="1232"/>
      <c r="FJ117" s="52">
        <f t="shared" ref="FJ117:FJ118" si="118">FG117</f>
        <v>2.546336461323104</v>
      </c>
      <c r="GA117" s="1184">
        <v>2017</v>
      </c>
      <c r="GB117" s="1209">
        <v>43884.32</v>
      </c>
      <c r="GC117" s="1236"/>
      <c r="GD117" s="64">
        <f t="shared" ref="GD117:GD118" si="119">GB117</f>
        <v>43884.32</v>
      </c>
      <c r="GE117" s="824">
        <f t="shared" si="102"/>
        <v>92101</v>
      </c>
      <c r="GW117" s="1184">
        <v>2019</v>
      </c>
      <c r="GX117" s="1234"/>
      <c r="GY117" s="610"/>
      <c r="GZ117" s="20"/>
      <c r="HA117" s="607"/>
      <c r="HQ117" s="1199">
        <v>2018</v>
      </c>
      <c r="HR117" s="168"/>
      <c r="HS117" s="1235"/>
      <c r="HT117" s="20"/>
      <c r="HU117" s="796"/>
      <c r="HV117" s="825">
        <f>HV116+0.8*(HV116-HV115)</f>
        <v>2.8188100547803887</v>
      </c>
      <c r="IL117" s="1190">
        <f t="shared" ref="IL117:IL129" si="120">HV117</f>
        <v>2.8188100547803887</v>
      </c>
    </row>
    <row r="118" ht="21" customHeight="1" spans="56:246" x14ac:dyDescent="0.25">
      <c r="BD118" s="869" t="s">
        <v>159</v>
      </c>
      <c r="BE118" s="703" t="s">
        <v>992</v>
      </c>
      <c r="BF118" s="819" t="s">
        <v>983</v>
      </c>
      <c r="BG118" s="703" t="s">
        <v>993</v>
      </c>
      <c r="BH118" s="819" t="s">
        <v>983</v>
      </c>
      <c r="BZ118" s="875" t="s">
        <v>386</v>
      </c>
      <c r="CC118" s="1202">
        <v>2017</v>
      </c>
      <c r="CD118" s="1109">
        <v>0.33709607265214603</v>
      </c>
      <c r="CE118" s="1214">
        <f>CD118</f>
        <v>0.33709607265214603</v>
      </c>
      <c r="CF118" s="1213">
        <v>0.3517429822410836</v>
      </c>
      <c r="CG118" s="1225">
        <f t="shared" ref="CG118:CG119" si="121">CF118</f>
        <v>0.3517429822410836</v>
      </c>
      <c r="CV118" s="1206">
        <f>CE118</f>
        <v>0.33709607265214603</v>
      </c>
      <c r="CW118" s="1206">
        <f>CG118</f>
        <v>0.3517429822410836</v>
      </c>
      <c r="CZ118" s="795">
        <v>2018</v>
      </c>
      <c r="DA118" s="1207">
        <v>72.354</v>
      </c>
      <c r="DB118" s="925">
        <f t="shared" si="101"/>
        <v>2813.7324535729667</v>
      </c>
      <c r="DR118" s="795">
        <v>2018</v>
      </c>
      <c r="DS118" s="1027">
        <v>50851.05</v>
      </c>
      <c r="DT118" s="1236">
        <v>57500</v>
      </c>
      <c r="EL118" s="1184">
        <v>2018</v>
      </c>
      <c r="EM118" s="64">
        <f t="shared" si="97"/>
        <v>57500</v>
      </c>
      <c r="EN118" s="1236"/>
      <c r="EO118" s="64">
        <f t="shared" si="117"/>
        <v>57500</v>
      </c>
      <c r="EP118" s="824">
        <v>103876</v>
      </c>
      <c r="FF118" s="795">
        <v>2018</v>
      </c>
      <c r="FG118" s="1208">
        <v>2.604902199933535</v>
      </c>
      <c r="FH118" s="1232"/>
      <c r="FI118" s="1232"/>
      <c r="FJ118" s="52">
        <f t="shared" si="118"/>
        <v>2.604902199933535</v>
      </c>
      <c r="GA118" s="1184">
        <v>2018</v>
      </c>
      <c r="GB118" s="1209">
        <v>48244.37</v>
      </c>
      <c r="GC118" s="1236"/>
      <c r="GD118" s="64">
        <f t="shared" si="119"/>
        <v>48244.37</v>
      </c>
      <c r="GE118" s="824">
        <f t="shared" si="102"/>
        <v>103876</v>
      </c>
      <c r="GW118" s="1184">
        <v>2020</v>
      </c>
      <c r="GX118" s="1234"/>
      <c r="GY118" s="610"/>
      <c r="GZ118" s="20"/>
      <c r="HA118" s="607"/>
      <c r="HQ118" s="1199">
        <v>2019</v>
      </c>
      <c r="HR118" s="168"/>
      <c r="HS118" s="1235"/>
      <c r="HT118" s="20"/>
      <c r="HU118" s="796"/>
      <c r="HV118" s="825">
        <f>HV117+0.7*(HV117-HV116)</f>
        <v>2.8389732290612195</v>
      </c>
      <c r="IL118" s="1190">
        <f t="shared" si="120"/>
        <v>2.8389732290612195</v>
      </c>
    </row>
    <row r="119" ht="21" customHeight="1" spans="56:246" x14ac:dyDescent="0.25">
      <c r="BD119" s="850">
        <v>43128</v>
      </c>
      <c r="BE119" s="1237" t="s">
        <v>994</v>
      </c>
      <c r="BF119" s="1237" t="s">
        <v>994</v>
      </c>
      <c r="BG119" s="1238" t="s">
        <v>994</v>
      </c>
      <c r="BH119" s="1238" t="s">
        <v>994</v>
      </c>
      <c r="BZ119" s="913" t="s">
        <v>840</v>
      </c>
      <c r="CC119" s="1202">
        <v>2018</v>
      </c>
      <c r="CD119" s="1109">
        <v>0.35927521135817964</v>
      </c>
      <c r="CE119" s="1214">
        <f>CD119</f>
        <v>0.35927521135817964</v>
      </c>
      <c r="CF119" s="1224">
        <v>0.33005762651166104</v>
      </c>
      <c r="CG119" s="1225">
        <f t="shared" si="121"/>
        <v>0.33005762651166104</v>
      </c>
      <c r="CV119" s="1206">
        <f t="shared" ref="CV119:CV131" si="122">CE119</f>
        <v>0.35927521135817964</v>
      </c>
      <c r="CW119" s="1206">
        <f t="shared" ref="CW119:CW131" si="123">CG119</f>
        <v>0.33005762651166104</v>
      </c>
      <c r="CZ119" s="795">
        <v>2019</v>
      </c>
      <c r="DA119" s="949"/>
      <c r="DB119" s="957"/>
      <c r="DR119" s="795">
        <v>2019</v>
      </c>
      <c r="DS119" s="949"/>
      <c r="DT119" s="21"/>
      <c r="EL119" s="1184">
        <v>2019</v>
      </c>
      <c r="EM119" s="21"/>
      <c r="EN119" s="21"/>
      <c r="EO119" s="21"/>
      <c r="EP119" s="1239"/>
      <c r="FF119" s="795">
        <v>2019</v>
      </c>
      <c r="FG119" s="1027"/>
      <c r="FH119" s="20"/>
      <c r="FI119" s="20"/>
      <c r="FJ119" s="21"/>
      <c r="GA119" s="1184">
        <v>2019</v>
      </c>
      <c r="GB119" s="21"/>
      <c r="GC119" s="21"/>
      <c r="GD119" s="21"/>
      <c r="GE119" s="1239"/>
      <c r="GW119" s="1184">
        <v>2021</v>
      </c>
      <c r="GX119" s="1234"/>
      <c r="GY119" s="610"/>
      <c r="GZ119" s="20"/>
      <c r="HA119" s="607"/>
      <c r="HQ119" s="1199">
        <v>2020</v>
      </c>
      <c r="HR119" s="168"/>
      <c r="HS119" s="1235"/>
      <c r="HT119" s="20"/>
      <c r="HU119" s="796"/>
      <c r="HV119" s="825">
        <f t="shared" ref="HV119:HV129" si="124">HV118+0.7*(HV118-HV117)</f>
        <v>2.8530874510578013</v>
      </c>
      <c r="IL119" s="1190">
        <f t="shared" si="120"/>
        <v>2.8530874510578013</v>
      </c>
    </row>
    <row r="120" ht="21" customHeight="1" spans="56:246" x14ac:dyDescent="0.25">
      <c r="BD120" s="1240">
        <v>1995</v>
      </c>
      <c r="BE120" s="1241">
        <v>4.64</v>
      </c>
      <c r="BF120" s="1242"/>
      <c r="BG120" s="1243">
        <v>1.65</v>
      </c>
      <c r="BH120" s="474"/>
      <c r="BZ120" s="1104">
        <f>BE120</f>
        <v>4.64</v>
      </c>
      <c r="CC120" s="1202">
        <v>2019</v>
      </c>
      <c r="CD120" s="1244"/>
      <c r="CE120" s="1214">
        <f>CE119+0.4*(CE119-CE118)</f>
        <v>0.36814686684059306</v>
      </c>
      <c r="CF120" s="1213"/>
      <c r="CG120" s="1225">
        <f>CG119+0.4*(CG119-CG118)</f>
        <v>0.32138348421989205</v>
      </c>
      <c r="CV120" s="1206">
        <f t="shared" si="122"/>
        <v>0.36814686684059306</v>
      </c>
      <c r="CW120" s="1206">
        <f t="shared" si="123"/>
        <v>0.32138348421989205</v>
      </c>
      <c r="CZ120" s="795">
        <v>2020</v>
      </c>
      <c r="DA120" s="949"/>
      <c r="DB120" s="957"/>
      <c r="DR120" s="795">
        <v>2020</v>
      </c>
      <c r="DS120" s="949"/>
      <c r="DT120" s="21"/>
      <c r="EL120" s="1184">
        <v>2020</v>
      </c>
      <c r="EM120" s="21"/>
      <c r="EN120" s="21"/>
      <c r="EO120" s="21"/>
      <c r="EP120" s="1239"/>
      <c r="FF120" s="795">
        <v>2020</v>
      </c>
      <c r="FG120" s="1027"/>
      <c r="FH120" s="20"/>
      <c r="FI120" s="20"/>
      <c r="FJ120" s="21"/>
      <c r="GA120" s="1184">
        <v>2020</v>
      </c>
      <c r="GB120" s="21"/>
      <c r="GC120" s="21"/>
      <c r="GD120" s="21"/>
      <c r="GE120" s="1239"/>
      <c r="GW120" s="1184">
        <v>2022</v>
      </c>
      <c r="GX120" s="1234"/>
      <c r="GY120" s="610"/>
      <c r="GZ120" s="20"/>
      <c r="HA120" s="607"/>
      <c r="HQ120" s="1199">
        <v>2021</v>
      </c>
      <c r="HR120" s="168"/>
      <c r="HS120" s="1235"/>
      <c r="HT120" s="20"/>
      <c r="HU120" s="796"/>
      <c r="HV120" s="825">
        <f t="shared" si="124"/>
        <v>2.8629674064554083</v>
      </c>
      <c r="IL120" s="1190">
        <f t="shared" si="120"/>
        <v>2.8629674064554083</v>
      </c>
    </row>
    <row r="121" ht="21" customHeight="1" spans="56:246" x14ac:dyDescent="0.25">
      <c r="BD121" s="1245">
        <v>1996</v>
      </c>
      <c r="BE121" s="1243">
        <v>5.56</v>
      </c>
      <c r="BF121" s="642"/>
      <c r="BG121" s="1243">
        <v>2.35</v>
      </c>
      <c r="BH121" s="479"/>
      <c r="BZ121" s="1106">
        <f>BE121</f>
        <v>5.56</v>
      </c>
      <c r="CC121" s="1202">
        <v>2020</v>
      </c>
      <c r="CD121" s="1244"/>
      <c r="CE121" s="1214">
        <f t="shared" ref="CE121:CE131" si="125">CE120+0.4*(CE120-CE119)</f>
        <v>0.3716955290335584</v>
      </c>
      <c r="CF121" s="1213"/>
      <c r="CG121" s="1225">
        <f t="shared" ref="CG121:CG131" si="126">CG120+0.4*(CG120-CG119)</f>
        <v>0.31791382730318446</v>
      </c>
      <c r="CV121" s="1206">
        <f t="shared" si="122"/>
        <v>0.3716955290335584</v>
      </c>
      <c r="CW121" s="1206">
        <f t="shared" si="123"/>
        <v>0.31791382730318446</v>
      </c>
      <c r="CZ121" s="795">
        <v>2021</v>
      </c>
      <c r="DA121" s="949"/>
      <c r="DB121" s="957"/>
      <c r="DR121" s="795">
        <v>2021</v>
      </c>
      <c r="DS121" s="949"/>
      <c r="DT121" s="21"/>
      <c r="EL121" s="1184">
        <v>2021</v>
      </c>
      <c r="EM121" s="21"/>
      <c r="EN121" s="21"/>
      <c r="EO121" s="21"/>
      <c r="EP121" s="1239"/>
      <c r="FF121" s="795">
        <v>2021</v>
      </c>
      <c r="FG121" s="1027"/>
      <c r="FH121" s="20"/>
      <c r="FI121" s="20"/>
      <c r="FJ121" s="21"/>
      <c r="GA121" s="1184">
        <v>2021</v>
      </c>
      <c r="GB121" s="21"/>
      <c r="GC121" s="21"/>
      <c r="GD121" s="21"/>
      <c r="GE121" s="1239"/>
      <c r="GW121" s="1184">
        <v>2023</v>
      </c>
      <c r="GX121" s="1234"/>
      <c r="GY121" s="610"/>
      <c r="GZ121" s="20"/>
      <c r="HA121" s="607"/>
      <c r="HQ121" s="1199">
        <v>2022</v>
      </c>
      <c r="HR121" s="168"/>
      <c r="HS121" s="1235"/>
      <c r="HT121" s="20"/>
      <c r="HU121" s="796"/>
      <c r="HV121" s="825">
        <f t="shared" si="124"/>
        <v>2.869883375233733</v>
      </c>
      <c r="IL121" s="1190">
        <f t="shared" si="120"/>
        <v>2.869883375233733</v>
      </c>
    </row>
    <row r="122" ht="21" customHeight="1" spans="56:246" x14ac:dyDescent="0.25">
      <c r="BD122" s="1245">
        <v>1997</v>
      </c>
      <c r="BE122" s="1243">
        <v>5.8</v>
      </c>
      <c r="BF122" s="642"/>
      <c r="BG122" s="1243">
        <v>2.63</v>
      </c>
      <c r="BH122" s="479"/>
      <c r="BZ122" s="1106">
        <f t="shared" ref="BZ122:BZ145" si="127">BE122</f>
        <v>5.8</v>
      </c>
      <c r="CC122" s="1202">
        <v>2021</v>
      </c>
      <c r="CD122" s="1244"/>
      <c r="CE122" s="1214">
        <f t="shared" si="125"/>
        <v>0.37311499391074454</v>
      </c>
      <c r="CF122" s="1213"/>
      <c r="CG122" s="1225">
        <f t="shared" si="126"/>
        <v>0.31652596453650145</v>
      </c>
      <c r="CV122" s="1206">
        <f t="shared" si="122"/>
        <v>0.37311499391074454</v>
      </c>
      <c r="CW122" s="1206">
        <f t="shared" si="123"/>
        <v>0.31652596453650145</v>
      </c>
      <c r="CZ122" s="795">
        <v>2022</v>
      </c>
      <c r="DA122" s="949"/>
      <c r="DB122" s="957"/>
      <c r="DR122" s="795">
        <v>2022</v>
      </c>
      <c r="DS122" s="949"/>
      <c r="DT122" s="21"/>
      <c r="EL122" s="1184">
        <v>2022</v>
      </c>
      <c r="EM122" s="21"/>
      <c r="EN122" s="21"/>
      <c r="EO122" s="21"/>
      <c r="EP122" s="1239"/>
      <c r="FF122" s="795">
        <v>2022</v>
      </c>
      <c r="FG122" s="1027"/>
      <c r="FH122" s="20"/>
      <c r="FI122" s="20"/>
      <c r="FJ122" s="21"/>
      <c r="GA122" s="1184">
        <v>2022</v>
      </c>
      <c r="GB122" s="21"/>
      <c r="GC122" s="21"/>
      <c r="GD122" s="21"/>
      <c r="GE122" s="1239"/>
      <c r="GW122" s="1184">
        <v>2024</v>
      </c>
      <c r="GX122" s="1234"/>
      <c r="GY122" s="610"/>
      <c r="GZ122" s="20"/>
      <c r="HA122" s="607"/>
      <c r="HQ122" s="1199">
        <v>2023</v>
      </c>
      <c r="HR122" s="168"/>
      <c r="HS122" s="1235"/>
      <c r="HT122" s="20"/>
      <c r="HU122" s="796"/>
      <c r="HV122" s="825">
        <f t="shared" si="124"/>
        <v>2.8747245533785604</v>
      </c>
      <c r="IL122" s="1190">
        <f t="shared" si="120"/>
        <v>2.8747245533785604</v>
      </c>
    </row>
    <row r="123" ht="21" customHeight="1" spans="56:246" x14ac:dyDescent="0.25">
      <c r="BD123" s="1245">
        <v>1998</v>
      </c>
      <c r="BE123" s="1243">
        <v>6</v>
      </c>
      <c r="BF123" s="642"/>
      <c r="BG123" s="1243">
        <v>3.02</v>
      </c>
      <c r="BH123" s="479"/>
      <c r="BZ123" s="1106">
        <f t="shared" si="127"/>
        <v>6</v>
      </c>
      <c r="CC123" s="1202">
        <v>2022</v>
      </c>
      <c r="CD123" s="1244"/>
      <c r="CE123" s="1214">
        <f t="shared" si="125"/>
        <v>0.373682779861619</v>
      </c>
      <c r="CF123" s="1213"/>
      <c r="CG123" s="1225">
        <f t="shared" si="126"/>
        <v>0.31597081942982824</v>
      </c>
      <c r="CV123" s="1206">
        <f t="shared" si="122"/>
        <v>0.373682779861619</v>
      </c>
      <c r="CW123" s="1206">
        <f t="shared" si="123"/>
        <v>0.31597081942982824</v>
      </c>
      <c r="CZ123" s="795">
        <v>2023</v>
      </c>
      <c r="DA123" s="949"/>
      <c r="DB123" s="957"/>
      <c r="DR123" s="795">
        <v>2023</v>
      </c>
      <c r="DS123" s="949"/>
      <c r="DT123" s="21"/>
      <c r="EL123" s="1184">
        <v>2023</v>
      </c>
      <c r="EM123" s="21"/>
      <c r="EN123" s="21"/>
      <c r="EO123" s="21"/>
      <c r="EP123" s="1239"/>
      <c r="FF123" s="795">
        <v>2023</v>
      </c>
      <c r="FG123" s="1027"/>
      <c r="FH123" s="20"/>
      <c r="FI123" s="20"/>
      <c r="FJ123" s="21"/>
      <c r="GA123" s="1184">
        <v>2023</v>
      </c>
      <c r="GB123" s="21"/>
      <c r="GC123" s="21"/>
      <c r="GD123" s="21"/>
      <c r="GE123" s="1239"/>
      <c r="GW123" s="1184">
        <v>2025</v>
      </c>
      <c r="GX123" s="1234"/>
      <c r="GY123" s="610"/>
      <c r="GZ123" s="20"/>
      <c r="HA123" s="607"/>
      <c r="HQ123" s="1199">
        <v>2024</v>
      </c>
      <c r="HR123" s="168"/>
      <c r="HS123" s="1235"/>
      <c r="HT123" s="20"/>
      <c r="HU123" s="796"/>
      <c r="HV123" s="825">
        <f t="shared" si="124"/>
        <v>2.8781133780799393</v>
      </c>
      <c r="IL123" s="1190">
        <f t="shared" si="120"/>
        <v>2.8781133780799393</v>
      </c>
    </row>
    <row r="124" ht="21" customHeight="1" spans="56:246" x14ac:dyDescent="0.25">
      <c r="BD124" s="1245">
        <v>1999</v>
      </c>
      <c r="BE124" s="1243">
        <v>24.62</v>
      </c>
      <c r="BF124" s="642"/>
      <c r="BG124" s="1243">
        <v>4.55</v>
      </c>
      <c r="BH124" s="479"/>
      <c r="BZ124" s="1106">
        <f t="shared" si="127"/>
        <v>24.62</v>
      </c>
      <c r="CC124" s="1202">
        <v>2023</v>
      </c>
      <c r="CD124" s="1244"/>
      <c r="CE124" s="1214">
        <f t="shared" si="125"/>
        <v>0.3739098942419688</v>
      </c>
      <c r="CF124" s="1213"/>
      <c r="CG124" s="1225">
        <f t="shared" si="126"/>
        <v>0.31574876138715896</v>
      </c>
      <c r="CV124" s="1206">
        <f t="shared" si="122"/>
        <v>0.3739098942419688</v>
      </c>
      <c r="CW124" s="1206">
        <f t="shared" si="123"/>
        <v>0.31574876138715896</v>
      </c>
      <c r="CZ124" s="795">
        <v>2024</v>
      </c>
      <c r="DA124" s="949"/>
      <c r="DB124" s="957"/>
      <c r="DR124" s="795">
        <v>2024</v>
      </c>
      <c r="DS124" s="949"/>
      <c r="DT124" s="21"/>
      <c r="EL124" s="1184">
        <v>2024</v>
      </c>
      <c r="EM124" s="21"/>
      <c r="EN124" s="21"/>
      <c r="EO124" s="21"/>
      <c r="EP124" s="1239"/>
      <c r="FF124" s="795">
        <v>2024</v>
      </c>
      <c r="FG124" s="1027"/>
      <c r="FH124" s="20"/>
      <c r="FI124" s="20"/>
      <c r="FJ124" s="21"/>
      <c r="GA124" s="1184">
        <v>2024</v>
      </c>
      <c r="GB124" s="21"/>
      <c r="GC124" s="21"/>
      <c r="GD124" s="21"/>
      <c r="GE124" s="1239"/>
      <c r="GW124" s="1184">
        <v>2026</v>
      </c>
      <c r="GX124" s="1234"/>
      <c r="GY124" s="610"/>
      <c r="GZ124" s="20"/>
      <c r="HA124" s="607"/>
      <c r="HQ124" s="1199">
        <v>2025</v>
      </c>
      <c r="HR124" s="168"/>
      <c r="HS124" s="1235"/>
      <c r="HT124" s="20"/>
      <c r="HU124" s="796"/>
      <c r="HV124" s="825">
        <f t="shared" si="124"/>
        <v>2.8804855553709046</v>
      </c>
      <c r="IL124" s="1190">
        <f t="shared" si="120"/>
        <v>2.8804855553709046</v>
      </c>
    </row>
    <row r="125" ht="21" customHeight="1" spans="56:246" x14ac:dyDescent="0.25">
      <c r="BD125" s="1245">
        <v>2000</v>
      </c>
      <c r="BE125" s="1243">
        <v>28.16</v>
      </c>
      <c r="BF125" s="642"/>
      <c r="BG125" s="1243">
        <v>7.04</v>
      </c>
      <c r="BH125" s="479"/>
      <c r="BZ125" s="1106">
        <f t="shared" si="127"/>
        <v>28.16</v>
      </c>
      <c r="CC125" s="1202">
        <v>2024</v>
      </c>
      <c r="CD125" s="1244"/>
      <c r="CE125" s="1214">
        <f t="shared" si="125"/>
        <v>0.3740007399941087</v>
      </c>
      <c r="CF125" s="1213"/>
      <c r="CG125" s="1225">
        <f t="shared" si="126"/>
        <v>0.31565993817009125</v>
      </c>
      <c r="CV125" s="1206">
        <f t="shared" si="122"/>
        <v>0.3740007399941087</v>
      </c>
      <c r="CW125" s="1206">
        <f t="shared" si="123"/>
        <v>0.31565993817009125</v>
      </c>
      <c r="CZ125" s="795">
        <v>2025</v>
      </c>
      <c r="DA125" s="949"/>
      <c r="DB125" s="957"/>
      <c r="DR125" s="795">
        <v>2025</v>
      </c>
      <c r="DS125" s="949"/>
      <c r="DT125" s="21"/>
      <c r="EL125" s="1184">
        <v>2025</v>
      </c>
      <c r="EM125" s="21"/>
      <c r="EN125" s="21"/>
      <c r="EO125" s="21"/>
      <c r="EP125" s="1239"/>
      <c r="FF125" s="795">
        <v>2025</v>
      </c>
      <c r="FG125" s="1027"/>
      <c r="FH125" s="20"/>
      <c r="FI125" s="20"/>
      <c r="FJ125" s="21"/>
      <c r="GA125" s="1184">
        <v>2025</v>
      </c>
      <c r="GB125" s="21"/>
      <c r="GC125" s="21"/>
      <c r="GD125" s="21"/>
      <c r="GE125" s="1239"/>
      <c r="GW125" s="1184">
        <v>2027</v>
      </c>
      <c r="GX125" s="1234"/>
      <c r="GY125" s="610"/>
      <c r="GZ125" s="20"/>
      <c r="HA125" s="607"/>
      <c r="HQ125" s="1199">
        <v>2026</v>
      </c>
      <c r="HR125" s="168"/>
      <c r="HS125" s="1235"/>
      <c r="HT125" s="20"/>
      <c r="HU125" s="796"/>
      <c r="HV125" s="825">
        <f t="shared" si="124"/>
        <v>2.8821460794745803</v>
      </c>
      <c r="IL125" s="1190">
        <f t="shared" si="120"/>
        <v>2.8821460794745803</v>
      </c>
    </row>
    <row r="126" ht="21" customHeight="1" spans="56:246" x14ac:dyDescent="0.25">
      <c r="BD126" s="1245">
        <v>2001</v>
      </c>
      <c r="BE126" s="1243">
        <v>30.14</v>
      </c>
      <c r="BF126" s="642"/>
      <c r="BG126" s="1243">
        <v>8.1</v>
      </c>
      <c r="BH126" s="479"/>
      <c r="BZ126" s="1106">
        <f t="shared" si="127"/>
        <v>30.14</v>
      </c>
      <c r="CC126" s="1202">
        <v>2025</v>
      </c>
      <c r="CD126" s="1244"/>
      <c r="CE126" s="1214">
        <f t="shared" si="125"/>
        <v>0.3740370782949647</v>
      </c>
      <c r="CF126" s="1213"/>
      <c r="CG126" s="1225">
        <f t="shared" si="126"/>
        <v>0.31562440888326415</v>
      </c>
      <c r="CV126" s="1206">
        <f t="shared" si="122"/>
        <v>0.3740370782949647</v>
      </c>
      <c r="CW126" s="1206">
        <f t="shared" si="123"/>
        <v>0.31562440888326415</v>
      </c>
      <c r="CZ126" s="795">
        <v>2026</v>
      </c>
      <c r="DA126" s="949"/>
      <c r="DB126" s="957"/>
      <c r="DR126" s="795">
        <v>2026</v>
      </c>
      <c r="DS126" s="949"/>
      <c r="DT126" s="21"/>
      <c r="EL126" s="1184">
        <v>2026</v>
      </c>
      <c r="EM126" s="21"/>
      <c r="EN126" s="21"/>
      <c r="EO126" s="21"/>
      <c r="EP126" s="1239"/>
      <c r="FF126" s="795">
        <v>2026</v>
      </c>
      <c r="FG126" s="1027"/>
      <c r="FH126" s="20"/>
      <c r="FI126" s="20"/>
      <c r="FJ126" s="21"/>
      <c r="GA126" s="1184">
        <v>2026</v>
      </c>
      <c r="GB126" s="21"/>
      <c r="GC126" s="21"/>
      <c r="GD126" s="21"/>
      <c r="GE126" s="1239"/>
      <c r="GW126" s="1184">
        <v>2028</v>
      </c>
      <c r="GX126" s="1234"/>
      <c r="GY126" s="610"/>
      <c r="GZ126" s="20"/>
      <c r="HA126" s="607"/>
      <c r="HQ126" s="1199">
        <v>2027</v>
      </c>
      <c r="HR126" s="168"/>
      <c r="HS126" s="1235"/>
      <c r="HT126" s="20"/>
      <c r="HU126" s="796"/>
      <c r="HV126" s="825">
        <f t="shared" si="124"/>
        <v>2.8833084463471534</v>
      </c>
      <c r="IL126" s="1190">
        <f t="shared" si="120"/>
        <v>2.8833084463471534</v>
      </c>
    </row>
    <row r="127" ht="21" customHeight="1" spans="56:246" x14ac:dyDescent="0.25">
      <c r="BD127" s="1245">
        <v>2002</v>
      </c>
      <c r="BE127" s="1243">
        <v>31.4</v>
      </c>
      <c r="BF127" s="642"/>
      <c r="BG127" s="1243">
        <v>9.17</v>
      </c>
      <c r="BH127" s="479"/>
      <c r="BZ127" s="1106">
        <f t="shared" si="127"/>
        <v>31.4</v>
      </c>
      <c r="CC127" s="1202">
        <v>2026</v>
      </c>
      <c r="CD127" s="1244"/>
      <c r="CE127" s="1214">
        <f t="shared" si="125"/>
        <v>0.3740516136153071</v>
      </c>
      <c r="CF127" s="1213"/>
      <c r="CG127" s="1225">
        <f t="shared" si="126"/>
        <v>0.31561019716853334</v>
      </c>
      <c r="CV127" s="1206">
        <f t="shared" si="122"/>
        <v>0.3740516136153071</v>
      </c>
      <c r="CW127" s="1206">
        <f t="shared" si="123"/>
        <v>0.31561019716853334</v>
      </c>
      <c r="CZ127" s="795">
        <v>2027</v>
      </c>
      <c r="DA127" s="949"/>
      <c r="DB127" s="957"/>
      <c r="DR127" s="795">
        <v>2027</v>
      </c>
      <c r="DS127" s="949"/>
      <c r="DT127" s="21"/>
      <c r="EL127" s="1184">
        <v>2027</v>
      </c>
      <c r="EM127" s="21"/>
      <c r="EN127" s="21"/>
      <c r="EO127" s="21"/>
      <c r="EP127" s="1239"/>
      <c r="FF127" s="795">
        <v>2027</v>
      </c>
      <c r="FG127" s="1027"/>
      <c r="FH127" s="20"/>
      <c r="FI127" s="20"/>
      <c r="FJ127" s="21"/>
      <c r="GA127" s="1184">
        <v>2027</v>
      </c>
      <c r="GB127" s="21"/>
      <c r="GC127" s="21"/>
      <c r="GD127" s="21"/>
      <c r="GE127" s="1239"/>
      <c r="GW127" s="1184">
        <v>2029</v>
      </c>
      <c r="GX127" s="1234"/>
      <c r="GY127" s="610"/>
      <c r="GZ127" s="20"/>
      <c r="HA127" s="607"/>
      <c r="HQ127" s="1199">
        <v>2028</v>
      </c>
      <c r="HR127" s="168"/>
      <c r="HS127" s="1235"/>
      <c r="HT127" s="20"/>
      <c r="HU127" s="796"/>
      <c r="HV127" s="825">
        <f t="shared" si="124"/>
        <v>2.8841221031579547</v>
      </c>
      <c r="IL127" s="1190">
        <f t="shared" si="120"/>
        <v>2.8841221031579547</v>
      </c>
    </row>
    <row r="128" ht="21" customHeight="1" spans="56:246" x14ac:dyDescent="0.25">
      <c r="BD128" s="1245">
        <v>2003</v>
      </c>
      <c r="BE128" s="1243">
        <v>29.45</v>
      </c>
      <c r="BF128" s="642"/>
      <c r="BG128" s="1243">
        <v>10.14</v>
      </c>
      <c r="BH128" s="479"/>
      <c r="BZ128" s="1106">
        <f t="shared" si="127"/>
        <v>29.45</v>
      </c>
      <c r="CC128" s="1202">
        <v>2027</v>
      </c>
      <c r="CD128" s="1244"/>
      <c r="CE128" s="1214">
        <f t="shared" si="125"/>
        <v>0.374057427743444</v>
      </c>
      <c r="CF128" s="1213"/>
      <c r="CG128" s="1225">
        <f t="shared" si="126"/>
        <v>0.315604512482641</v>
      </c>
      <c r="CV128" s="1206">
        <f t="shared" si="122"/>
        <v>0.374057427743444</v>
      </c>
      <c r="CW128" s="1206">
        <f t="shared" si="123"/>
        <v>0.315604512482641</v>
      </c>
      <c r="CZ128" s="795">
        <v>2028</v>
      </c>
      <c r="DA128" s="949"/>
      <c r="DB128" s="957"/>
      <c r="DR128" s="795">
        <v>2028</v>
      </c>
      <c r="DS128" s="949"/>
      <c r="DT128" s="21"/>
      <c r="EL128" s="1184">
        <v>2028</v>
      </c>
      <c r="EM128" s="21"/>
      <c r="EN128" s="21"/>
      <c r="EO128" s="21"/>
      <c r="EP128" s="1239"/>
      <c r="FF128" s="795">
        <v>2028</v>
      </c>
      <c r="FG128" s="1027"/>
      <c r="FH128" s="20"/>
      <c r="FI128" s="20"/>
      <c r="FJ128" s="21"/>
      <c r="GA128" s="1184">
        <v>2028</v>
      </c>
      <c r="GB128" s="21"/>
      <c r="GC128" s="21"/>
      <c r="GD128" s="21"/>
      <c r="GE128" s="1239"/>
      <c r="GW128" s="977">
        <v>2030</v>
      </c>
      <c r="GX128" s="1246"/>
      <c r="GY128" s="626"/>
      <c r="GZ128" s="82"/>
      <c r="HA128" s="963"/>
      <c r="HQ128" s="1199">
        <v>2029</v>
      </c>
      <c r="HR128" s="168"/>
      <c r="HS128" s="1235"/>
      <c r="HT128" s="20"/>
      <c r="HU128" s="796"/>
      <c r="HV128" s="825">
        <f t="shared" si="124"/>
        <v>2.8846916629255155</v>
      </c>
      <c r="IL128" s="1190">
        <f t="shared" si="120"/>
        <v>2.8846916629255155</v>
      </c>
    </row>
    <row r="129" ht="21.5" customHeight="1" spans="56:246" x14ac:dyDescent="0.25">
      <c r="BD129" s="1245">
        <v>2004</v>
      </c>
      <c r="BE129" s="1243">
        <v>27.75</v>
      </c>
      <c r="BF129" s="642"/>
      <c r="BG129" s="1243">
        <v>11.55</v>
      </c>
      <c r="BH129" s="479"/>
      <c r="BZ129" s="1106">
        <f t="shared" si="127"/>
        <v>27.75</v>
      </c>
      <c r="CC129" s="1202">
        <v>2028</v>
      </c>
      <c r="CD129" s="1244"/>
      <c r="CE129" s="1214">
        <f t="shared" si="125"/>
        <v>0.3740597533946988</v>
      </c>
      <c r="CF129" s="1213"/>
      <c r="CG129" s="1225">
        <f t="shared" si="126"/>
        <v>0.31560223860828407</v>
      </c>
      <c r="CV129" s="1206">
        <f t="shared" si="122"/>
        <v>0.3740597533946988</v>
      </c>
      <c r="CW129" s="1206">
        <f t="shared" si="123"/>
        <v>0.31560223860828407</v>
      </c>
      <c r="CZ129" s="795">
        <v>2029</v>
      </c>
      <c r="DA129" s="949"/>
      <c r="DB129" s="957"/>
      <c r="DR129" s="795">
        <v>2029</v>
      </c>
      <c r="DS129" s="949"/>
      <c r="DT129" s="21"/>
      <c r="EL129" s="1184">
        <v>2029</v>
      </c>
      <c r="EM129" s="21"/>
      <c r="EN129" s="21"/>
      <c r="EO129" s="21"/>
      <c r="EP129" s="1239"/>
      <c r="FF129" s="795">
        <v>2029</v>
      </c>
      <c r="FG129" s="1027"/>
      <c r="FH129" s="20"/>
      <c r="FI129" s="20"/>
      <c r="FJ129" s="21"/>
      <c r="GA129" s="1184">
        <v>2029</v>
      </c>
      <c r="GB129" s="21"/>
      <c r="GC129" s="21"/>
      <c r="GD129" s="21"/>
      <c r="GE129" s="1239"/>
      <c r="HQ129" s="1247">
        <v>2030</v>
      </c>
      <c r="HR129" s="1248"/>
      <c r="HS129" s="1249"/>
      <c r="HT129" s="82"/>
      <c r="HU129" s="1145"/>
      <c r="HV129" s="983">
        <f t="shared" si="124"/>
        <v>2.885090354762808</v>
      </c>
      <c r="IL129" s="1250">
        <f t="shared" si="120"/>
        <v>2.885090354762808</v>
      </c>
    </row>
    <row r="130" ht="21" customHeight="1" spans="56:187" x14ac:dyDescent="0.25">
      <c r="BD130" s="1245">
        <v>2005</v>
      </c>
      <c r="BE130" s="1243">
        <v>28.78</v>
      </c>
      <c r="BF130" s="642"/>
      <c r="BG130" s="1243">
        <v>12.74</v>
      </c>
      <c r="BH130" s="479"/>
      <c r="BZ130" s="1106">
        <f t="shared" si="127"/>
        <v>28.78</v>
      </c>
      <c r="CC130" s="1202">
        <v>2029</v>
      </c>
      <c r="CD130" s="1244"/>
      <c r="CE130" s="1214">
        <f t="shared" si="125"/>
        <v>0.37406068365520073</v>
      </c>
      <c r="CF130" s="1213"/>
      <c r="CG130" s="1225">
        <f t="shared" si="126"/>
        <v>0.3156013290585413</v>
      </c>
      <c r="CV130" s="1206">
        <f t="shared" si="122"/>
        <v>0.37406068365520073</v>
      </c>
      <c r="CW130" s="1206">
        <f t="shared" si="123"/>
        <v>0.3156013290585413</v>
      </c>
      <c r="CZ130" s="986">
        <v>2030</v>
      </c>
      <c r="DA130" s="978"/>
      <c r="DB130" s="987"/>
      <c r="DR130" s="977">
        <v>2030</v>
      </c>
      <c r="DS130" s="985"/>
      <c r="DT130" s="83"/>
      <c r="EL130" s="977">
        <v>2030</v>
      </c>
      <c r="EM130" s="83"/>
      <c r="EN130" s="83"/>
      <c r="EO130" s="83"/>
      <c r="EP130" s="1251"/>
      <c r="FF130" s="977">
        <v>2030</v>
      </c>
      <c r="FG130" s="985"/>
      <c r="FH130" s="82"/>
      <c r="FI130" s="82"/>
      <c r="FJ130" s="83"/>
      <c r="GA130" s="977">
        <v>2030</v>
      </c>
      <c r="GB130" s="83"/>
      <c r="GC130" s="83"/>
      <c r="GD130" s="83"/>
      <c r="GE130" s="1251"/>
    </row>
    <row r="131" ht="21" customHeight="1" spans="56:228" x14ac:dyDescent="0.25">
      <c r="BD131" s="1245">
        <v>2006</v>
      </c>
      <c r="BE131" s="1243">
        <v>26.33</v>
      </c>
      <c r="BF131" s="642"/>
      <c r="BG131" s="1243">
        <v>12.64</v>
      </c>
      <c r="BH131" s="479"/>
      <c r="BZ131" s="1106">
        <f t="shared" si="127"/>
        <v>26.33</v>
      </c>
      <c r="CC131" s="1252">
        <v>2030</v>
      </c>
      <c r="CD131" s="1253"/>
      <c r="CE131" s="1254">
        <f t="shared" si="125"/>
        <v>0.3740610557594015</v>
      </c>
      <c r="CF131" s="1255"/>
      <c r="CG131" s="1256">
        <f t="shared" si="126"/>
        <v>0.3156009652386442</v>
      </c>
      <c r="CV131" s="1257">
        <f t="shared" si="122"/>
        <v>0.3740610557594015</v>
      </c>
      <c r="CW131" s="1257">
        <f t="shared" si="123"/>
        <v>0.3156009652386442</v>
      </c>
      <c r="HS131" t="s">
        <v>995</v>
      </c>
      <c r="HT131" t="s">
        <v>995</v>
      </c>
    </row>
    <row r="132" ht="21" customHeight="1" spans="56:250" x14ac:dyDescent="0.25">
      <c r="BD132" s="1245">
        <v>2007</v>
      </c>
      <c r="BE132" s="1243">
        <v>25.58</v>
      </c>
      <c r="BF132" s="642"/>
      <c r="BG132" s="1243">
        <v>13.98</v>
      </c>
      <c r="BH132" s="479"/>
      <c r="BZ132" s="1106">
        <f t="shared" si="127"/>
        <v>25.58</v>
      </c>
      <c r="GW132" s="1163" t="s">
        <v>159</v>
      </c>
      <c r="GX132" s="1258" t="s">
        <v>381</v>
      </c>
      <c r="GY132" s="1123" t="s">
        <v>995</v>
      </c>
      <c r="GZ132" s="1259" t="s">
        <v>387</v>
      </c>
      <c r="HA132" s="1123" t="s">
        <v>841</v>
      </c>
      <c r="HB132" s="1258" t="s">
        <v>638</v>
      </c>
      <c r="HC132" s="1123" t="s">
        <v>841</v>
      </c>
      <c r="HS132" s="1259" t="s">
        <v>387</v>
      </c>
      <c r="HT132" s="1258" t="s">
        <v>638</v>
      </c>
      <c r="HW132" s="869" t="s">
        <v>159</v>
      </c>
      <c r="HX132" s="1153" t="s">
        <v>381</v>
      </c>
      <c r="HY132" s="1154" t="s">
        <v>631</v>
      </c>
      <c r="HZ132" s="1260" t="s">
        <v>841</v>
      </c>
      <c r="IP132" s="1154" t="s">
        <v>631</v>
      </c>
    </row>
    <row r="133" ht="21.5" customHeight="1" spans="56:250" x14ac:dyDescent="0.25">
      <c r="BD133" s="1245">
        <v>2008</v>
      </c>
      <c r="BE133" s="1243">
        <v>24.85</v>
      </c>
      <c r="BF133" s="642"/>
      <c r="BG133" s="1243">
        <v>14.34</v>
      </c>
      <c r="BH133" s="479"/>
      <c r="BZ133" s="1106">
        <f t="shared" si="127"/>
        <v>24.85</v>
      </c>
      <c r="CH133" s="24"/>
      <c r="CI133" s="24"/>
      <c r="CJ133" s="24"/>
      <c r="CK133" s="24"/>
      <c r="CL133" s="24"/>
      <c r="CM133" s="24"/>
      <c r="CN133" s="24"/>
      <c r="CO133" s="24"/>
      <c r="CP133" s="24"/>
      <c r="GW133" s="850">
        <v>43124</v>
      </c>
      <c r="GX133" s="1170" t="s">
        <v>55</v>
      </c>
      <c r="GY133" s="1170" t="s">
        <v>55</v>
      </c>
      <c r="GZ133" s="1170" t="s">
        <v>55</v>
      </c>
      <c r="HA133" s="1170" t="s">
        <v>55</v>
      </c>
      <c r="HB133" s="1170" t="s">
        <v>55</v>
      </c>
      <c r="HC133" s="1170" t="s">
        <v>55</v>
      </c>
      <c r="HS133" s="1170" t="s">
        <v>55</v>
      </c>
      <c r="HT133" s="1170" t="s">
        <v>55</v>
      </c>
      <c r="HW133" s="850">
        <v>43135</v>
      </c>
      <c r="HX133" s="1170" t="s">
        <v>55</v>
      </c>
      <c r="HY133" s="1170" t="s">
        <v>55</v>
      </c>
      <c r="HZ133" s="1170" t="s">
        <v>55</v>
      </c>
      <c r="IP133" s="1261" t="s">
        <v>633</v>
      </c>
    </row>
    <row r="134" ht="23.5" customHeight="1" spans="56:250" x14ac:dyDescent="0.25">
      <c r="BD134" s="1245">
        <v>2009</v>
      </c>
      <c r="BE134" s="1243">
        <v>31.72</v>
      </c>
      <c r="BF134" s="642"/>
      <c r="BG134" s="1243">
        <v>14.22</v>
      </c>
      <c r="BH134" s="479"/>
      <c r="BZ134" s="1106">
        <f t="shared" si="127"/>
        <v>31.72</v>
      </c>
      <c r="CC134" s="1262" t="s">
        <v>159</v>
      </c>
      <c r="CD134" s="1263" t="s">
        <v>996</v>
      </c>
      <c r="CE134" s="1264" t="s">
        <v>997</v>
      </c>
      <c r="CF134" s="25"/>
      <c r="CG134" s="25"/>
      <c r="CH134" s="25"/>
      <c r="CI134" s="25"/>
      <c r="CJ134" s="25"/>
      <c r="CK134" s="25"/>
      <c r="CL134" s="25"/>
      <c r="CM134" s="25"/>
      <c r="CN134" s="1265"/>
      <c r="CV134" s="1266" t="s">
        <v>386</v>
      </c>
      <c r="CX134" s="1267" t="s">
        <v>159</v>
      </c>
      <c r="CY134" s="652" t="s">
        <v>998</v>
      </c>
      <c r="CZ134" s="471" t="s">
        <v>50</v>
      </c>
      <c r="DA134" s="565" t="s">
        <v>633</v>
      </c>
      <c r="DR134" s="459" t="s">
        <v>386</v>
      </c>
      <c r="DT134" s="992" t="s">
        <v>159</v>
      </c>
      <c r="DU134" s="703" t="s">
        <v>120</v>
      </c>
      <c r="DV134" s="703" t="s">
        <v>999</v>
      </c>
      <c r="EM134" s="992" t="s">
        <v>159</v>
      </c>
      <c r="EN134" s="703" t="s">
        <v>1000</v>
      </c>
      <c r="EO134" s="391" t="s">
        <v>522</v>
      </c>
      <c r="EP134" s="391" t="s">
        <v>976</v>
      </c>
      <c r="EQ134" s="702" t="s">
        <v>279</v>
      </c>
      <c r="GW134" s="1268">
        <v>1995</v>
      </c>
      <c r="GX134" s="1189">
        <f t="array" ref="GX134:GX155">TRANSPOSE(ОТЧЁТ!U151:AP151)</f>
        <v>1</v>
      </c>
      <c r="GY134" s="1242"/>
      <c r="GZ134" s="1269">
        <f t="array" ref="GZ134:GZ155">TRANSPOSE(ОТЧЁТ!U184:AP184)</f>
        <v>1</v>
      </c>
      <c r="HA134" s="1242"/>
      <c r="HB134" s="1269">
        <f t="array" ref="HB134:HB155">TRANSPOSE(ОТЧЁТ!U186:AP186)</f>
        <v>1</v>
      </c>
      <c r="HC134" s="474"/>
      <c r="HS134" s="1012">
        <f>GZ134</f>
        <v>1</v>
      </c>
      <c r="HT134" s="1270">
        <f>HB134</f>
        <v>1</v>
      </c>
      <c r="HW134" s="1268">
        <v>1995</v>
      </c>
      <c r="HX134" s="1189">
        <v>1</v>
      </c>
      <c r="HY134" s="1269">
        <f t="array" ref="HY134:HY155">TRANSPOSE(ОТЧЁТ!U183:AP183)</f>
        <v>1</v>
      </c>
      <c r="HZ134" s="474"/>
      <c r="IP134" s="797">
        <v>1</v>
      </c>
    </row>
    <row r="135" ht="23.5" customHeight="1" spans="56:250" x14ac:dyDescent="0.25">
      <c r="BD135" s="1245">
        <v>2010</v>
      </c>
      <c r="BE135" s="1243">
        <v>30.37</v>
      </c>
      <c r="BF135" s="642"/>
      <c r="BG135" s="1243">
        <v>15.82</v>
      </c>
      <c r="BH135" s="479"/>
      <c r="BZ135" s="1106">
        <f t="shared" si="127"/>
        <v>30.37</v>
      </c>
      <c r="CC135" s="228">
        <v>43924</v>
      </c>
      <c r="CD135" s="1001" t="s">
        <v>840</v>
      </c>
      <c r="CE135" s="786" t="s">
        <v>840</v>
      </c>
      <c r="CF135" s="25"/>
      <c r="CG135" s="25"/>
      <c r="CH135" s="25"/>
      <c r="CI135" s="25"/>
      <c r="CJ135" s="25"/>
      <c r="CK135" s="25"/>
      <c r="CL135" s="25"/>
      <c r="CM135" s="25"/>
      <c r="CN135" s="1265"/>
      <c r="CV135" s="1271" t="s">
        <v>996</v>
      </c>
      <c r="CX135" s="1272">
        <v>43850</v>
      </c>
      <c r="CY135" s="1273" t="s">
        <v>840</v>
      </c>
      <c r="CZ135" s="1274" t="s">
        <v>840</v>
      </c>
      <c r="DA135" s="1273" t="s">
        <v>840</v>
      </c>
      <c r="DR135" s="1275" t="s">
        <v>998</v>
      </c>
      <c r="DT135" s="737">
        <v>43931</v>
      </c>
      <c r="DU135" s="1178" t="s">
        <v>984</v>
      </c>
      <c r="DV135" s="1178" t="s">
        <v>984</v>
      </c>
      <c r="EM135" s="1179">
        <v>43923</v>
      </c>
      <c r="EN135" s="1002" t="s">
        <v>984</v>
      </c>
      <c r="EO135" s="1002" t="s">
        <v>984</v>
      </c>
      <c r="EP135" s="1002" t="s">
        <v>984</v>
      </c>
      <c r="EQ135" s="1002" t="s">
        <v>984</v>
      </c>
      <c r="GW135" s="795">
        <v>1996</v>
      </c>
      <c r="GX135" s="1200">
        <v>1.218</v>
      </c>
      <c r="GY135" s="642"/>
      <c r="GZ135" s="1276">
        <v>1.4723042021668387</v>
      </c>
      <c r="HA135" s="642"/>
      <c r="HB135" s="1276">
        <v>1.4997486735151189</v>
      </c>
      <c r="HC135" s="479"/>
      <c r="HS135" s="796">
        <f>GZ135</f>
        <v>1.4723042021668387</v>
      </c>
      <c r="HT135" s="1083">
        <f>HB135</f>
        <v>1.4997486735151189</v>
      </c>
      <c r="HW135" s="795">
        <v>1996</v>
      </c>
      <c r="HX135" s="1200">
        <f t="shared" ref="HX135:HX157" si="128">DR137</f>
        <v>1.218</v>
      </c>
      <c r="HY135" s="1276">
        <v>1.5208627234830072</v>
      </c>
      <c r="HZ135" s="479"/>
      <c r="IP135" s="825">
        <f>HY135</f>
        <v>1.5208627234830072</v>
      </c>
    </row>
    <row r="136" ht="21" customHeight="1" spans="56:250" x14ac:dyDescent="0.25">
      <c r="BD136" s="1245">
        <v>2011</v>
      </c>
      <c r="BE136" s="1243">
        <v>29.39</v>
      </c>
      <c r="BF136" s="642"/>
      <c r="BG136" s="1243">
        <v>17.35</v>
      </c>
      <c r="BH136" s="479"/>
      <c r="BZ136" s="1106">
        <f t="shared" si="127"/>
        <v>29.39</v>
      </c>
      <c r="CB136" s="1277"/>
      <c r="CC136" s="1278">
        <v>1995</v>
      </c>
      <c r="CD136" s="1279">
        <f t="array" ref="CD136:CD156">TRANSPOSE(ОТЧЁТ!U126:AO126)</f>
        <v>2.313</v>
      </c>
      <c r="CE136" s="1280"/>
      <c r="CF136" s="25"/>
      <c r="CG136" s="25"/>
      <c r="CH136" s="25"/>
      <c r="CI136" s="25"/>
      <c r="CJ136" s="25"/>
      <c r="CK136" s="25"/>
      <c r="CL136" s="25"/>
      <c r="CM136" s="25"/>
      <c r="CN136" s="1265"/>
      <c r="CV136" s="1281">
        <f t="shared" ref="CV136:CV160" si="129">CD136</f>
        <v>2.313</v>
      </c>
      <c r="CX136" s="1268">
        <v>1995</v>
      </c>
      <c r="CY136" s="1282">
        <v>1</v>
      </c>
      <c r="CZ136" s="17"/>
      <c r="DA136" s="1283"/>
      <c r="DR136" s="1281">
        <v>1</v>
      </c>
      <c r="DT136" s="795">
        <v>1995</v>
      </c>
      <c r="DU136" s="1018">
        <f>DT95</f>
        <v>910.9</v>
      </c>
      <c r="DV136" s="50">
        <v>910.9</v>
      </c>
      <c r="EM136" s="827">
        <v>1995</v>
      </c>
      <c r="EN136" s="50">
        <f t="shared" ref="EN136:EN159" si="130">EM95-GB95</f>
        <v>263.03</v>
      </c>
      <c r="EO136" s="50">
        <f>EN136</f>
        <v>263.03</v>
      </c>
      <c r="EP136" s="50"/>
      <c r="EQ136" s="799">
        <v>1428.5209</v>
      </c>
      <c r="GW136" s="795">
        <v>1997</v>
      </c>
      <c r="GX136" s="1200">
        <v>1.3519800000000002</v>
      </c>
      <c r="GY136" s="642"/>
      <c r="GZ136" s="1276">
        <v>1.718558670886825</v>
      </c>
      <c r="HA136" s="642"/>
      <c r="HB136" s="1276">
        <v>1.9526312539350381</v>
      </c>
      <c r="HC136" s="479"/>
      <c r="HS136" s="796">
        <f t="shared" ref="HS136:HS155" si="131">GZ136</f>
        <v>1.718558670886825</v>
      </c>
      <c r="HT136" s="1083">
        <f t="shared" ref="HT136:HT155" si="132">HB136</f>
        <v>1.9526312539350381</v>
      </c>
      <c r="HW136" s="795">
        <v>1997</v>
      </c>
      <c r="HX136" s="1200">
        <f t="shared" si="128"/>
        <v>1.3519800000000002</v>
      </c>
      <c r="HY136" s="1276">
        <v>1.7178414165358655</v>
      </c>
      <c r="HZ136" s="479"/>
      <c r="IP136" s="825">
        <f t="shared" ref="IP136:IP155" si="133">HY136</f>
        <v>1.7178414165358655</v>
      </c>
    </row>
    <row r="137" ht="21" customHeight="1" spans="56:250" x14ac:dyDescent="0.25">
      <c r="BD137" s="1245">
        <v>2012</v>
      </c>
      <c r="BE137" s="1243">
        <v>31.1</v>
      </c>
      <c r="BF137" s="642"/>
      <c r="BG137" s="1243">
        <v>18.46</v>
      </c>
      <c r="BH137" s="479"/>
      <c r="BZ137" s="1106">
        <f t="shared" si="127"/>
        <v>31.1</v>
      </c>
      <c r="CC137" s="1278">
        <v>1996</v>
      </c>
      <c r="CD137" s="1284">
        <v>1.218</v>
      </c>
      <c r="CE137" s="1281"/>
      <c r="CF137" s="25"/>
      <c r="CG137" s="25"/>
      <c r="CH137" s="25"/>
      <c r="CI137" s="25"/>
      <c r="CJ137" s="25"/>
      <c r="CK137" s="25"/>
      <c r="CL137" s="25"/>
      <c r="CM137" s="25"/>
      <c r="CN137" s="1265"/>
      <c r="CV137" s="1281">
        <f t="shared" si="129"/>
        <v>1.218</v>
      </c>
      <c r="CX137" s="923">
        <v>1996</v>
      </c>
      <c r="CY137" s="1285">
        <f t="shared" ref="CY137:CY161" si="134">CY136*CD137</f>
        <v>1.218</v>
      </c>
      <c r="CZ137" s="20"/>
      <c r="DA137" s="1286"/>
      <c r="DR137" s="1287">
        <f t="shared" ref="DR137:DR160" si="135">CY137</f>
        <v>1.218</v>
      </c>
      <c r="DT137" s="795">
        <v>1996</v>
      </c>
      <c r="DU137" s="1027">
        <f>DT96</f>
        <v>1357.1</v>
      </c>
      <c r="DV137" s="64">
        <f>DU137/DR137</f>
        <v>1114.2036124794745</v>
      </c>
      <c r="EM137" s="1184">
        <v>1996</v>
      </c>
      <c r="EN137" s="64">
        <f t="shared" si="130"/>
        <v>334.4599999999999</v>
      </c>
      <c r="EO137" s="64">
        <f>EN137</f>
        <v>334.4599999999999</v>
      </c>
      <c r="EP137" s="64"/>
      <c r="EQ137" s="824">
        <f t="shared" ref="EQ137:EQ159" si="136">EP96</f>
        <v>2007.8252000000002</v>
      </c>
      <c r="GW137" s="795">
        <v>1998</v>
      </c>
      <c r="GX137" s="1200">
        <v>2.4930511200000005</v>
      </c>
      <c r="GY137" s="642"/>
      <c r="GZ137" s="1276">
        <v>2.1060897046594413</v>
      </c>
      <c r="HA137" s="642"/>
      <c r="HB137" s="1276">
        <v>2.005906030355448</v>
      </c>
      <c r="HC137" s="479"/>
      <c r="HS137" s="796">
        <f t="shared" si="131"/>
        <v>2.1060897046594413</v>
      </c>
      <c r="HT137" s="1083">
        <f t="shared" si="132"/>
        <v>2.005906030355448</v>
      </c>
      <c r="HW137" s="795">
        <v>1998</v>
      </c>
      <c r="HX137" s="1200">
        <f t="shared" si="128"/>
        <v>2.4930511200000005</v>
      </c>
      <c r="HY137" s="1276">
        <v>2.396006361037087</v>
      </c>
      <c r="HZ137" s="479"/>
      <c r="IP137" s="825">
        <f t="shared" si="133"/>
        <v>2.396006361037087</v>
      </c>
    </row>
    <row r="138" ht="21" customHeight="1" spans="56:250" x14ac:dyDescent="0.25">
      <c r="BD138" s="1245">
        <v>2013</v>
      </c>
      <c r="BE138" s="1243">
        <v>31.85</v>
      </c>
      <c r="BF138" s="642"/>
      <c r="BG138" s="1243">
        <v>20.48</v>
      </c>
      <c r="BH138" s="70"/>
      <c r="BZ138" s="1106">
        <f t="shared" si="127"/>
        <v>31.85</v>
      </c>
      <c r="CC138" s="1278">
        <v>1997</v>
      </c>
      <c r="CD138" s="1284">
        <v>1.11</v>
      </c>
      <c r="CE138" s="1281"/>
      <c r="CF138" s="25"/>
      <c r="CG138" s="25"/>
      <c r="CH138" s="25"/>
      <c r="CI138" s="25"/>
      <c r="CJ138" s="25"/>
      <c r="CK138" s="25"/>
      <c r="CL138" s="25"/>
      <c r="CM138" s="25"/>
      <c r="CN138" s="1265"/>
      <c r="CV138" s="1281">
        <f t="shared" si="129"/>
        <v>1.11</v>
      </c>
      <c r="CX138" s="923">
        <v>1997</v>
      </c>
      <c r="CY138" s="1285">
        <f t="shared" si="134"/>
        <v>1.3519800000000002</v>
      </c>
      <c r="CZ138" s="20"/>
      <c r="DA138" s="1286"/>
      <c r="DR138" s="1287">
        <f t="shared" si="135"/>
        <v>1.3519800000000002</v>
      </c>
      <c r="DT138" s="795">
        <v>1997</v>
      </c>
      <c r="DU138" s="1027">
        <f t="shared" ref="DU138:DU159" si="137">DT97</f>
        <v>1656.4</v>
      </c>
      <c r="DV138" s="64">
        <f t="shared" ref="DV138:DV159" si="138">DU138/DR138</f>
        <v>1225.1660527522595</v>
      </c>
      <c r="EM138" s="1184">
        <v>1997</v>
      </c>
      <c r="EN138" s="64">
        <f t="shared" si="130"/>
        <v>453.5</v>
      </c>
      <c r="EO138" s="64">
        <f t="shared" ref="EO138:EO156" si="139">EN138</f>
        <v>453.5</v>
      </c>
      <c r="EP138" s="64"/>
      <c r="EQ138" s="824">
        <f t="shared" si="136"/>
        <v>2342.5137</v>
      </c>
      <c r="GW138" s="795">
        <v>1999</v>
      </c>
      <c r="GX138" s="1200">
        <v>3.4030147788000007</v>
      </c>
      <c r="GY138" s="642"/>
      <c r="GZ138" s="1276">
        <v>3.727842297346868</v>
      </c>
      <c r="HA138" s="642"/>
      <c r="HB138" s="1276">
        <v>2.3429902839701637</v>
      </c>
      <c r="HC138" s="479"/>
      <c r="HS138" s="796">
        <f t="shared" si="131"/>
        <v>3.727842297346868</v>
      </c>
      <c r="HT138" s="1083">
        <f t="shared" si="132"/>
        <v>2.3429902839701637</v>
      </c>
      <c r="HW138" s="795">
        <v>1999</v>
      </c>
      <c r="HX138" s="1200">
        <f t="shared" si="128"/>
        <v>3.4030147788000007</v>
      </c>
      <c r="HY138" s="1276">
        <v>4.663543841500785</v>
      </c>
      <c r="HZ138" s="479"/>
      <c r="IP138" s="825">
        <f t="shared" si="133"/>
        <v>4.663543841500785</v>
      </c>
    </row>
    <row r="139" ht="22.75" customHeight="1" spans="56:250" x14ac:dyDescent="0.25">
      <c r="BD139" s="1245">
        <v>2014</v>
      </c>
      <c r="BE139" s="1243">
        <v>38.422</v>
      </c>
      <c r="BF139" s="642"/>
      <c r="BG139" s="1243">
        <v>21.26</v>
      </c>
      <c r="BH139" s="69">
        <v>19</v>
      </c>
      <c r="BZ139" s="1106">
        <f t="shared" si="127"/>
        <v>38.422</v>
      </c>
      <c r="CC139" s="1278">
        <v>1998</v>
      </c>
      <c r="CD139" s="1284">
        <v>1.844</v>
      </c>
      <c r="CE139" s="1281"/>
      <c r="CF139" s="25"/>
      <c r="CG139" s="25"/>
      <c r="CH139" s="25"/>
      <c r="CI139" s="25"/>
      <c r="CJ139" s="25"/>
      <c r="CK139" s="25"/>
      <c r="CL139" s="25"/>
      <c r="CM139" s="25"/>
      <c r="CN139" s="1265"/>
      <c r="CV139" s="1281">
        <f t="shared" si="129"/>
        <v>1.844</v>
      </c>
      <c r="CX139" s="923">
        <v>1998</v>
      </c>
      <c r="CY139" s="1285">
        <f t="shared" si="134"/>
        <v>2.4930511200000005</v>
      </c>
      <c r="CZ139" s="20"/>
      <c r="DA139" s="1286"/>
      <c r="DR139" s="1287">
        <f t="shared" si="135"/>
        <v>2.4930511200000005</v>
      </c>
      <c r="DT139" s="795">
        <v>1998</v>
      </c>
      <c r="DU139" s="1027">
        <f t="shared" si="137"/>
        <v>1776</v>
      </c>
      <c r="DV139" s="64">
        <f t="shared" si="138"/>
        <v>712.3800975248352</v>
      </c>
      <c r="EI139" s="918"/>
      <c r="EJ139" s="919"/>
      <c r="EM139" s="1184">
        <v>1998</v>
      </c>
      <c r="EN139" s="64">
        <f t="shared" si="130"/>
        <v>512.953</v>
      </c>
      <c r="EO139" s="64">
        <f t="shared" si="139"/>
        <v>512.953</v>
      </c>
      <c r="EP139" s="64"/>
      <c r="EQ139" s="824">
        <f t="shared" si="136"/>
        <v>2629.6229</v>
      </c>
      <c r="FB139" s="918"/>
      <c r="FC139" s="919"/>
      <c r="GW139" s="795">
        <v>2000</v>
      </c>
      <c r="GX139" s="1200">
        <v>4.090423764117601</v>
      </c>
      <c r="GY139" s="642"/>
      <c r="GZ139" s="1276">
        <v>4.5918326760987345</v>
      </c>
      <c r="HA139" s="642"/>
      <c r="HB139" s="1276">
        <v>3.240611479111068</v>
      </c>
      <c r="HC139" s="479"/>
      <c r="HS139" s="796">
        <f t="shared" si="131"/>
        <v>4.5918326760987345</v>
      </c>
      <c r="HT139" s="1083">
        <f t="shared" si="132"/>
        <v>3.240611479111068</v>
      </c>
      <c r="HW139" s="795">
        <v>2000</v>
      </c>
      <c r="HX139" s="1200">
        <f t="shared" si="128"/>
        <v>4.090423764117601</v>
      </c>
      <c r="HY139" s="1276">
        <v>5.082155573958843</v>
      </c>
      <c r="HZ139" s="479"/>
      <c r="IP139" s="825">
        <f t="shared" si="133"/>
        <v>5.082155573958843</v>
      </c>
    </row>
    <row r="140" ht="22.75" customHeight="1" spans="56:250" x14ac:dyDescent="0.25">
      <c r="BD140" s="1245">
        <v>2015</v>
      </c>
      <c r="BE140" s="1243">
        <v>60.958</v>
      </c>
      <c r="BF140" s="642"/>
      <c r="BG140" s="1243">
        <v>22.57</v>
      </c>
      <c r="BH140" s="69">
        <v>20</v>
      </c>
      <c r="BZ140" s="1106">
        <f t="shared" si="127"/>
        <v>60.958</v>
      </c>
      <c r="CC140" s="1278">
        <v>1999</v>
      </c>
      <c r="CD140" s="1284">
        <v>1.365</v>
      </c>
      <c r="CE140" s="1281"/>
      <c r="CF140" s="25"/>
      <c r="CG140" s="25"/>
      <c r="CH140" s="25"/>
      <c r="CI140" s="25"/>
      <c r="CJ140" s="25"/>
      <c r="CK140" s="25"/>
      <c r="CL140" s="25"/>
      <c r="CM140" s="25"/>
      <c r="CN140" s="1265"/>
      <c r="CV140" s="1281">
        <f t="shared" si="129"/>
        <v>1.365</v>
      </c>
      <c r="CX140" s="923">
        <v>1999</v>
      </c>
      <c r="CY140" s="1285">
        <f t="shared" si="134"/>
        <v>3.4030147788000007</v>
      </c>
      <c r="CZ140" s="20"/>
      <c r="DA140" s="1286"/>
      <c r="DR140" s="1287">
        <f t="shared" si="135"/>
        <v>3.4030147788000007</v>
      </c>
      <c r="DT140" s="795">
        <v>1999</v>
      </c>
      <c r="DU140" s="1027">
        <f t="shared" si="137"/>
        <v>2908.1</v>
      </c>
      <c r="DV140" s="64">
        <f t="shared" si="138"/>
        <v>854.5657862307252</v>
      </c>
      <c r="EI140" s="918"/>
      <c r="EJ140" s="919"/>
      <c r="EM140" s="1184">
        <v>1999</v>
      </c>
      <c r="EN140" s="64">
        <f t="shared" si="130"/>
        <v>974.4939999999999</v>
      </c>
      <c r="EO140" s="64">
        <f t="shared" si="139"/>
        <v>974.4939999999999</v>
      </c>
      <c r="EP140" s="64"/>
      <c r="EQ140" s="824">
        <f t="shared" si="136"/>
        <v>4823.2329</v>
      </c>
      <c r="FB140" s="918"/>
      <c r="FC140" s="919"/>
      <c r="GW140" s="795">
        <v>2001</v>
      </c>
      <c r="GX140" s="1200">
        <v>4.851242584243474</v>
      </c>
      <c r="GY140" s="642"/>
      <c r="GZ140" s="1276">
        <v>5.561179540405496</v>
      </c>
      <c r="HA140" s="642"/>
      <c r="HB140" s="1276">
        <v>3.97066356566005</v>
      </c>
      <c r="HC140" s="479"/>
      <c r="HS140" s="796">
        <f t="shared" si="131"/>
        <v>5.561179540405496</v>
      </c>
      <c r="HT140" s="1083">
        <f t="shared" si="132"/>
        <v>3.97066356566005</v>
      </c>
      <c r="HW140" s="795">
        <v>2001</v>
      </c>
      <c r="HX140" s="1200">
        <f t="shared" si="128"/>
        <v>4.851242584243474</v>
      </c>
      <c r="HY140" s="1276">
        <v>6.259732367609962</v>
      </c>
      <c r="HZ140" s="479"/>
      <c r="IP140" s="825">
        <f t="shared" si="133"/>
        <v>6.259732367609962</v>
      </c>
    </row>
    <row r="141" ht="22.75" customHeight="1" spans="56:250" x14ac:dyDescent="0.25">
      <c r="BD141" s="1245">
        <v>2016</v>
      </c>
      <c r="BE141" s="1243">
        <v>67.035</v>
      </c>
      <c r="BF141" s="642"/>
      <c r="BG141" s="53"/>
      <c r="BH141" s="69">
        <v>20.7</v>
      </c>
      <c r="BZ141" s="1106">
        <f t="shared" si="127"/>
        <v>67.035</v>
      </c>
      <c r="CC141" s="1278">
        <v>2000</v>
      </c>
      <c r="CD141" s="1284">
        <v>1.202</v>
      </c>
      <c r="CE141" s="1281"/>
      <c r="CF141" s="25"/>
      <c r="CG141" s="25"/>
      <c r="CH141" s="25"/>
      <c r="CI141" s="25"/>
      <c r="CJ141" s="25"/>
      <c r="CK141" s="25"/>
      <c r="CL141" s="25"/>
      <c r="CM141" s="25"/>
      <c r="CN141" s="1265"/>
      <c r="CV141" s="1281">
        <f t="shared" si="129"/>
        <v>1.202</v>
      </c>
      <c r="CX141" s="923">
        <v>2000</v>
      </c>
      <c r="CY141" s="1285">
        <f t="shared" si="134"/>
        <v>4.090423764117601</v>
      </c>
      <c r="CZ141" s="20"/>
      <c r="DA141" s="1286"/>
      <c r="DR141" s="1287">
        <f t="shared" si="135"/>
        <v>4.090423764117601</v>
      </c>
      <c r="DT141" s="795">
        <v>2000</v>
      </c>
      <c r="DU141" s="1027">
        <f t="shared" si="137"/>
        <v>3983.9</v>
      </c>
      <c r="DV141" s="64">
        <f t="shared" si="138"/>
        <v>973.9577681285596</v>
      </c>
      <c r="EI141" s="918"/>
      <c r="EJ141" s="919"/>
      <c r="EM141" s="1184">
        <v>2000</v>
      </c>
      <c r="EN141" s="64">
        <f t="shared" si="130"/>
        <v>1046.67</v>
      </c>
      <c r="EO141" s="64">
        <f t="shared" si="139"/>
        <v>1046.67</v>
      </c>
      <c r="EP141" s="64"/>
      <c r="EQ141" s="824">
        <f t="shared" si="136"/>
        <v>7305.6466</v>
      </c>
      <c r="FB141" s="918"/>
      <c r="FC141" s="919"/>
      <c r="GW141" s="795">
        <v>2002</v>
      </c>
      <c r="GX141" s="1200">
        <v>5.583780214464239</v>
      </c>
      <c r="GY141" s="642"/>
      <c r="GZ141" s="1276">
        <v>6.468238698917706</v>
      </c>
      <c r="HA141" s="642"/>
      <c r="HB141" s="1276">
        <v>5.284373447678545</v>
      </c>
      <c r="HC141" s="479"/>
      <c r="HS141" s="796">
        <f t="shared" si="131"/>
        <v>6.468238698917706</v>
      </c>
      <c r="HT141" s="1083">
        <f t="shared" si="132"/>
        <v>5.284373447678545</v>
      </c>
      <c r="HW141" s="795">
        <v>2002</v>
      </c>
      <c r="HX141" s="1200">
        <f t="shared" si="128"/>
        <v>5.583780214464239</v>
      </c>
      <c r="HY141" s="1276">
        <v>7.072806931090497</v>
      </c>
      <c r="HZ141" s="479"/>
      <c r="IP141" s="825">
        <f t="shared" si="133"/>
        <v>7.072806931090497</v>
      </c>
    </row>
    <row r="142" ht="22.75" customHeight="1" spans="56:250" x14ac:dyDescent="0.25">
      <c r="BD142" s="1245">
        <v>2017</v>
      </c>
      <c r="BE142" s="1243">
        <v>58.35</v>
      </c>
      <c r="BF142" s="642"/>
      <c r="BG142" s="53"/>
      <c r="BH142" s="69">
        <v>21.4</v>
      </c>
      <c r="BZ142" s="1106">
        <f t="shared" si="127"/>
        <v>58.35</v>
      </c>
      <c r="CC142" s="1278">
        <v>2001</v>
      </c>
      <c r="CD142" s="1284">
        <v>1.186</v>
      </c>
      <c r="CE142" s="1281"/>
      <c r="CF142" s="24"/>
      <c r="CG142" s="24"/>
      <c r="CH142" s="24"/>
      <c r="CI142" s="24"/>
      <c r="CJ142" s="24"/>
      <c r="CK142" s="24"/>
      <c r="CL142" s="24"/>
      <c r="CM142" s="24"/>
      <c r="CN142" s="685"/>
      <c r="CV142" s="1281">
        <f t="shared" si="129"/>
        <v>1.186</v>
      </c>
      <c r="CX142" s="923">
        <v>2001</v>
      </c>
      <c r="CY142" s="1285">
        <f t="shared" si="134"/>
        <v>4.851242584243474</v>
      </c>
      <c r="CZ142" s="20"/>
      <c r="DA142" s="1286"/>
      <c r="DR142" s="1287">
        <f t="shared" si="135"/>
        <v>4.851242584243474</v>
      </c>
      <c r="DT142" s="795">
        <v>2001</v>
      </c>
      <c r="DU142" s="1027">
        <f t="shared" si="137"/>
        <v>5325.8</v>
      </c>
      <c r="DV142" s="64">
        <f t="shared" si="138"/>
        <v>1097.8218276071905</v>
      </c>
      <c r="EI142" s="918"/>
      <c r="EJ142" s="919"/>
      <c r="EM142" s="1184">
        <v>2001</v>
      </c>
      <c r="EN142" s="64">
        <f t="shared" si="130"/>
        <v>1477.4</v>
      </c>
      <c r="EO142" s="64">
        <f t="shared" si="139"/>
        <v>1477.4</v>
      </c>
      <c r="EP142" s="64"/>
      <c r="EQ142" s="824">
        <f t="shared" si="136"/>
        <v>8943.5826</v>
      </c>
      <c r="FB142" s="918"/>
      <c r="FC142" s="919"/>
      <c r="GW142" s="795">
        <v>2003</v>
      </c>
      <c r="GX142" s="1200">
        <v>6.253833840199949</v>
      </c>
      <c r="GY142" s="642"/>
      <c r="GZ142" s="1276">
        <v>7.258482770625474</v>
      </c>
      <c r="HA142" s="642"/>
      <c r="HB142" s="1276">
        <v>6.171508131635609</v>
      </c>
      <c r="HC142" s="479"/>
      <c r="HS142" s="796">
        <f t="shared" si="131"/>
        <v>7.258482770625474</v>
      </c>
      <c r="HT142" s="1083">
        <f t="shared" si="132"/>
        <v>6.171508131635609</v>
      </c>
      <c r="HW142" s="795">
        <v>2003</v>
      </c>
      <c r="HX142" s="1200">
        <f t="shared" si="128"/>
        <v>6.253833840199949</v>
      </c>
      <c r="HY142" s="1276">
        <v>7.858642990356408</v>
      </c>
      <c r="HZ142" s="479"/>
      <c r="IP142" s="825">
        <f t="shared" si="133"/>
        <v>7.858642990356408</v>
      </c>
    </row>
    <row r="143" ht="22.75" customHeight="1" spans="56:250" x14ac:dyDescent="0.25">
      <c r="BD143" s="1245">
        <v>2018</v>
      </c>
      <c r="BE143" s="1243">
        <v>62</v>
      </c>
      <c r="BF143" s="642"/>
      <c r="BG143" s="53"/>
      <c r="BH143" s="69">
        <v>22.099999999999998</v>
      </c>
      <c r="BZ143" s="1106">
        <f t="shared" si="127"/>
        <v>62</v>
      </c>
      <c r="CC143" s="1278">
        <v>2002</v>
      </c>
      <c r="CD143" s="1284">
        <v>1.151</v>
      </c>
      <c r="CE143" s="1281"/>
      <c r="CF143" s="24"/>
      <c r="CG143" s="24"/>
      <c r="CH143" s="24"/>
      <c r="CI143" s="24"/>
      <c r="CJ143" s="24"/>
      <c r="CK143" s="24"/>
      <c r="CL143" s="24"/>
      <c r="CM143" s="24"/>
      <c r="CN143" s="685"/>
      <c r="CV143" s="1281">
        <f t="shared" si="129"/>
        <v>1.151</v>
      </c>
      <c r="CX143" s="923">
        <v>2002</v>
      </c>
      <c r="CY143" s="1285">
        <f t="shared" si="134"/>
        <v>5.583780214464239</v>
      </c>
      <c r="CZ143" s="20"/>
      <c r="DA143" s="1286"/>
      <c r="DR143" s="1287">
        <f t="shared" si="135"/>
        <v>5.583780214464239</v>
      </c>
      <c r="DT143" s="795">
        <v>2002</v>
      </c>
      <c r="DU143" s="1027">
        <f t="shared" si="137"/>
        <v>6831</v>
      </c>
      <c r="DV143" s="64">
        <f t="shared" si="138"/>
        <v>1223.36477039425</v>
      </c>
      <c r="EI143" s="918"/>
      <c r="EJ143" s="919"/>
      <c r="EM143" s="1184">
        <v>2002</v>
      </c>
      <c r="EN143" s="64">
        <f t="shared" si="130"/>
        <v>1765.8999999999996</v>
      </c>
      <c r="EO143" s="64">
        <f t="shared" si="139"/>
        <v>1765.8999999999996</v>
      </c>
      <c r="EP143" s="64"/>
      <c r="EQ143" s="824">
        <f t="shared" si="136"/>
        <v>10819.270899999998</v>
      </c>
      <c r="FB143" s="918"/>
      <c r="FC143" s="919"/>
      <c r="GW143" s="795">
        <v>2004</v>
      </c>
      <c r="GX143" s="1200">
        <v>6.9855323995033425</v>
      </c>
      <c r="GY143" s="642"/>
      <c r="GZ143" s="1276">
        <v>8.328227993617887</v>
      </c>
      <c r="HA143" s="642"/>
      <c r="HB143" s="1276">
        <v>6.701602530209906</v>
      </c>
      <c r="HC143" s="479"/>
      <c r="HS143" s="796">
        <f t="shared" si="131"/>
        <v>8.328227993617887</v>
      </c>
      <c r="HT143" s="1083">
        <f t="shared" si="132"/>
        <v>6.701602530209906</v>
      </c>
      <c r="HW143" s="795">
        <v>2004</v>
      </c>
      <c r="HX143" s="1200">
        <f t="shared" si="128"/>
        <v>6.9855323995033425</v>
      </c>
      <c r="HY143" s="1276">
        <v>9.04805344120045</v>
      </c>
      <c r="HZ143" s="479"/>
      <c r="IP143" s="825">
        <f t="shared" si="133"/>
        <v>9.04805344120045</v>
      </c>
    </row>
    <row r="144" ht="22.75" customHeight="1" spans="56:250" x14ac:dyDescent="0.25">
      <c r="BD144" s="1245">
        <v>2019</v>
      </c>
      <c r="BE144" s="1243">
        <v>64.5</v>
      </c>
      <c r="BF144" s="1288">
        <f>BE144</f>
        <v>64.5</v>
      </c>
      <c r="BG144" s="53"/>
      <c r="BH144" s="69">
        <v>22.799999999999997</v>
      </c>
      <c r="BZ144" s="1106">
        <f t="shared" si="127"/>
        <v>64.5</v>
      </c>
      <c r="CC144" s="1278">
        <v>2003</v>
      </c>
      <c r="CD144" s="1284">
        <v>1.12</v>
      </c>
      <c r="CE144" s="1281"/>
      <c r="CF144" s="24"/>
      <c r="CG144" s="24"/>
      <c r="CH144" s="24"/>
      <c r="CI144" s="24"/>
      <c r="CJ144" s="24"/>
      <c r="CK144" s="24"/>
      <c r="CL144" s="24"/>
      <c r="CM144" s="24"/>
      <c r="CN144" s="685"/>
      <c r="CV144" s="1281">
        <f t="shared" si="129"/>
        <v>1.12</v>
      </c>
      <c r="CX144" s="923">
        <v>2003</v>
      </c>
      <c r="CY144" s="1285">
        <f t="shared" si="134"/>
        <v>6.253833840199949</v>
      </c>
      <c r="CZ144" s="20"/>
      <c r="DA144" s="1286"/>
      <c r="DR144" s="1287">
        <f t="shared" si="135"/>
        <v>6.253833840199949</v>
      </c>
      <c r="DT144" s="795">
        <v>2003</v>
      </c>
      <c r="DU144" s="1027">
        <f t="shared" si="137"/>
        <v>8900.5</v>
      </c>
      <c r="DV144" s="64">
        <f t="shared" si="138"/>
        <v>1423.2069842961212</v>
      </c>
      <c r="EI144" s="918"/>
      <c r="EJ144" s="919"/>
      <c r="EM144" s="1184">
        <v>2003</v>
      </c>
      <c r="EN144" s="64">
        <f t="shared" si="130"/>
        <v>2669.1130000000003</v>
      </c>
      <c r="EO144" s="64">
        <f t="shared" si="139"/>
        <v>2669.1130000000003</v>
      </c>
      <c r="EP144" s="64"/>
      <c r="EQ144" s="824">
        <f t="shared" si="136"/>
        <v>13208.250299999998</v>
      </c>
      <c r="FB144" s="918"/>
      <c r="FC144" s="919"/>
      <c r="GW144" s="795">
        <v>2005</v>
      </c>
      <c r="GX144" s="1200">
        <v>7.746955431049207</v>
      </c>
      <c r="GY144" s="642"/>
      <c r="GZ144" s="1276">
        <v>9.370471463956683</v>
      </c>
      <c r="HA144" s="642"/>
      <c r="HB144" s="1276">
        <v>7.644439100868062</v>
      </c>
      <c r="HC144" s="479"/>
      <c r="HS144" s="796">
        <f t="shared" si="131"/>
        <v>9.370471463956683</v>
      </c>
      <c r="HT144" s="1083">
        <f t="shared" si="132"/>
        <v>7.644439100868062</v>
      </c>
      <c r="HW144" s="795">
        <v>2005</v>
      </c>
      <c r="HX144" s="1200">
        <f t="shared" si="128"/>
        <v>7.746955431049207</v>
      </c>
      <c r="HY144" s="1276">
        <v>10.070168753275144</v>
      </c>
      <c r="HZ144" s="479"/>
      <c r="IP144" s="825">
        <f t="shared" si="133"/>
        <v>10.070168753275144</v>
      </c>
    </row>
    <row r="145" ht="22.75" customHeight="1" spans="56:250" x14ac:dyDescent="0.25">
      <c r="BD145" s="1245">
        <v>2020</v>
      </c>
      <c r="BE145" s="1243">
        <v>75</v>
      </c>
      <c r="BF145" s="1288">
        <f>BE145</f>
        <v>75</v>
      </c>
      <c r="BG145" s="53"/>
      <c r="BH145" s="69">
        <v>23.499999999999996</v>
      </c>
      <c r="BZ145" s="1106">
        <f t="shared" si="127"/>
        <v>75</v>
      </c>
      <c r="CC145" s="1278">
        <v>2004</v>
      </c>
      <c r="CD145" s="1284">
        <v>1.117</v>
      </c>
      <c r="CE145" s="1281"/>
      <c r="CF145" s="24"/>
      <c r="CG145" s="24"/>
      <c r="CH145" s="24"/>
      <c r="CI145" s="24"/>
      <c r="CJ145" s="24"/>
      <c r="CK145" s="24"/>
      <c r="CL145" s="24"/>
      <c r="CM145" s="24"/>
      <c r="CN145" s="685"/>
      <c r="CV145" s="1281">
        <f t="shared" si="129"/>
        <v>1.117</v>
      </c>
      <c r="CX145" s="923">
        <v>2004</v>
      </c>
      <c r="CY145" s="1285">
        <f t="shared" si="134"/>
        <v>6.9855323995033425</v>
      </c>
      <c r="CZ145" s="20"/>
      <c r="DA145" s="1286"/>
      <c r="DR145" s="1287">
        <f t="shared" si="135"/>
        <v>6.9855323995033425</v>
      </c>
      <c r="DT145" s="795">
        <v>2004</v>
      </c>
      <c r="DU145" s="1027">
        <f t="shared" si="137"/>
        <v>10976.3</v>
      </c>
      <c r="DV145" s="64">
        <f t="shared" si="138"/>
        <v>1571.2904002535859</v>
      </c>
      <c r="EI145" s="918"/>
      <c r="EJ145" s="919"/>
      <c r="EM145" s="1184">
        <v>2004</v>
      </c>
      <c r="EN145" s="64">
        <f t="shared" si="130"/>
        <v>3131.262999999999</v>
      </c>
      <c r="EO145" s="64">
        <f t="shared" si="139"/>
        <v>3131.262999999999</v>
      </c>
      <c r="EP145" s="64"/>
      <c r="EQ145" s="824">
        <f t="shared" si="136"/>
        <v>17027.166999999998</v>
      </c>
      <c r="FB145" s="918"/>
      <c r="FC145" s="919"/>
      <c r="GW145" s="795">
        <v>2006</v>
      </c>
      <c r="GX145" s="1200">
        <v>8.444181419843636</v>
      </c>
      <c r="GY145" s="642"/>
      <c r="GZ145" s="1276">
        <v>10.171880121895711</v>
      </c>
      <c r="HA145" s="642"/>
      <c r="HB145" s="1276">
        <v>8.625582341885453</v>
      </c>
      <c r="HC145" s="479"/>
      <c r="HS145" s="796">
        <f t="shared" si="131"/>
        <v>10.171880121895711</v>
      </c>
      <c r="HT145" s="1083">
        <f t="shared" si="132"/>
        <v>8.625582341885453</v>
      </c>
      <c r="HW145" s="795">
        <v>2006</v>
      </c>
      <c r="HX145" s="1200">
        <f t="shared" si="128"/>
        <v>8.444181419843636</v>
      </c>
      <c r="HY145" s="1276">
        <v>11.237649593940652</v>
      </c>
      <c r="HZ145" s="479"/>
      <c r="IP145" s="825">
        <f t="shared" si="133"/>
        <v>11.237649593940652</v>
      </c>
    </row>
    <row r="146" ht="22.75" customHeight="1" spans="56:250" x14ac:dyDescent="0.25">
      <c r="BD146" s="1245">
        <v>2021</v>
      </c>
      <c r="BE146" s="1243"/>
      <c r="BF146" s="48">
        <v>84</v>
      </c>
      <c r="BG146" s="53"/>
      <c r="BH146" s="69">
        <v>24.199999999999996</v>
      </c>
      <c r="BZ146" s="1009">
        <f>BF146</f>
        <v>84</v>
      </c>
      <c r="CC146" s="1278">
        <v>2005</v>
      </c>
      <c r="CD146" s="1284">
        <v>1.109</v>
      </c>
      <c r="CE146" s="1281"/>
      <c r="CF146" s="24"/>
      <c r="CG146" s="24"/>
      <c r="CH146" s="24"/>
      <c r="CI146" s="24"/>
      <c r="CJ146" s="24"/>
      <c r="CK146" s="24"/>
      <c r="CL146" s="24"/>
      <c r="CM146" s="24"/>
      <c r="CN146" s="685"/>
      <c r="CV146" s="1281">
        <f t="shared" si="129"/>
        <v>1.109</v>
      </c>
      <c r="CX146" s="923">
        <v>2005</v>
      </c>
      <c r="CY146" s="1285">
        <f t="shared" si="134"/>
        <v>7.746955431049207</v>
      </c>
      <c r="CZ146" s="20"/>
      <c r="DA146" s="1286"/>
      <c r="DR146" s="1287">
        <f t="shared" si="135"/>
        <v>7.746955431049207</v>
      </c>
      <c r="DT146" s="795">
        <v>2005</v>
      </c>
      <c r="DU146" s="1027">
        <f t="shared" si="137"/>
        <v>13819</v>
      </c>
      <c r="DV146" s="64">
        <f t="shared" si="138"/>
        <v>1783.797534785666</v>
      </c>
      <c r="EI146" s="918"/>
      <c r="EJ146" s="919"/>
      <c r="EM146" s="1184">
        <v>2005</v>
      </c>
      <c r="EN146" s="64">
        <f t="shared" si="130"/>
        <v>4379.173000000001</v>
      </c>
      <c r="EO146" s="64">
        <f t="shared" si="139"/>
        <v>4379.173000000001</v>
      </c>
      <c r="EP146" s="64"/>
      <c r="EQ146" s="824">
        <f t="shared" si="136"/>
        <v>21609.765799999997</v>
      </c>
      <c r="FB146" s="918"/>
      <c r="FC146" s="919"/>
      <c r="GW146" s="795">
        <v>2007</v>
      </c>
      <c r="GX146" s="1200">
        <v>9.446505754379075</v>
      </c>
      <c r="GY146" s="642"/>
      <c r="GZ146" s="1276">
        <v>10.996054426330467</v>
      </c>
      <c r="HA146" s="642"/>
      <c r="HB146" s="1276">
        <v>10.098705571453516</v>
      </c>
      <c r="HC146" s="479"/>
      <c r="HS146" s="796">
        <f t="shared" si="131"/>
        <v>10.996054426330467</v>
      </c>
      <c r="HT146" s="1083">
        <f t="shared" si="132"/>
        <v>10.098705571453516</v>
      </c>
      <c r="HW146" s="795">
        <v>2007</v>
      </c>
      <c r="HX146" s="1200">
        <f t="shared" si="128"/>
        <v>9.446505754379075</v>
      </c>
      <c r="HY146" s="1276">
        <v>12.985985567555964</v>
      </c>
      <c r="HZ146" s="479"/>
      <c r="IP146" s="825">
        <f t="shared" si="133"/>
        <v>12.985985567555964</v>
      </c>
    </row>
    <row r="147" ht="22.75" customHeight="1" spans="56:250" x14ac:dyDescent="0.25">
      <c r="BD147" s="1245">
        <v>2022</v>
      </c>
      <c r="BE147" s="1243"/>
      <c r="BF147" s="48">
        <v>72</v>
      </c>
      <c r="BG147" s="53"/>
      <c r="BH147" s="69">
        <v>24.899999999999995</v>
      </c>
      <c r="BZ147" s="1009">
        <f t="shared" ref="BZ147:BZ160" si="140">BF147</f>
        <v>72</v>
      </c>
      <c r="CC147" s="1278">
        <v>2006</v>
      </c>
      <c r="CD147" s="1284">
        <v>1.09</v>
      </c>
      <c r="CE147" s="1281"/>
      <c r="CF147" s="24"/>
      <c r="CG147" s="24"/>
      <c r="CH147" s="24"/>
      <c r="CI147" s="24"/>
      <c r="CJ147" s="24"/>
      <c r="CK147" s="24"/>
      <c r="CL147" s="24"/>
      <c r="CM147" s="24"/>
      <c r="CN147" s="685"/>
      <c r="CV147" s="1281">
        <f t="shared" si="129"/>
        <v>1.09</v>
      </c>
      <c r="CX147" s="923">
        <v>2006</v>
      </c>
      <c r="CY147" s="1285">
        <f t="shared" si="134"/>
        <v>8.444181419843636</v>
      </c>
      <c r="CZ147" s="20"/>
      <c r="DA147" s="1286"/>
      <c r="DR147" s="1287">
        <f t="shared" si="135"/>
        <v>8.444181419843636</v>
      </c>
      <c r="DT147" s="795">
        <v>2006</v>
      </c>
      <c r="DU147" s="1027">
        <f t="shared" si="137"/>
        <v>17290.1</v>
      </c>
      <c r="DV147" s="64">
        <f t="shared" si="138"/>
        <v>2047.5756192741967</v>
      </c>
      <c r="EI147" s="918"/>
      <c r="EJ147" s="919"/>
      <c r="EM147" s="1184">
        <v>2006</v>
      </c>
      <c r="EN147" s="64">
        <f t="shared" si="130"/>
        <v>5304.194999999998</v>
      </c>
      <c r="EO147" s="64">
        <f t="shared" si="139"/>
        <v>5304.194999999998</v>
      </c>
      <c r="EP147" s="64"/>
      <c r="EQ147" s="824">
        <f t="shared" si="136"/>
        <v>26917.2037</v>
      </c>
      <c r="FB147" s="918"/>
      <c r="FC147" s="919"/>
      <c r="GW147" s="795">
        <v>2008</v>
      </c>
      <c r="GX147" s="1200">
        <v>10.701001718560617</v>
      </c>
      <c r="GY147" s="642"/>
      <c r="GZ147" s="1276">
        <v>12.382630991276981</v>
      </c>
      <c r="HA147" s="642"/>
      <c r="HB147" s="1276">
        <v>11.941266045828566</v>
      </c>
      <c r="HC147" s="479"/>
      <c r="HS147" s="796">
        <f t="shared" si="131"/>
        <v>12.382630991276981</v>
      </c>
      <c r="HT147" s="1083">
        <f t="shared" si="132"/>
        <v>11.941266045828566</v>
      </c>
      <c r="HW147" s="795">
        <v>2008</v>
      </c>
      <c r="HX147" s="1200">
        <f t="shared" si="128"/>
        <v>10.701001718560617</v>
      </c>
      <c r="HY147" s="1276">
        <v>15.397267606350976</v>
      </c>
      <c r="HZ147" s="479"/>
      <c r="IP147" s="825">
        <f t="shared" si="133"/>
        <v>15.397267606350976</v>
      </c>
    </row>
    <row r="148" ht="22.75" customHeight="1" spans="56:250" x14ac:dyDescent="0.25">
      <c r="BD148" s="1245">
        <v>2023</v>
      </c>
      <c r="BE148" s="1243"/>
      <c r="BF148" s="48">
        <v>70</v>
      </c>
      <c r="BG148" s="53"/>
      <c r="BH148" s="69">
        <v>25.599999999999994</v>
      </c>
      <c r="BZ148" s="1009">
        <f t="shared" si="140"/>
        <v>70</v>
      </c>
      <c r="CC148" s="1278">
        <v>2007</v>
      </c>
      <c r="CD148" s="1284">
        <v>1.1187</v>
      </c>
      <c r="CE148" s="1281"/>
      <c r="CF148" s="24"/>
      <c r="CG148" s="24"/>
      <c r="CH148" s="24"/>
      <c r="CI148" s="24"/>
      <c r="CJ148" s="24"/>
      <c r="CK148" s="24"/>
      <c r="CL148" s="24"/>
      <c r="CM148" s="24"/>
      <c r="CN148" s="685"/>
      <c r="CV148" s="1281">
        <f t="shared" si="129"/>
        <v>1.1187</v>
      </c>
      <c r="CX148" s="923">
        <v>2007</v>
      </c>
      <c r="CY148" s="1285">
        <f t="shared" si="134"/>
        <v>9.446505754379075</v>
      </c>
      <c r="CZ148" s="20"/>
      <c r="DA148" s="1286"/>
      <c r="DR148" s="1287">
        <f t="shared" si="135"/>
        <v>9.446505754379075</v>
      </c>
      <c r="DT148" s="795">
        <v>2007</v>
      </c>
      <c r="DU148" s="1027">
        <f t="shared" si="137"/>
        <v>21311.5</v>
      </c>
      <c r="DV148" s="64">
        <f t="shared" si="138"/>
        <v>2256.0193741607286</v>
      </c>
      <c r="EI148" s="918"/>
      <c r="EJ148" s="919"/>
      <c r="EM148" s="1184">
        <v>2007</v>
      </c>
      <c r="EN148" s="64">
        <f t="shared" si="130"/>
        <v>5785.389999999999</v>
      </c>
      <c r="EO148" s="64">
        <f t="shared" si="139"/>
        <v>5785.389999999999</v>
      </c>
      <c r="EP148" s="64"/>
      <c r="EQ148" s="824">
        <f t="shared" si="136"/>
        <v>33247.5132</v>
      </c>
      <c r="FB148" s="918"/>
      <c r="FC148" s="919"/>
      <c r="GW148" s="795">
        <v>2009</v>
      </c>
      <c r="GX148" s="1200">
        <v>11.642689869793951</v>
      </c>
      <c r="GY148" s="642"/>
      <c r="GZ148" s="1276">
        <v>13.714036448863869</v>
      </c>
      <c r="HA148" s="642"/>
      <c r="HB148" s="1276">
        <v>12.996640727607122</v>
      </c>
      <c r="HC148" s="479"/>
      <c r="HS148" s="796">
        <f t="shared" si="131"/>
        <v>13.714036448863869</v>
      </c>
      <c r="HT148" s="1083">
        <f t="shared" si="132"/>
        <v>12.996640727607122</v>
      </c>
      <c r="HW148" s="795">
        <v>2009</v>
      </c>
      <c r="HX148" s="1200">
        <f t="shared" si="128"/>
        <v>11.642689869793951</v>
      </c>
      <c r="HY148" s="1276">
        <v>18.209619166526906</v>
      </c>
      <c r="HZ148" s="479"/>
      <c r="IP148" s="825">
        <f t="shared" si="133"/>
        <v>18.209619166526906</v>
      </c>
    </row>
    <row r="149" ht="22.75" customHeight="1" spans="56:250" x14ac:dyDescent="0.25">
      <c r="BD149" s="1245">
        <v>2024</v>
      </c>
      <c r="BE149" s="1243"/>
      <c r="BF149" s="48">
        <v>68</v>
      </c>
      <c r="BG149" s="53"/>
      <c r="BH149" s="69">
        <v>26.299999999999994</v>
      </c>
      <c r="BZ149" s="1009">
        <f t="shared" si="140"/>
        <v>68</v>
      </c>
      <c r="CC149" s="1278">
        <v>2008</v>
      </c>
      <c r="CD149" s="1284">
        <v>1.1328</v>
      </c>
      <c r="CE149" s="1281"/>
      <c r="CF149" s="24"/>
      <c r="CG149" s="24"/>
      <c r="CH149" s="24"/>
      <c r="CI149" s="24"/>
      <c r="CJ149" s="24"/>
      <c r="CK149" s="24"/>
      <c r="CL149" s="24"/>
      <c r="CM149" s="24"/>
      <c r="CN149" s="685"/>
      <c r="CV149" s="1281">
        <f t="shared" si="129"/>
        <v>1.1328</v>
      </c>
      <c r="CX149" s="923">
        <v>2008</v>
      </c>
      <c r="CY149" s="1285">
        <f t="shared" si="134"/>
        <v>10.701001718560617</v>
      </c>
      <c r="CZ149" s="20"/>
      <c r="DA149" s="1286"/>
      <c r="DR149" s="1287">
        <f t="shared" si="135"/>
        <v>10.701001718560617</v>
      </c>
      <c r="DT149" s="795">
        <v>2008</v>
      </c>
      <c r="DU149" s="1027">
        <f t="shared" si="137"/>
        <v>25244</v>
      </c>
      <c r="DV149" s="64">
        <f t="shared" si="138"/>
        <v>2359.0314873246793</v>
      </c>
      <c r="EI149" s="918"/>
      <c r="EJ149" s="919"/>
      <c r="EM149" s="1184">
        <v>2008</v>
      </c>
      <c r="EN149" s="64">
        <f t="shared" si="130"/>
        <v>5684.240000000002</v>
      </c>
      <c r="EO149" s="64">
        <f t="shared" si="139"/>
        <v>5684.240000000002</v>
      </c>
      <c r="EP149" s="64"/>
      <c r="EQ149" s="824">
        <f t="shared" si="136"/>
        <v>41276.8492</v>
      </c>
      <c r="FB149" s="918"/>
      <c r="FC149" s="919"/>
      <c r="GW149" s="795">
        <v>2010</v>
      </c>
      <c r="GX149" s="1200">
        <v>12.664918040361862</v>
      </c>
      <c r="GY149" s="642"/>
      <c r="GZ149" s="1276">
        <v>14.629133800462956</v>
      </c>
      <c r="HA149" s="642"/>
      <c r="HB149" s="1276">
        <v>13.587422805401822</v>
      </c>
      <c r="HC149" s="479"/>
      <c r="HS149" s="796">
        <f t="shared" si="131"/>
        <v>14.629133800462956</v>
      </c>
      <c r="HT149" s="1083">
        <f t="shared" si="132"/>
        <v>13.587422805401822</v>
      </c>
      <c r="HW149" s="795">
        <v>2010</v>
      </c>
      <c r="HX149" s="1200">
        <f t="shared" si="128"/>
        <v>12.664918040361862</v>
      </c>
      <c r="HY149" s="1276">
        <v>20.20580339197264</v>
      </c>
      <c r="HZ149" s="479"/>
      <c r="IP149" s="825">
        <f t="shared" si="133"/>
        <v>20.20580339197264</v>
      </c>
    </row>
    <row r="150" ht="22.75" customHeight="1" spans="56:250" x14ac:dyDescent="0.25">
      <c r="BD150" s="1245">
        <v>2025</v>
      </c>
      <c r="BE150" s="1243"/>
      <c r="BF150" s="48">
        <f t="shared" ref="BF150:BF160" si="141">BF149+0.8</f>
        <v>68.8</v>
      </c>
      <c r="BG150" s="53"/>
      <c r="BH150" s="69">
        <v>26.999999999999993</v>
      </c>
      <c r="BZ150" s="1009">
        <f t="shared" si="140"/>
        <v>68.8</v>
      </c>
      <c r="CC150" s="1278">
        <v>2009</v>
      </c>
      <c r="CD150" s="1284">
        <v>1.088</v>
      </c>
      <c r="CE150" s="1281"/>
      <c r="CF150" s="24"/>
      <c r="CG150" s="24"/>
      <c r="CH150" s="24"/>
      <c r="CI150" s="24"/>
      <c r="CJ150" s="24"/>
      <c r="CK150" s="24"/>
      <c r="CL150" s="24"/>
      <c r="CM150" s="24"/>
      <c r="CN150" s="685"/>
      <c r="CV150" s="1281">
        <f t="shared" si="129"/>
        <v>1.088</v>
      </c>
      <c r="CX150" s="923">
        <v>2009</v>
      </c>
      <c r="CY150" s="1285">
        <f t="shared" si="134"/>
        <v>11.642689869793951</v>
      </c>
      <c r="CZ150" s="53">
        <f>CY150</f>
        <v>11.642689869793951</v>
      </c>
      <c r="DA150" s="1286"/>
      <c r="DR150" s="1287">
        <f t="shared" si="135"/>
        <v>11.642689869793951</v>
      </c>
      <c r="DT150" s="795">
        <v>2009</v>
      </c>
      <c r="DU150" s="1027">
        <f t="shared" si="137"/>
        <v>28697.5</v>
      </c>
      <c r="DV150" s="64">
        <f t="shared" si="138"/>
        <v>2464.851363468284</v>
      </c>
      <c r="EI150" s="918"/>
      <c r="EJ150" s="919"/>
      <c r="EM150" s="1184">
        <v>2009</v>
      </c>
      <c r="EN150" s="64">
        <f t="shared" si="130"/>
        <v>8285.89</v>
      </c>
      <c r="EO150" s="64">
        <f t="shared" si="139"/>
        <v>8285.89</v>
      </c>
      <c r="EP150" s="64"/>
      <c r="EQ150" s="824">
        <f t="shared" si="136"/>
        <v>38807.270899999996</v>
      </c>
      <c r="FB150" s="918"/>
      <c r="FC150" s="919"/>
      <c r="GW150" s="795">
        <v>2011</v>
      </c>
      <c r="GX150" s="1200">
        <v>13.437478040823935</v>
      </c>
      <c r="GY150" s="642"/>
      <c r="GZ150" s="1276">
        <v>17.36421630879255</v>
      </c>
      <c r="HA150" s="642"/>
      <c r="HB150" s="1276">
        <v>14.262597604124318</v>
      </c>
      <c r="HC150" s="479"/>
      <c r="HS150" s="796">
        <f t="shared" si="131"/>
        <v>17.36421630879255</v>
      </c>
      <c r="HT150" s="1083">
        <f t="shared" si="132"/>
        <v>14.262597604124318</v>
      </c>
      <c r="HW150" s="795">
        <v>2011</v>
      </c>
      <c r="HX150" s="1200">
        <f t="shared" si="128"/>
        <v>13.437478040823935</v>
      </c>
      <c r="HY150" s="1276">
        <v>23.496938857350884</v>
      </c>
      <c r="HZ150" s="479"/>
      <c r="IP150" s="825">
        <f t="shared" si="133"/>
        <v>23.496938857350884</v>
      </c>
    </row>
    <row r="151" ht="22.75" customHeight="1" spans="56:250" x14ac:dyDescent="0.25">
      <c r="BD151" s="1245">
        <v>2026</v>
      </c>
      <c r="BE151" s="1243"/>
      <c r="BF151" s="48">
        <f t="shared" si="141"/>
        <v>69.6</v>
      </c>
      <c r="BG151" s="53"/>
      <c r="BH151" s="69">
        <v>27.699999999999992</v>
      </c>
      <c r="BZ151" s="1009">
        <f t="shared" si="140"/>
        <v>69.6</v>
      </c>
      <c r="CC151" s="1278">
        <v>2010</v>
      </c>
      <c r="CD151" s="1284">
        <v>1.0878</v>
      </c>
      <c r="CE151" s="1281"/>
      <c r="CF151" s="24"/>
      <c r="CG151" s="24"/>
      <c r="CH151" s="24"/>
      <c r="CI151" s="24"/>
      <c r="CJ151" s="24"/>
      <c r="CK151" s="24"/>
      <c r="CL151" s="24"/>
      <c r="CM151" s="24"/>
      <c r="CN151" s="685"/>
      <c r="CV151" s="1281">
        <f t="shared" si="129"/>
        <v>1.0878</v>
      </c>
      <c r="CX151" s="923">
        <v>2010</v>
      </c>
      <c r="CY151" s="1285">
        <f t="shared" si="134"/>
        <v>12.664918040361862</v>
      </c>
      <c r="CZ151" s="53">
        <f t="shared" ref="CZ151:CZ154" si="142">CY151</f>
        <v>12.664918040361862</v>
      </c>
      <c r="DA151" s="1286"/>
      <c r="DR151" s="1287">
        <f t="shared" si="135"/>
        <v>12.664918040361862</v>
      </c>
      <c r="DT151" s="795">
        <v>2010</v>
      </c>
      <c r="DU151" s="1027">
        <f t="shared" si="137"/>
        <v>32498.3</v>
      </c>
      <c r="DV151" s="64">
        <f t="shared" si="138"/>
        <v>2566.0094993454422</v>
      </c>
      <c r="EI151" s="918"/>
      <c r="EJ151" s="919"/>
      <c r="EM151" s="1184">
        <v>2010</v>
      </c>
      <c r="EN151" s="64">
        <f t="shared" si="130"/>
        <v>9502.669999999998</v>
      </c>
      <c r="EO151" s="64">
        <f t="shared" si="139"/>
        <v>9502.669999999998</v>
      </c>
      <c r="EP151" s="64"/>
      <c r="EQ151" s="824">
        <f t="shared" si="136"/>
        <v>46308.53100000001</v>
      </c>
      <c r="FB151" s="918"/>
      <c r="FC151" s="919"/>
      <c r="GW151" s="795">
        <v>2012</v>
      </c>
      <c r="GX151" s="1200">
        <v>14.321664095910151</v>
      </c>
      <c r="GY151" s="642"/>
      <c r="GZ151" s="1276">
        <v>18.5401251106608</v>
      </c>
      <c r="HA151" s="642"/>
      <c r="HB151" s="1276">
        <v>15.820545673088896</v>
      </c>
      <c r="HC151" s="479"/>
      <c r="HS151" s="796">
        <f t="shared" si="131"/>
        <v>18.5401251106608</v>
      </c>
      <c r="HT151" s="1083">
        <f t="shared" si="132"/>
        <v>15.820545673088896</v>
      </c>
      <c r="HW151" s="795">
        <v>2012</v>
      </c>
      <c r="HX151" s="1200">
        <f t="shared" si="128"/>
        <v>14.321664095910151</v>
      </c>
      <c r="HY151" s="1276">
        <v>25.552634846384674</v>
      </c>
      <c r="HZ151" s="479"/>
      <c r="IP151" s="825">
        <f t="shared" si="133"/>
        <v>25.552634846384674</v>
      </c>
    </row>
    <row r="152" ht="22.75" customHeight="1" spans="56:250" x14ac:dyDescent="0.25">
      <c r="BD152" s="1245">
        <v>2027</v>
      </c>
      <c r="BE152" s="1243"/>
      <c r="BF152" s="48">
        <f t="shared" si="141"/>
        <v>70.39999999999999</v>
      </c>
      <c r="BG152" s="53"/>
      <c r="BH152" s="69">
        <v>28.39999999999999</v>
      </c>
      <c r="BZ152" s="1009">
        <f t="shared" si="140"/>
        <v>70.39999999999999</v>
      </c>
      <c r="CC152" s="1278">
        <v>2011</v>
      </c>
      <c r="CD152" s="1284">
        <v>1.061</v>
      </c>
      <c r="CE152" s="1281"/>
      <c r="CF152" s="24"/>
      <c r="CG152" s="24"/>
      <c r="CH152" s="24"/>
      <c r="CI152" s="24"/>
      <c r="CJ152" s="24"/>
      <c r="CK152" s="24"/>
      <c r="CL152" s="24"/>
      <c r="CM152" s="24"/>
      <c r="CN152" s="685"/>
      <c r="CV152" s="1281">
        <f t="shared" si="129"/>
        <v>1.061</v>
      </c>
      <c r="CX152" s="923">
        <v>2011</v>
      </c>
      <c r="CY152" s="1285">
        <f t="shared" si="134"/>
        <v>13.437478040823935</v>
      </c>
      <c r="CZ152" s="53">
        <f t="shared" si="142"/>
        <v>13.437478040823935</v>
      </c>
      <c r="DA152" s="1286"/>
      <c r="DR152" s="1287">
        <f t="shared" si="135"/>
        <v>13.437478040823935</v>
      </c>
      <c r="DT152" s="795">
        <v>2011</v>
      </c>
      <c r="DU152" s="1027">
        <f t="shared" si="137"/>
        <v>35648.7</v>
      </c>
      <c r="DV152" s="64">
        <f t="shared" si="138"/>
        <v>2652.930846971204</v>
      </c>
      <c r="EI152" s="918"/>
      <c r="EJ152" s="919"/>
      <c r="EM152" s="1184">
        <v>2011</v>
      </c>
      <c r="EN152" s="64">
        <f t="shared" si="130"/>
        <v>9262.024599999997</v>
      </c>
      <c r="EO152" s="64">
        <f t="shared" si="139"/>
        <v>9262.024599999997</v>
      </c>
      <c r="EP152" s="64"/>
      <c r="EQ152" s="824">
        <f t="shared" si="136"/>
        <v>60282.540400000005</v>
      </c>
      <c r="FB152" s="918"/>
      <c r="FC152" s="919"/>
      <c r="GW152" s="795">
        <v>2013</v>
      </c>
      <c r="GX152" s="1200">
        <v>15.245411430096356</v>
      </c>
      <c r="GY152" s="642"/>
      <c r="GZ152" s="1276">
        <v>19.653563919076568</v>
      </c>
      <c r="HA152" s="642"/>
      <c r="HB152" s="1276">
        <v>16.64363718116042</v>
      </c>
      <c r="HC152" s="479"/>
      <c r="HS152" s="796">
        <f t="shared" si="131"/>
        <v>19.653563919076568</v>
      </c>
      <c r="HT152" s="1083">
        <f t="shared" si="132"/>
        <v>16.64363718116042</v>
      </c>
      <c r="HW152" s="795">
        <v>2013</v>
      </c>
      <c r="HX152" s="1200">
        <f t="shared" si="128"/>
        <v>15.245411430096356</v>
      </c>
      <c r="HY152" s="1276">
        <v>27.368855432385324</v>
      </c>
      <c r="HZ152" s="479"/>
      <c r="IP152" s="825">
        <f t="shared" si="133"/>
        <v>27.368855432385324</v>
      </c>
    </row>
    <row r="153" ht="22.75" customHeight="1" spans="56:250" x14ac:dyDescent="0.25">
      <c r="BD153" s="1245">
        <v>2028</v>
      </c>
      <c r="BE153" s="1243"/>
      <c r="BF153" s="48">
        <f t="shared" si="141"/>
        <v>71.19999999999999</v>
      </c>
      <c r="BG153" s="53"/>
      <c r="BH153" s="69">
        <v>29.09999999999999</v>
      </c>
      <c r="BZ153" s="1009">
        <f t="shared" si="140"/>
        <v>71.19999999999999</v>
      </c>
      <c r="CC153" s="1278">
        <v>2012</v>
      </c>
      <c r="CD153" s="1284">
        <v>1.0658</v>
      </c>
      <c r="CE153" s="1281"/>
      <c r="CF153" s="24"/>
      <c r="CG153" s="24"/>
      <c r="CH153" s="24"/>
      <c r="CI153" s="24"/>
      <c r="CJ153" s="24"/>
      <c r="CK153" s="24"/>
      <c r="CL153" s="24"/>
      <c r="CM153" s="24"/>
      <c r="CN153" s="685"/>
      <c r="CV153" s="1281">
        <f t="shared" si="129"/>
        <v>1.0658</v>
      </c>
      <c r="CX153" s="923">
        <v>2012</v>
      </c>
      <c r="CY153" s="1285">
        <f t="shared" si="134"/>
        <v>14.321664095910151</v>
      </c>
      <c r="CZ153" s="53">
        <f t="shared" si="142"/>
        <v>14.321664095910151</v>
      </c>
      <c r="DA153" s="1286"/>
      <c r="DR153" s="1287">
        <f t="shared" si="135"/>
        <v>14.321664095910151</v>
      </c>
      <c r="DT153" s="795">
        <v>2012</v>
      </c>
      <c r="DU153" s="1027">
        <f t="shared" si="137"/>
        <v>39904</v>
      </c>
      <c r="DV153" s="64">
        <f t="shared" si="138"/>
        <v>2786.268392609167</v>
      </c>
      <c r="EI153" s="918"/>
      <c r="EJ153" s="919"/>
      <c r="EM153" s="1184">
        <v>2012</v>
      </c>
      <c r="EN153" s="64">
        <f t="shared" si="130"/>
        <v>9702.838500000002</v>
      </c>
      <c r="EO153" s="64">
        <f t="shared" si="139"/>
        <v>9702.838500000002</v>
      </c>
      <c r="EP153" s="64"/>
      <c r="EQ153" s="824">
        <f t="shared" si="136"/>
        <v>68163.8831</v>
      </c>
      <c r="FB153" s="918"/>
      <c r="FC153" s="919"/>
      <c r="GW153" s="795">
        <v>2014</v>
      </c>
      <c r="GX153" s="1200">
        <v>17.31878738458946</v>
      </c>
      <c r="GY153" s="642"/>
      <c r="GZ153" s="1276">
        <v>21.01627695270109</v>
      </c>
      <c r="HA153" s="642"/>
      <c r="HB153" s="1276">
        <v>18.778754615584578</v>
      </c>
      <c r="HC153" s="479"/>
      <c r="HS153" s="796">
        <f t="shared" si="131"/>
        <v>21.01627695270109</v>
      </c>
      <c r="HT153" s="1083">
        <f t="shared" si="132"/>
        <v>18.778754615584578</v>
      </c>
      <c r="HW153" s="795">
        <v>2014</v>
      </c>
      <c r="HX153" s="1200">
        <f t="shared" si="128"/>
        <v>17.31878738458946</v>
      </c>
      <c r="HY153" s="1276">
        <v>30.814371333057377</v>
      </c>
      <c r="HZ153" s="479"/>
      <c r="IP153" s="825">
        <f t="shared" si="133"/>
        <v>30.814371333057377</v>
      </c>
    </row>
    <row r="154" ht="22.75" customHeight="1" spans="56:250" x14ac:dyDescent="0.25">
      <c r="BD154" s="1245">
        <v>2029</v>
      </c>
      <c r="BE154" s="1243"/>
      <c r="BF154" s="48">
        <f t="shared" si="141"/>
        <v>71.99999999999999</v>
      </c>
      <c r="BG154" s="53"/>
      <c r="BH154" s="69">
        <v>29.79999999999999</v>
      </c>
      <c r="BZ154" s="1009">
        <f t="shared" si="140"/>
        <v>71.99999999999999</v>
      </c>
      <c r="CC154" s="1278">
        <v>2013</v>
      </c>
      <c r="CD154" s="1284">
        <v>1.0645</v>
      </c>
      <c r="CE154" s="1281"/>
      <c r="CF154" s="24"/>
      <c r="CG154" s="24"/>
      <c r="CH154" s="24"/>
      <c r="CI154" s="24"/>
      <c r="CJ154" s="24"/>
      <c r="CK154" s="24"/>
      <c r="CL154" s="24"/>
      <c r="CM154" s="24"/>
      <c r="CN154" s="685"/>
      <c r="CV154" s="1281">
        <f t="shared" si="129"/>
        <v>1.0645</v>
      </c>
      <c r="CX154" s="923">
        <v>2013</v>
      </c>
      <c r="CY154" s="1285">
        <f t="shared" si="134"/>
        <v>15.245411430096356</v>
      </c>
      <c r="CZ154" s="53">
        <f t="shared" si="142"/>
        <v>15.245411430096356</v>
      </c>
      <c r="DA154" s="1286"/>
      <c r="DR154" s="1287">
        <f t="shared" si="135"/>
        <v>15.245411430096356</v>
      </c>
      <c r="DT154" s="795">
        <v>2013</v>
      </c>
      <c r="DU154" s="1027">
        <f t="shared" si="137"/>
        <v>44650</v>
      </c>
      <c r="DV154" s="64">
        <f t="shared" si="138"/>
        <v>2928.7500835730348</v>
      </c>
      <c r="EI154" s="918"/>
      <c r="EJ154" s="919"/>
      <c r="EM154" s="1184">
        <v>2013</v>
      </c>
      <c r="EN154" s="64">
        <f t="shared" si="130"/>
        <v>10857.717799999999</v>
      </c>
      <c r="EO154" s="64">
        <f t="shared" si="139"/>
        <v>10857.717799999999</v>
      </c>
      <c r="EP154" s="64"/>
      <c r="EQ154" s="824">
        <f t="shared" si="136"/>
        <v>73133.89509999998</v>
      </c>
      <c r="FB154" s="918"/>
      <c r="FC154" s="919"/>
      <c r="GW154" s="795">
        <v>2015</v>
      </c>
      <c r="GX154" s="1200">
        <v>19.5529109572015</v>
      </c>
      <c r="GY154" s="642"/>
      <c r="GZ154" s="1276">
        <v>23.908625308988828</v>
      </c>
      <c r="HA154" s="642"/>
      <c r="HB154" s="1276">
        <v>20.93213752543595</v>
      </c>
      <c r="HC154" s="479"/>
      <c r="HS154" s="796">
        <f t="shared" si="131"/>
        <v>23.908625308988828</v>
      </c>
      <c r="HT154" s="1083">
        <f t="shared" si="132"/>
        <v>20.93213752543595</v>
      </c>
      <c r="HW154" s="795">
        <v>2015</v>
      </c>
      <c r="HX154" s="1200">
        <f t="shared" si="128"/>
        <v>19.5529109572015</v>
      </c>
      <c r="HY154" s="1276">
        <v>36.34296976353653</v>
      </c>
      <c r="HZ154" s="479"/>
      <c r="IP154" s="825">
        <f t="shared" si="133"/>
        <v>36.34296976353653</v>
      </c>
    </row>
    <row r="155" ht="21" customHeight="1" spans="56:250" x14ac:dyDescent="0.25">
      <c r="BD155" s="1245">
        <v>2030</v>
      </c>
      <c r="BE155" s="20"/>
      <c r="BF155" s="48">
        <f t="shared" si="141"/>
        <v>72.79999999999998</v>
      </c>
      <c r="BG155" s="20"/>
      <c r="BH155" s="69">
        <f t="shared" ref="BH155:BH160" si="143">BH154+0.7</f>
        <v>30.49999999999999</v>
      </c>
      <c r="BZ155" s="1009">
        <f t="shared" si="140"/>
        <v>72.79999999999998</v>
      </c>
      <c r="CC155" s="1278">
        <v>2014</v>
      </c>
      <c r="CD155" s="1284">
        <v>1.136</v>
      </c>
      <c r="CE155" s="1281"/>
      <c r="CF155" s="24"/>
      <c r="CG155" s="24"/>
      <c r="CH155" s="24"/>
      <c r="CI155" s="24"/>
      <c r="CJ155" s="24"/>
      <c r="CK155" s="24"/>
      <c r="CL155" s="24"/>
      <c r="CM155" s="24"/>
      <c r="CN155" s="685"/>
      <c r="CV155" s="1281">
        <f t="shared" si="129"/>
        <v>1.136</v>
      </c>
      <c r="CX155" s="923">
        <v>2014</v>
      </c>
      <c r="CY155" s="1285">
        <f t="shared" si="134"/>
        <v>17.31878738458946</v>
      </c>
      <c r="CZ155" s="20"/>
      <c r="DA155" s="1286"/>
      <c r="DR155" s="1287">
        <f t="shared" si="135"/>
        <v>17.31878738458946</v>
      </c>
      <c r="DT155" s="795">
        <v>2014</v>
      </c>
      <c r="DU155" s="1027">
        <f t="shared" si="137"/>
        <v>47921</v>
      </c>
      <c r="DV155" s="64">
        <f t="shared" si="138"/>
        <v>2766.995109752366</v>
      </c>
      <c r="EM155" s="1184">
        <v>2014</v>
      </c>
      <c r="EN155" s="64">
        <f t="shared" si="130"/>
        <v>10490.54</v>
      </c>
      <c r="EO155" s="64">
        <f t="shared" si="139"/>
        <v>10490.54</v>
      </c>
      <c r="EP155" s="64"/>
      <c r="EQ155" s="824">
        <f t="shared" si="136"/>
        <v>79058</v>
      </c>
      <c r="GW155" s="795">
        <v>2016</v>
      </c>
      <c r="GX155" s="1200">
        <v>20.608768148890384</v>
      </c>
      <c r="GY155" s="642"/>
      <c r="GZ155" s="1276">
        <v>25.541020349632802</v>
      </c>
      <c r="HA155" s="642"/>
      <c r="HB155" s="1276">
        <v>22.71379487635589</v>
      </c>
      <c r="HC155" s="479"/>
      <c r="HS155" s="796">
        <f t="shared" si="131"/>
        <v>25.541020349632802</v>
      </c>
      <c r="HT155" s="1083">
        <f t="shared" si="132"/>
        <v>22.71379487635589</v>
      </c>
      <c r="HW155" s="795">
        <v>2016</v>
      </c>
      <c r="HX155" s="1200">
        <f t="shared" si="128"/>
        <v>20.60681285779466</v>
      </c>
      <c r="HY155" s="1276">
        <v>40.02607773579314</v>
      </c>
      <c r="HZ155" s="479"/>
      <c r="IP155" s="825">
        <f t="shared" si="133"/>
        <v>40.02607773579314</v>
      </c>
    </row>
    <row r="156" ht="21" customHeight="1" spans="56:250" x14ac:dyDescent="0.25">
      <c r="BD156" s="1245">
        <v>2031</v>
      </c>
      <c r="BE156" s="20"/>
      <c r="BF156" s="48">
        <f t="shared" si="141"/>
        <v>73.59999999999998</v>
      </c>
      <c r="BG156" s="20"/>
      <c r="BH156" s="69">
        <f t="shared" si="143"/>
        <v>31.19999999999999</v>
      </c>
      <c r="BZ156" s="1009">
        <f t="shared" si="140"/>
        <v>73.59999999999998</v>
      </c>
      <c r="CC156" s="1278">
        <v>2015</v>
      </c>
      <c r="CD156" s="1284">
        <v>1.129</v>
      </c>
      <c r="CE156" s="1281"/>
      <c r="CF156" s="24"/>
      <c r="CG156" s="24"/>
      <c r="CH156" s="24"/>
      <c r="CI156" s="24"/>
      <c r="CJ156" s="24"/>
      <c r="CK156" s="24"/>
      <c r="CL156" s="24"/>
      <c r="CM156" s="24"/>
      <c r="CN156" s="685"/>
      <c r="CV156" s="1281">
        <f t="shared" si="129"/>
        <v>1.129</v>
      </c>
      <c r="CX156" s="923">
        <v>2015</v>
      </c>
      <c r="CY156" s="1285">
        <f t="shared" si="134"/>
        <v>19.5529109572015</v>
      </c>
      <c r="CZ156" s="20"/>
      <c r="DA156" s="1286"/>
      <c r="DR156" s="1287">
        <f t="shared" si="135"/>
        <v>19.5529109572015</v>
      </c>
      <c r="DT156" s="1231">
        <v>2015</v>
      </c>
      <c r="DU156" s="1027">
        <f t="shared" si="137"/>
        <v>53526</v>
      </c>
      <c r="DV156" s="64">
        <f t="shared" si="138"/>
        <v>2737.495205555873</v>
      </c>
      <c r="EM156" s="1184">
        <v>2015</v>
      </c>
      <c r="EN156" s="64">
        <f t="shared" si="130"/>
        <v>15780.510000000002</v>
      </c>
      <c r="EO156" s="64">
        <f t="shared" si="139"/>
        <v>15780.510000000002</v>
      </c>
      <c r="EP156" s="64"/>
      <c r="EQ156" s="824">
        <f t="shared" si="136"/>
        <v>83094</v>
      </c>
      <c r="GW156" s="1184">
        <v>2017</v>
      </c>
      <c r="GX156" s="1235"/>
      <c r="GY156" s="53"/>
      <c r="GZ156" s="1191"/>
      <c r="HA156" s="53"/>
      <c r="HB156" s="1289"/>
      <c r="HC156" s="70"/>
      <c r="HS156" s="796"/>
      <c r="HT156" s="1083"/>
      <c r="HW156" s="1184">
        <v>2017</v>
      </c>
      <c r="HX156" s="1200">
        <f t="shared" si="128"/>
        <v>21.124043860525305</v>
      </c>
      <c r="HY156" s="1191"/>
      <c r="HZ156" s="70">
        <f>1.9662*HX156-3.1783</f>
        <v>38.35579503856485</v>
      </c>
      <c r="IP156" s="825">
        <f>HZ156</f>
        <v>38.35579503856485</v>
      </c>
    </row>
    <row r="157" ht="21" customHeight="1" spans="56:250" x14ac:dyDescent="0.25">
      <c r="BD157" s="1245">
        <v>2032</v>
      </c>
      <c r="BE157" s="20"/>
      <c r="BF157" s="48">
        <f t="shared" si="141"/>
        <v>74.39999999999998</v>
      </c>
      <c r="BG157" s="20"/>
      <c r="BH157" s="69">
        <f t="shared" si="143"/>
        <v>31.899999999999988</v>
      </c>
      <c r="BZ157" s="1009">
        <f t="shared" si="140"/>
        <v>74.39999999999998</v>
      </c>
      <c r="CC157" s="1278">
        <v>2016</v>
      </c>
      <c r="CD157" s="1284">
        <v>1.0539</v>
      </c>
      <c r="CE157" s="1281"/>
      <c r="CF157" s="24"/>
      <c r="CG157" s="24"/>
      <c r="CH157" s="24"/>
      <c r="CI157" s="24"/>
      <c r="CJ157" s="24"/>
      <c r="CK157" s="24"/>
      <c r="CL157" s="24"/>
      <c r="CM157" s="24"/>
      <c r="CN157" s="685"/>
      <c r="CV157" s="1281">
        <f t="shared" si="129"/>
        <v>1.0539</v>
      </c>
      <c r="CX157" s="923">
        <v>2016</v>
      </c>
      <c r="CY157" s="1285">
        <f t="shared" si="134"/>
        <v>20.60681285779466</v>
      </c>
      <c r="CZ157" s="20"/>
      <c r="DA157" s="1286"/>
      <c r="DR157" s="1287">
        <f t="shared" si="135"/>
        <v>20.60681285779466</v>
      </c>
      <c r="DT157" s="795">
        <v>2016</v>
      </c>
      <c r="DU157" s="1027">
        <f t="shared" si="137"/>
        <v>54117</v>
      </c>
      <c r="DV157" s="64">
        <f t="shared" si="138"/>
        <v>2626.170304619906</v>
      </c>
      <c r="EM157" s="1184">
        <v>2016</v>
      </c>
      <c r="EN157" s="64">
        <f t="shared" si="130"/>
        <v>12871.64</v>
      </c>
      <c r="EO157" s="64"/>
      <c r="EP157" s="64">
        <f>EN157</f>
        <v>12871.64</v>
      </c>
      <c r="EQ157" s="824">
        <f t="shared" si="136"/>
        <v>86014</v>
      </c>
      <c r="GW157" s="1184">
        <v>2018</v>
      </c>
      <c r="GX157" s="1235"/>
      <c r="GY157" s="53"/>
      <c r="GZ157" s="1191"/>
      <c r="HA157" s="53"/>
      <c r="HB157" s="642"/>
      <c r="HC157" s="70"/>
      <c r="HS157" s="796"/>
      <c r="HT157" s="1083"/>
      <c r="HW157" s="1184">
        <v>2018</v>
      </c>
      <c r="HX157" s="1200">
        <f t="shared" si="128"/>
        <v>22.02392812898368</v>
      </c>
      <c r="HY157" s="1191"/>
      <c r="HZ157" s="70">
        <f t="shared" ref="HZ157:HZ169" si="144">1.9662*HX157-3.1783</f>
        <v>40.12514748720771</v>
      </c>
      <c r="IP157" s="825">
        <f t="shared" ref="IP157:IP169" si="145">HZ157</f>
        <v>40.12514748720771</v>
      </c>
    </row>
    <row r="158" ht="21" customHeight="1" spans="56:250" x14ac:dyDescent="0.25">
      <c r="BD158" s="1245">
        <v>2033</v>
      </c>
      <c r="BE158" s="20"/>
      <c r="BF158" s="48">
        <f t="shared" si="141"/>
        <v>75.19999999999997</v>
      </c>
      <c r="BG158" s="20"/>
      <c r="BH158" s="69">
        <f t="shared" si="143"/>
        <v>32.59999999999999</v>
      </c>
      <c r="BZ158" s="1009">
        <f t="shared" si="140"/>
        <v>75.19999999999997</v>
      </c>
      <c r="CC158" s="1278">
        <v>2017</v>
      </c>
      <c r="CD158" s="1284">
        <v>1.0251</v>
      </c>
      <c r="CE158" s="1281"/>
      <c r="CF158" s="24"/>
      <c r="CG158" s="24"/>
      <c r="CH158" s="24"/>
      <c r="CI158" s="24"/>
      <c r="CJ158" s="24"/>
      <c r="CK158" s="24"/>
      <c r="CL158" s="24"/>
      <c r="CM158" s="24"/>
      <c r="CN158" s="685"/>
      <c r="CV158" s="1281">
        <f t="shared" si="129"/>
        <v>1.0251</v>
      </c>
      <c r="CX158" s="923">
        <v>2017</v>
      </c>
      <c r="CY158" s="1285">
        <f t="shared" si="134"/>
        <v>21.124043860525305</v>
      </c>
      <c r="CZ158" s="20"/>
      <c r="DA158" s="1286"/>
      <c r="DR158" s="1287">
        <f t="shared" si="135"/>
        <v>21.124043860525305</v>
      </c>
      <c r="DT158" s="795">
        <v>2017</v>
      </c>
      <c r="DU158" s="1027">
        <f t="shared" si="137"/>
        <v>55368</v>
      </c>
      <c r="DV158" s="64">
        <f t="shared" si="138"/>
        <v>2621.0890474179846</v>
      </c>
      <c r="EM158" s="1184">
        <v>2017</v>
      </c>
      <c r="EN158" s="64">
        <f t="shared" si="130"/>
        <v>11483.68</v>
      </c>
      <c r="EO158" s="1236"/>
      <c r="EP158" s="64">
        <f t="shared" ref="EP158:EP159" si="146">EN158</f>
        <v>11483.68</v>
      </c>
      <c r="EQ158" s="824">
        <f t="shared" si="136"/>
        <v>92101</v>
      </c>
      <c r="GW158" s="1184">
        <v>2019</v>
      </c>
      <c r="GX158" s="1235"/>
      <c r="GY158" s="53"/>
      <c r="GZ158" s="1191"/>
      <c r="HA158" s="53"/>
      <c r="HB158" s="642"/>
      <c r="HC158" s="70"/>
      <c r="HS158" s="796"/>
      <c r="HT158" s="1083"/>
      <c r="HW158" s="1184">
        <v>2019</v>
      </c>
      <c r="HX158" s="1200"/>
      <c r="HY158" s="1191"/>
      <c r="HZ158" s="70">
        <f t="shared" si="144"/>
        <v>-3.1783</v>
      </c>
      <c r="IP158" s="825">
        <f t="shared" si="145"/>
        <v>-3.1783</v>
      </c>
    </row>
    <row r="159" ht="21" customHeight="1" spans="56:250" x14ac:dyDescent="0.25">
      <c r="BD159" s="1245">
        <v>2034</v>
      </c>
      <c r="BE159" s="20"/>
      <c r="BF159" s="48">
        <f t="shared" si="141"/>
        <v>75.99999999999997</v>
      </c>
      <c r="BG159" s="20"/>
      <c r="BH159" s="69">
        <f t="shared" si="143"/>
        <v>33.29999999999999</v>
      </c>
      <c r="BZ159" s="1009">
        <f t="shared" si="140"/>
        <v>75.99999999999997</v>
      </c>
      <c r="CC159" s="1278">
        <v>2018</v>
      </c>
      <c r="CD159" s="1284">
        <v>1.0426</v>
      </c>
      <c r="CE159" s="1281"/>
      <c r="CF159" s="24"/>
      <c r="CG159" s="24"/>
      <c r="CH159" s="24"/>
      <c r="CI159" s="24"/>
      <c r="CJ159" s="24"/>
      <c r="CK159" s="24"/>
      <c r="CL159" s="24"/>
      <c r="CM159" s="24"/>
      <c r="CN159" s="685"/>
      <c r="CV159" s="1281">
        <f t="shared" si="129"/>
        <v>1.0426</v>
      </c>
      <c r="CX159" s="923">
        <v>2018</v>
      </c>
      <c r="CY159" s="1285">
        <f t="shared" si="134"/>
        <v>22.02392812898368</v>
      </c>
      <c r="CZ159" s="20"/>
      <c r="DA159" s="1290">
        <f>CY159</f>
        <v>22.02392812898368</v>
      </c>
      <c r="DR159" s="1287">
        <f t="shared" si="135"/>
        <v>22.02392812898368</v>
      </c>
      <c r="DT159" s="795">
        <v>2018</v>
      </c>
      <c r="DU159" s="1027">
        <f t="shared" si="137"/>
        <v>57500</v>
      </c>
      <c r="DV159" s="64">
        <f t="shared" si="138"/>
        <v>2610.796750845255</v>
      </c>
      <c r="EM159" s="1184">
        <v>2018</v>
      </c>
      <c r="EN159" s="64">
        <f t="shared" si="130"/>
        <v>9255.629999999997</v>
      </c>
      <c r="EO159" s="1236"/>
      <c r="EP159" s="64">
        <f t="shared" si="146"/>
        <v>9255.629999999997</v>
      </c>
      <c r="EQ159" s="824">
        <f t="shared" si="136"/>
        <v>103876</v>
      </c>
      <c r="GW159" s="1184">
        <v>2020</v>
      </c>
      <c r="GX159" s="1235"/>
      <c r="GY159" s="53"/>
      <c r="GZ159" s="1191"/>
      <c r="HA159" s="53"/>
      <c r="HB159" s="642"/>
      <c r="HC159" s="70"/>
      <c r="HS159" s="796"/>
      <c r="HT159" s="1083"/>
      <c r="HW159" s="1184">
        <v>2020</v>
      </c>
      <c r="HX159" s="1200"/>
      <c r="HY159" s="1191"/>
      <c r="HZ159" s="70">
        <f t="shared" si="144"/>
        <v>-3.1783</v>
      </c>
      <c r="IP159" s="825">
        <f t="shared" si="145"/>
        <v>-3.1783</v>
      </c>
    </row>
    <row r="160" ht="21" customHeight="1" spans="56:250" x14ac:dyDescent="0.25">
      <c r="BD160" s="1291">
        <v>2035</v>
      </c>
      <c r="BE160" s="1149"/>
      <c r="BF160" s="1292">
        <f t="shared" si="141"/>
        <v>76.79999999999997</v>
      </c>
      <c r="BG160" s="82"/>
      <c r="BH160" s="1293">
        <f t="shared" si="143"/>
        <v>33.99999999999999</v>
      </c>
      <c r="BZ160" s="1229">
        <f t="shared" si="140"/>
        <v>76.79999999999997</v>
      </c>
      <c r="CC160" s="1278">
        <v>2019</v>
      </c>
      <c r="CD160" s="1284">
        <v>1.0304</v>
      </c>
      <c r="CE160" s="1281">
        <f>CD160</f>
        <v>1.0304</v>
      </c>
      <c r="CF160" s="24"/>
      <c r="CG160" s="24"/>
      <c r="CH160" s="24"/>
      <c r="CI160" s="24"/>
      <c r="CJ160" s="24"/>
      <c r="CK160" s="24"/>
      <c r="CL160" s="24"/>
      <c r="CM160" s="24"/>
      <c r="CN160" s="685"/>
      <c r="CV160" s="1281">
        <f t="shared" si="129"/>
        <v>1.0304</v>
      </c>
      <c r="CX160" s="923">
        <v>2019</v>
      </c>
      <c r="CY160" s="1285">
        <f t="shared" si="134"/>
        <v>22.693455544104783</v>
      </c>
      <c r="CZ160" s="20"/>
      <c r="DA160" s="1281">
        <f>CY160</f>
        <v>22.693455544104783</v>
      </c>
      <c r="DR160" s="1287">
        <f t="shared" si="135"/>
        <v>22.693455544104783</v>
      </c>
      <c r="DT160" s="795">
        <v>2019</v>
      </c>
      <c r="DU160" s="949"/>
      <c r="DV160" s="21"/>
      <c r="EM160" s="1184">
        <v>2019</v>
      </c>
      <c r="EN160" s="21"/>
      <c r="EO160" s="21"/>
      <c r="EP160" s="21"/>
      <c r="EQ160" s="1239"/>
      <c r="GW160" s="1184">
        <v>2021</v>
      </c>
      <c r="GX160" s="1235"/>
      <c r="GY160" s="53"/>
      <c r="GZ160" s="1191"/>
      <c r="HA160" s="53"/>
      <c r="HB160" s="642"/>
      <c r="HC160" s="70"/>
      <c r="HS160" s="796"/>
      <c r="HT160" s="1083"/>
      <c r="HW160" s="1184">
        <v>2021</v>
      </c>
      <c r="HX160" s="1200"/>
      <c r="HY160" s="1191"/>
      <c r="HZ160" s="70">
        <f t="shared" si="144"/>
        <v>-3.1783</v>
      </c>
      <c r="IP160" s="825">
        <f t="shared" si="145"/>
        <v>-3.1783</v>
      </c>
    </row>
    <row r="161" ht="21" customHeight="1" spans="81:250" x14ac:dyDescent="0.25">
      <c r="CC161" s="1278">
        <v>2020</v>
      </c>
      <c r="CD161" s="1284">
        <v>1.0491</v>
      </c>
      <c r="CE161" s="1281">
        <f>CD161</f>
        <v>1.0491</v>
      </c>
      <c r="CF161" s="24"/>
      <c r="CG161" s="24"/>
      <c r="CH161" s="24"/>
      <c r="CI161" s="24"/>
      <c r="CJ161" s="24"/>
      <c r="CK161" s="24"/>
      <c r="CL161" s="24"/>
      <c r="CM161" s="24"/>
      <c r="CN161" s="685"/>
      <c r="CV161" s="1281">
        <f t="shared" ref="CV161:CV170" si="147">CE161</f>
        <v>1.0491</v>
      </c>
      <c r="CX161" s="923">
        <v>2020</v>
      </c>
      <c r="CY161" s="1285">
        <f t="shared" si="134"/>
        <v>23.807704211320324</v>
      </c>
      <c r="CZ161" s="20"/>
      <c r="DA161" s="1281">
        <f>CY161</f>
        <v>23.807704211320324</v>
      </c>
      <c r="DR161" s="1287">
        <f t="shared" ref="DR161:DR170" si="148">DA161</f>
        <v>23.807704211320324</v>
      </c>
      <c r="DT161" s="795">
        <v>2020</v>
      </c>
      <c r="DU161" s="949"/>
      <c r="DV161" s="21"/>
      <c r="EM161" s="1184">
        <v>2020</v>
      </c>
      <c r="EN161" s="21"/>
      <c r="EO161" s="21"/>
      <c r="EP161" s="21"/>
      <c r="EQ161" s="1239"/>
      <c r="GW161" s="1184">
        <v>2022</v>
      </c>
      <c r="GX161" s="1235"/>
      <c r="GY161" s="53"/>
      <c r="GZ161" s="1191"/>
      <c r="HA161" s="53"/>
      <c r="HB161" s="642"/>
      <c r="HC161" s="70"/>
      <c r="HS161" s="796"/>
      <c r="HT161" s="1083"/>
      <c r="HW161" s="1184">
        <v>2022</v>
      </c>
      <c r="HX161" s="1200"/>
      <c r="HY161" s="1191"/>
      <c r="HZ161" s="70">
        <f t="shared" si="144"/>
        <v>-3.1783</v>
      </c>
      <c r="IP161" s="825">
        <f t="shared" si="145"/>
        <v>-3.1783</v>
      </c>
    </row>
    <row r="162" ht="21" customHeight="1" spans="81:250" x14ac:dyDescent="0.25">
      <c r="CC162" s="1278">
        <v>2021</v>
      </c>
      <c r="CD162" s="1284"/>
      <c r="CE162" s="1281">
        <v>1.05</v>
      </c>
      <c r="CF162" s="24"/>
      <c r="CG162" s="24"/>
      <c r="CH162" s="24"/>
      <c r="CI162" s="24"/>
      <c r="CJ162" s="24"/>
      <c r="CK162" s="24"/>
      <c r="CL162" s="24"/>
      <c r="CM162" s="24"/>
      <c r="CN162" s="685"/>
      <c r="CV162" s="1281">
        <f t="shared" si="147"/>
        <v>1.05</v>
      </c>
      <c r="CX162" s="923">
        <v>2021</v>
      </c>
      <c r="CY162" s="1285"/>
      <c r="CZ162" s="20"/>
      <c r="DA162" s="1281">
        <f>CE162*DA161</f>
        <v>24.99808942188634</v>
      </c>
      <c r="DR162" s="1287">
        <f t="shared" si="148"/>
        <v>24.99808942188634</v>
      </c>
      <c r="DT162" s="795">
        <v>2021</v>
      </c>
      <c r="DU162" s="949"/>
      <c r="DV162" s="21"/>
      <c r="EM162" s="1184">
        <v>2021</v>
      </c>
      <c r="EN162" s="21"/>
      <c r="EO162" s="21"/>
      <c r="EP162" s="21"/>
      <c r="EQ162" s="1239"/>
      <c r="GW162" s="1184">
        <v>2023</v>
      </c>
      <c r="GX162" s="1235"/>
      <c r="GY162" s="53"/>
      <c r="GZ162" s="1191"/>
      <c r="HA162" s="53"/>
      <c r="HB162" s="642"/>
      <c r="HC162" s="70"/>
      <c r="HS162" s="796"/>
      <c r="HT162" s="1083"/>
      <c r="HW162" s="1184">
        <v>2023</v>
      </c>
      <c r="HX162" s="1200"/>
      <c r="HY162" s="1191"/>
      <c r="HZ162" s="70">
        <f t="shared" si="144"/>
        <v>-3.1783</v>
      </c>
      <c r="IP162" s="825">
        <f t="shared" si="145"/>
        <v>-3.1783</v>
      </c>
    </row>
    <row r="163" ht="21" customHeight="1" spans="56:250" x14ac:dyDescent="0.25">
      <c r="BD163" s="1294" t="s">
        <v>13</v>
      </c>
      <c r="BE163" s="458" t="s">
        <v>624</v>
      </c>
      <c r="BF163" s="458" t="s">
        <v>626</v>
      </c>
      <c r="BG163" s="458" t="s">
        <v>619</v>
      </c>
      <c r="BH163" s="458" t="s">
        <v>620</v>
      </c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Y163" s="1153" t="s">
        <v>386</v>
      </c>
      <c r="CC163" s="1278">
        <v>2022</v>
      </c>
      <c r="CD163" s="1284"/>
      <c r="CE163" s="1281">
        <v>1.05</v>
      </c>
      <c r="CF163" s="24"/>
      <c r="CG163" s="24"/>
      <c r="CH163" s="24"/>
      <c r="CI163" s="24"/>
      <c r="CJ163" s="24"/>
      <c r="CK163" s="24"/>
      <c r="CL163" s="24"/>
      <c r="CM163" s="24"/>
      <c r="CN163" s="685"/>
      <c r="CV163" s="1281">
        <f t="shared" si="147"/>
        <v>1.05</v>
      </c>
      <c r="CX163" s="923">
        <v>2022</v>
      </c>
      <c r="CY163" s="1285"/>
      <c r="CZ163" s="20"/>
      <c r="DA163" s="1281">
        <f t="shared" ref="DA163:DA176" si="149">CE163*DA162</f>
        <v>26.24799389298066</v>
      </c>
      <c r="DR163" s="1287">
        <f t="shared" si="148"/>
        <v>26.24799389298066</v>
      </c>
      <c r="DT163" s="795">
        <v>2022</v>
      </c>
      <c r="DU163" s="949"/>
      <c r="DV163" s="21"/>
      <c r="EM163" s="1184">
        <v>2022</v>
      </c>
      <c r="EN163" s="21"/>
      <c r="EO163" s="21"/>
      <c r="EP163" s="21"/>
      <c r="EQ163" s="1239"/>
      <c r="GW163" s="1184">
        <v>2024</v>
      </c>
      <c r="GX163" s="1235"/>
      <c r="GY163" s="53"/>
      <c r="GZ163" s="1191"/>
      <c r="HA163" s="53"/>
      <c r="HB163" s="642"/>
      <c r="HC163" s="70"/>
      <c r="HS163" s="796"/>
      <c r="HT163" s="1083"/>
      <c r="HW163" s="1184">
        <v>2024</v>
      </c>
      <c r="HX163" s="1200"/>
      <c r="HY163" s="1191"/>
      <c r="HZ163" s="70">
        <f t="shared" si="144"/>
        <v>-3.1783</v>
      </c>
      <c r="IP163" s="825">
        <f t="shared" si="145"/>
        <v>-3.1783</v>
      </c>
    </row>
    <row r="164" ht="21.5" customHeight="1" spans="56:250" x14ac:dyDescent="0.25">
      <c r="BD164" s="737">
        <v>43912</v>
      </c>
      <c r="BE164" s="476" t="s">
        <v>56</v>
      </c>
      <c r="BF164" s="476" t="s">
        <v>56</v>
      </c>
      <c r="BG164" s="476" t="s">
        <v>56</v>
      </c>
      <c r="BH164" s="476" t="s">
        <v>56</v>
      </c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Y164" s="915" t="s">
        <v>56</v>
      </c>
      <c r="CC164" s="1278">
        <v>2023</v>
      </c>
      <c r="CD164" s="1284"/>
      <c r="CE164" s="1281">
        <v>1.05</v>
      </c>
      <c r="CF164" s="24"/>
      <c r="CG164" s="24"/>
      <c r="CH164" s="24"/>
      <c r="CI164" s="24"/>
      <c r="CJ164" s="24"/>
      <c r="CK164" s="24"/>
      <c r="CL164" s="24"/>
      <c r="CM164" s="24"/>
      <c r="CN164" s="685"/>
      <c r="CV164" s="1281">
        <f t="shared" si="147"/>
        <v>1.05</v>
      </c>
      <c r="CX164" s="923">
        <v>2023</v>
      </c>
      <c r="CY164" s="1285"/>
      <c r="CZ164" s="20"/>
      <c r="DA164" s="1281">
        <f t="shared" si="149"/>
        <v>27.560393587629694</v>
      </c>
      <c r="DR164" s="1287">
        <f t="shared" si="148"/>
        <v>27.560393587629694</v>
      </c>
      <c r="DT164" s="795">
        <v>2023</v>
      </c>
      <c r="DU164" s="949"/>
      <c r="DV164" s="21"/>
      <c r="EM164" s="1184">
        <v>2023</v>
      </c>
      <c r="EN164" s="21"/>
      <c r="EO164" s="21"/>
      <c r="EP164" s="21"/>
      <c r="EQ164" s="1239"/>
      <c r="GW164" s="1184">
        <v>2025</v>
      </c>
      <c r="GX164" s="1235"/>
      <c r="GY164" s="53"/>
      <c r="GZ164" s="1191"/>
      <c r="HA164" s="53"/>
      <c r="HB164" s="642"/>
      <c r="HC164" s="70"/>
      <c r="HS164" s="796"/>
      <c r="HT164" s="1083"/>
      <c r="HW164" s="1184">
        <v>2025</v>
      </c>
      <c r="HX164" s="1200"/>
      <c r="HY164" s="1191"/>
      <c r="HZ164" s="70">
        <f t="shared" si="144"/>
        <v>-3.1783</v>
      </c>
      <c r="IP164" s="825">
        <f t="shared" si="145"/>
        <v>-3.1783</v>
      </c>
    </row>
    <row r="165" ht="21" customHeight="1" spans="56:250" x14ac:dyDescent="0.25">
      <c r="BD165" s="62">
        <v>1995</v>
      </c>
      <c r="BE165" s="478">
        <f t="array" ref="BE165:BE188">TRANSPOSE(ОТЧЁТ!U195:AR195)</f>
        <v>266.974</v>
      </c>
      <c r="BF165" s="49">
        <f t="array" ref="BF165:BF188">TRANSPOSE(ОТЧЁТ!U79:AR79)</f>
        <v>266.974</v>
      </c>
      <c r="BG165" s="53"/>
      <c r="BH165" s="1295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Y165" s="1296">
        <f>BE165</f>
        <v>266.974</v>
      </c>
      <c r="CC165" s="1278">
        <v>2024</v>
      </c>
      <c r="CD165" s="1284"/>
      <c r="CE165" s="1281">
        <v>1.05</v>
      </c>
      <c r="CF165" s="24"/>
      <c r="CG165" s="24"/>
      <c r="CH165" s="24"/>
      <c r="CI165" s="24"/>
      <c r="CJ165" s="24"/>
      <c r="CK165" s="24"/>
      <c r="CL165" s="24"/>
      <c r="CM165" s="24"/>
      <c r="CN165" s="685"/>
      <c r="CV165" s="1281">
        <f t="shared" si="147"/>
        <v>1.05</v>
      </c>
      <c r="CX165" s="923">
        <v>2024</v>
      </c>
      <c r="CY165" s="1285"/>
      <c r="CZ165" s="20"/>
      <c r="DA165" s="1281">
        <f t="shared" si="149"/>
        <v>28.938413267011178</v>
      </c>
      <c r="DR165" s="1287">
        <f t="shared" si="148"/>
        <v>28.938413267011178</v>
      </c>
      <c r="DT165" s="795">
        <v>2024</v>
      </c>
      <c r="DU165" s="949"/>
      <c r="DV165" s="21"/>
      <c r="EM165" s="1184">
        <v>2024</v>
      </c>
      <c r="EN165" s="21"/>
      <c r="EO165" s="21"/>
      <c r="EP165" s="21"/>
      <c r="EQ165" s="1239"/>
      <c r="GW165" s="1184">
        <v>2026</v>
      </c>
      <c r="GX165" s="1235"/>
      <c r="GY165" s="53"/>
      <c r="GZ165" s="1191"/>
      <c r="HA165" s="53"/>
      <c r="HB165" s="642"/>
      <c r="HC165" s="70"/>
      <c r="HS165" s="796"/>
      <c r="HT165" s="1083"/>
      <c r="HW165" s="1184">
        <v>2026</v>
      </c>
      <c r="HX165" s="1200"/>
      <c r="HY165" s="1191"/>
      <c r="HZ165" s="70">
        <f t="shared" si="144"/>
        <v>-3.1783</v>
      </c>
      <c r="IP165" s="825">
        <f t="shared" si="145"/>
        <v>-3.1783</v>
      </c>
    </row>
    <row r="166" ht="21" customHeight="1" spans="56:250" x14ac:dyDescent="0.25">
      <c r="BD166" s="62">
        <v>1996</v>
      </c>
      <c r="BE166" s="478">
        <v>218.651706</v>
      </c>
      <c r="BF166" s="49">
        <v>375.958</v>
      </c>
      <c r="BG166" s="53"/>
      <c r="BH166" s="479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Y166" s="475">
        <f>BE166</f>
        <v>218.651706</v>
      </c>
      <c r="CC166" s="1278">
        <v>2025</v>
      </c>
      <c r="CD166" s="1284"/>
      <c r="CE166" s="1281">
        <v>1.05</v>
      </c>
      <c r="CF166" s="692"/>
      <c r="CG166" s="692"/>
      <c r="CH166" s="692"/>
      <c r="CI166" s="692"/>
      <c r="CJ166" s="692"/>
      <c r="CK166" s="692"/>
      <c r="CL166" s="692"/>
      <c r="CM166" s="692"/>
      <c r="CN166" s="693"/>
      <c r="CV166" s="1281">
        <f t="shared" si="147"/>
        <v>1.05</v>
      </c>
      <c r="CX166" s="923">
        <v>2025</v>
      </c>
      <c r="CY166" s="1285"/>
      <c r="CZ166" s="20"/>
      <c r="DA166" s="1281">
        <f t="shared" si="149"/>
        <v>30.38533393036174</v>
      </c>
      <c r="DR166" s="1287">
        <f t="shared" si="148"/>
        <v>30.38533393036174</v>
      </c>
      <c r="DT166" s="795">
        <v>2025</v>
      </c>
      <c r="DU166" s="949"/>
      <c r="DV166" s="21"/>
      <c r="EM166" s="1184">
        <v>2025</v>
      </c>
      <c r="EN166" s="21"/>
      <c r="EO166" s="21"/>
      <c r="EP166" s="21"/>
      <c r="EQ166" s="1239"/>
      <c r="GW166" s="1184">
        <v>2027</v>
      </c>
      <c r="GX166" s="1235"/>
      <c r="GY166" s="53"/>
      <c r="GZ166" s="1191"/>
      <c r="HA166" s="53"/>
      <c r="HB166" s="642"/>
      <c r="HC166" s="70"/>
      <c r="HS166" s="796"/>
      <c r="HT166" s="1083"/>
      <c r="HW166" s="1184">
        <v>2027</v>
      </c>
      <c r="HX166" s="1200"/>
      <c r="HY166" s="1191"/>
      <c r="HZ166" s="70">
        <f t="shared" si="144"/>
        <v>-3.1783</v>
      </c>
      <c r="IP166" s="825">
        <f t="shared" si="145"/>
        <v>-3.1783</v>
      </c>
    </row>
    <row r="167" ht="15.75" customHeight="1" spans="56:250" x14ac:dyDescent="0.25">
      <c r="BD167" s="62">
        <v>1997</v>
      </c>
      <c r="BE167" s="478">
        <v>207.7191207</v>
      </c>
      <c r="BF167" s="49">
        <v>408.797</v>
      </c>
      <c r="BG167" s="53"/>
      <c r="BH167" s="479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Y167" s="475">
        <f t="shared" ref="BY167:BY188" si="150">BE167</f>
        <v>207.7191207</v>
      </c>
      <c r="CC167" s="1278">
        <v>2026</v>
      </c>
      <c r="CD167" s="1284"/>
      <c r="CE167" s="1281">
        <v>1.05</v>
      </c>
      <c r="CV167" s="1281">
        <f t="shared" si="147"/>
        <v>1.05</v>
      </c>
      <c r="CX167" s="923">
        <v>2026</v>
      </c>
      <c r="CY167" s="1285"/>
      <c r="CZ167" s="20"/>
      <c r="DA167" s="1281">
        <f t="shared" si="149"/>
        <v>31.904600626879827</v>
      </c>
      <c r="DR167" s="1287">
        <f t="shared" si="148"/>
        <v>31.904600626879827</v>
      </c>
      <c r="DT167" s="795">
        <v>2026</v>
      </c>
      <c r="DU167" s="949"/>
      <c r="DV167" s="21"/>
      <c r="EM167" s="1184">
        <v>2026</v>
      </c>
      <c r="EN167" s="21"/>
      <c r="EO167" s="21"/>
      <c r="EP167" s="21"/>
      <c r="EQ167" s="1239"/>
      <c r="GW167" s="1184">
        <v>2028</v>
      </c>
      <c r="GX167" s="1235"/>
      <c r="GY167" s="53"/>
      <c r="GZ167" s="1191"/>
      <c r="HA167" s="53"/>
      <c r="HB167" s="642"/>
      <c r="HC167" s="70"/>
      <c r="HS167" s="796"/>
      <c r="HT167" s="1083"/>
      <c r="HW167" s="1184">
        <v>2028</v>
      </c>
      <c r="HX167" s="1200"/>
      <c r="HY167" s="1191"/>
      <c r="HZ167" s="70">
        <f t="shared" si="144"/>
        <v>-3.1783</v>
      </c>
      <c r="IP167" s="825">
        <f t="shared" si="145"/>
        <v>-3.1783</v>
      </c>
    </row>
    <row r="168" ht="15.75" customHeight="1" spans="56:250" x14ac:dyDescent="0.25">
      <c r="BD168" s="62">
        <v>1998</v>
      </c>
      <c r="BE168" s="478">
        <v>182.79282621599998</v>
      </c>
      <c r="BF168" s="49">
        <v>407.086</v>
      </c>
      <c r="BG168" s="49"/>
      <c r="BH168" s="479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Y168" s="475">
        <f t="shared" si="150"/>
        <v>182.79282621599998</v>
      </c>
      <c r="CC168" s="1278">
        <v>2027</v>
      </c>
      <c r="CD168" s="1284"/>
      <c r="CE168" s="1281">
        <v>1.05</v>
      </c>
      <c r="CV168" s="1281">
        <f t="shared" si="147"/>
        <v>1.05</v>
      </c>
      <c r="CX168" s="923">
        <v>2027</v>
      </c>
      <c r="CY168" s="1285"/>
      <c r="CZ168" s="20"/>
      <c r="DA168" s="1281">
        <f t="shared" si="149"/>
        <v>33.49983065822382</v>
      </c>
      <c r="DR168" s="1287">
        <f t="shared" si="148"/>
        <v>33.49983065822382</v>
      </c>
      <c r="DT168" s="795">
        <v>2027</v>
      </c>
      <c r="DU168" s="949"/>
      <c r="DV168" s="21"/>
      <c r="EM168" s="1184">
        <v>2027</v>
      </c>
      <c r="EN168" s="21"/>
      <c r="EO168" s="21"/>
      <c r="EP168" s="21"/>
      <c r="EQ168" s="1239"/>
      <c r="GW168" s="1184">
        <v>2029</v>
      </c>
      <c r="GX168" s="1235"/>
      <c r="GY168" s="53"/>
      <c r="GZ168" s="1191"/>
      <c r="HA168" s="53"/>
      <c r="HB168" s="642"/>
      <c r="HC168" s="70"/>
      <c r="HS168" s="796"/>
      <c r="HT168" s="1083"/>
      <c r="HW168" s="1184">
        <v>2029</v>
      </c>
      <c r="HX168" s="1200"/>
      <c r="HY168" s="1191"/>
      <c r="HZ168" s="70">
        <f t="shared" si="144"/>
        <v>-3.1783</v>
      </c>
      <c r="IP168" s="825">
        <f t="shared" si="145"/>
        <v>-3.1783</v>
      </c>
    </row>
    <row r="169" ht="16.5" customHeight="1" spans="56:250" x14ac:dyDescent="0.25">
      <c r="BD169" s="62">
        <v>1999</v>
      </c>
      <c r="BE169" s="478">
        <v>191.9324675268</v>
      </c>
      <c r="BF169" s="49">
        <v>670.439</v>
      </c>
      <c r="BG169" s="49"/>
      <c r="BH169" s="479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Y169" s="475">
        <f t="shared" si="150"/>
        <v>191.9324675268</v>
      </c>
      <c r="CC169" s="1278">
        <v>2028</v>
      </c>
      <c r="CD169" s="1284"/>
      <c r="CE169" s="1281">
        <v>1.05</v>
      </c>
      <c r="CV169" s="1281">
        <f t="shared" si="147"/>
        <v>1.05</v>
      </c>
      <c r="CX169" s="923">
        <v>2028</v>
      </c>
      <c r="CY169" s="1285"/>
      <c r="CZ169" s="20"/>
      <c r="DA169" s="1281">
        <f t="shared" si="149"/>
        <v>35.174822191135014</v>
      </c>
      <c r="DR169" s="1287">
        <f t="shared" si="148"/>
        <v>35.174822191135014</v>
      </c>
      <c r="DT169" s="795">
        <v>2028</v>
      </c>
      <c r="DU169" s="949"/>
      <c r="DV169" s="21"/>
      <c r="EM169" s="1184">
        <v>2028</v>
      </c>
      <c r="EN169" s="21"/>
      <c r="EO169" s="21"/>
      <c r="EP169" s="21"/>
      <c r="EQ169" s="1239"/>
      <c r="GW169" s="977">
        <v>2030</v>
      </c>
      <c r="GX169" s="1297"/>
      <c r="GY169" s="93"/>
      <c r="GZ169" s="1298"/>
      <c r="HA169" s="93"/>
      <c r="HB169" s="1299"/>
      <c r="HC169" s="88"/>
      <c r="HS169" s="1300"/>
      <c r="HT169" s="1301"/>
      <c r="HW169" s="977">
        <v>2030</v>
      </c>
      <c r="HX169" s="1302"/>
      <c r="HY169" s="1298"/>
      <c r="HZ169" s="88">
        <f t="shared" si="144"/>
        <v>-3.1783</v>
      </c>
      <c r="IP169" s="983">
        <f t="shared" si="145"/>
        <v>-3.1783</v>
      </c>
    </row>
    <row r="170" ht="16.5" customHeight="1" spans="56:147" x14ac:dyDescent="0.25">
      <c r="BD170" s="62">
        <v>2000</v>
      </c>
      <c r="BE170" s="478">
        <v>225.32871687646318</v>
      </c>
      <c r="BF170" s="49">
        <v>1165.234</v>
      </c>
      <c r="BG170" s="49"/>
      <c r="BH170" s="479"/>
      <c r="BI170" s="31"/>
      <c r="BJ170" s="31"/>
      <c r="BK170" s="31"/>
      <c r="BL170" s="488" t="s">
        <v>642</v>
      </c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Y170" s="475">
        <f t="shared" si="150"/>
        <v>225.32871687646318</v>
      </c>
      <c r="CC170" s="1278">
        <v>2029</v>
      </c>
      <c r="CD170" s="1284"/>
      <c r="CE170" s="1281">
        <v>1.05</v>
      </c>
      <c r="CV170" s="1281">
        <f t="shared" si="147"/>
        <v>1.05</v>
      </c>
      <c r="CX170" s="923">
        <v>2029</v>
      </c>
      <c r="CY170" s="1285"/>
      <c r="CZ170" s="20"/>
      <c r="DA170" s="1281">
        <f t="shared" si="149"/>
        <v>36.933563300691766</v>
      </c>
      <c r="DR170" s="1287">
        <f t="shared" si="148"/>
        <v>36.933563300691766</v>
      </c>
      <c r="DT170" s="795">
        <v>2029</v>
      </c>
      <c r="DU170" s="949"/>
      <c r="DV170" s="21"/>
      <c r="EM170" s="1184">
        <v>2029</v>
      </c>
      <c r="EN170" s="21"/>
      <c r="EO170" s="21"/>
      <c r="EP170" s="21"/>
      <c r="EQ170" s="1239"/>
    </row>
    <row r="171" ht="21" customHeight="1" spans="56:147" x14ac:dyDescent="0.25">
      <c r="BD171" s="62">
        <v>2001</v>
      </c>
      <c r="BE171" s="478">
        <v>247.86158856410952</v>
      </c>
      <c r="BF171" s="49">
        <v>1504.7</v>
      </c>
      <c r="BG171" s="49"/>
      <c r="BH171" s="479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Y171" s="475">
        <f t="shared" si="150"/>
        <v>247.86158856410952</v>
      </c>
      <c r="CC171" s="1278">
        <v>2030</v>
      </c>
      <c r="CD171" s="1284"/>
      <c r="CE171" s="1281">
        <v>1.05</v>
      </c>
      <c r="CV171" s="1281">
        <f t="shared" ref="CV171:CV176" si="151">CE171</f>
        <v>1.05</v>
      </c>
      <c r="CX171" s="923">
        <v>2030</v>
      </c>
      <c r="CY171" s="1285"/>
      <c r="CZ171" s="20"/>
      <c r="DA171" s="1281">
        <f t="shared" si="149"/>
        <v>38.780241465726355</v>
      </c>
      <c r="DR171" s="1287">
        <f t="shared" ref="DR171:DR176" si="152">DA171</f>
        <v>38.780241465726355</v>
      </c>
      <c r="DT171" s="977">
        <v>2030</v>
      </c>
      <c r="DU171" s="985"/>
      <c r="DV171" s="83"/>
      <c r="EM171" s="977">
        <v>2030</v>
      </c>
      <c r="EN171" s="83"/>
      <c r="EO171" s="83"/>
      <c r="EP171" s="83"/>
      <c r="EQ171" s="1251"/>
    </row>
    <row r="172" ht="21" customHeight="1" spans="56:157" x14ac:dyDescent="0.25">
      <c r="BD172" s="62">
        <v>2002</v>
      </c>
      <c r="BE172" s="478">
        <v>254.80171304390458</v>
      </c>
      <c r="BF172" s="49">
        <v>1762.4</v>
      </c>
      <c r="BG172" s="49"/>
      <c r="BH172" s="479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Y172" s="475">
        <f t="shared" si="150"/>
        <v>254.80171304390458</v>
      </c>
      <c r="CC172" s="1278">
        <v>2031</v>
      </c>
      <c r="CD172" s="1284"/>
      <c r="CE172" s="1281">
        <v>1.05</v>
      </c>
      <c r="CV172" s="1281">
        <f t="shared" si="151"/>
        <v>1.05</v>
      </c>
      <c r="CX172" s="923">
        <v>2031</v>
      </c>
      <c r="CY172" s="1285"/>
      <c r="CZ172" s="20"/>
      <c r="DA172" s="1281">
        <f t="shared" si="149"/>
        <v>40.719253539012676</v>
      </c>
      <c r="DR172" s="1287">
        <f t="shared" si="152"/>
        <v>40.719253539012676</v>
      </c>
      <c r="EZ172" s="272"/>
      <c r="FA172" s="20"/>
    </row>
    <row r="173" ht="21" customHeight="1" spans="56:157" x14ac:dyDescent="0.25">
      <c r="BD173" s="62">
        <v>2003</v>
      </c>
      <c r="BE173" s="478">
        <v>286.65192717439265</v>
      </c>
      <c r="BF173" s="49">
        <v>2186.4</v>
      </c>
      <c r="BG173" s="49"/>
      <c r="BH173" s="479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Y173" s="475">
        <f t="shared" si="150"/>
        <v>286.65192717439265</v>
      </c>
      <c r="CC173" s="1278">
        <v>2032</v>
      </c>
      <c r="CD173" s="1284"/>
      <c r="CE173" s="1281">
        <v>1.05</v>
      </c>
      <c r="CV173" s="1281">
        <f t="shared" si="151"/>
        <v>1.05</v>
      </c>
      <c r="CX173" s="923">
        <v>2032</v>
      </c>
      <c r="CY173" s="1285"/>
      <c r="CZ173" s="20"/>
      <c r="DA173" s="1281">
        <f t="shared" si="149"/>
        <v>42.755216215963316</v>
      </c>
      <c r="DR173" s="1287">
        <f t="shared" si="152"/>
        <v>42.755216215963316</v>
      </c>
      <c r="EZ173" s="272"/>
      <c r="FA173" s="20"/>
    </row>
    <row r="174" ht="21" customHeight="1" spans="56:157" x14ac:dyDescent="0.25">
      <c r="BD174" s="62">
        <v>2004</v>
      </c>
      <c r="BE174" s="478">
        <v>325.9232411972844</v>
      </c>
      <c r="BF174" s="49">
        <v>2865</v>
      </c>
      <c r="BG174" s="49"/>
      <c r="BH174" s="479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Y174" s="475">
        <f t="shared" si="150"/>
        <v>325.9232411972844</v>
      </c>
      <c r="CC174" s="1278">
        <v>2033</v>
      </c>
      <c r="CD174" s="1284"/>
      <c r="CE174" s="1281">
        <v>1.05</v>
      </c>
      <c r="CV174" s="1281">
        <f t="shared" si="151"/>
        <v>1.05</v>
      </c>
      <c r="CX174" s="923">
        <v>2033</v>
      </c>
      <c r="CY174" s="1285"/>
      <c r="CZ174" s="20"/>
      <c r="DA174" s="1281">
        <f t="shared" si="149"/>
        <v>44.892977026761486</v>
      </c>
      <c r="DR174" s="1287">
        <f t="shared" si="152"/>
        <v>44.892977026761486</v>
      </c>
      <c r="EZ174" s="272"/>
      <c r="FA174" s="20"/>
    </row>
    <row r="175" ht="21" customHeight="1" spans="56:157" x14ac:dyDescent="0.25">
      <c r="BD175" s="62">
        <v>2005</v>
      </c>
      <c r="BE175" s="478">
        <v>359.1674117994075</v>
      </c>
      <c r="BF175" s="49">
        <v>3611.1</v>
      </c>
      <c r="BG175" s="49"/>
      <c r="BH175" s="479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Y175" s="475">
        <f t="shared" si="150"/>
        <v>359.1674117994075</v>
      </c>
      <c r="CC175" s="1278">
        <v>2034</v>
      </c>
      <c r="CD175" s="1284"/>
      <c r="CE175" s="1281">
        <v>1.05</v>
      </c>
      <c r="CV175" s="1281">
        <f t="shared" si="151"/>
        <v>1.05</v>
      </c>
      <c r="CX175" s="923">
        <v>2034</v>
      </c>
      <c r="CY175" s="1285"/>
      <c r="CZ175" s="20"/>
      <c r="DA175" s="1281">
        <f t="shared" si="149"/>
        <v>47.13762587809956</v>
      </c>
      <c r="DR175" s="1287">
        <f t="shared" si="152"/>
        <v>47.13762587809956</v>
      </c>
      <c r="EZ175" s="272"/>
      <c r="FA175" s="20"/>
    </row>
    <row r="176" ht="21" customHeight="1" spans="56:157" x14ac:dyDescent="0.25">
      <c r="BD176" s="62">
        <v>2006</v>
      </c>
      <c r="BE176" s="478">
        <v>419.14836956990854</v>
      </c>
      <c r="BF176" s="49">
        <v>4730</v>
      </c>
      <c r="BG176" s="49"/>
      <c r="BH176" s="479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Y176" s="475">
        <f t="shared" si="150"/>
        <v>419.14836956990854</v>
      </c>
      <c r="CC176" s="1303">
        <v>2035</v>
      </c>
      <c r="CD176" s="1304"/>
      <c r="CE176" s="1281">
        <v>1.05</v>
      </c>
      <c r="CV176" s="1305">
        <f t="shared" si="151"/>
        <v>1.05</v>
      </c>
      <c r="CX176" s="982">
        <v>2035</v>
      </c>
      <c r="CY176" s="1306"/>
      <c r="CZ176" s="82"/>
      <c r="DA176" s="1281">
        <f t="shared" si="149"/>
        <v>49.494507172004546</v>
      </c>
      <c r="DR176" s="1307">
        <f t="shared" si="152"/>
        <v>49.494507172004546</v>
      </c>
      <c r="EZ176" s="272"/>
      <c r="FA176" s="20"/>
    </row>
    <row r="177" ht="21" customHeight="1" spans="56:157" x14ac:dyDescent="0.25">
      <c r="BD177" s="62">
        <v>2007</v>
      </c>
      <c r="BE177" s="478">
        <v>514.2950494622778</v>
      </c>
      <c r="BF177" s="49">
        <v>6716.222</v>
      </c>
      <c r="BG177" s="49"/>
      <c r="BH177" s="479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Y177" s="475">
        <f t="shared" si="150"/>
        <v>514.2950494622778</v>
      </c>
      <c r="EZ177" s="272"/>
      <c r="FA177" s="20"/>
    </row>
    <row r="178" ht="21" customHeight="1" spans="56:157" x14ac:dyDescent="0.25">
      <c r="BD178" s="62">
        <v>2008</v>
      </c>
      <c r="BE178" s="478">
        <v>563.1530791611942</v>
      </c>
      <c r="BF178" s="49">
        <v>8781.616</v>
      </c>
      <c r="BG178" s="49"/>
      <c r="BH178" s="479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Y178" s="475">
        <f t="shared" si="150"/>
        <v>563.1530791611942</v>
      </c>
      <c r="EZ178" s="272"/>
      <c r="FA178" s="20"/>
    </row>
    <row r="179" ht="21" customHeight="1" spans="56:157" x14ac:dyDescent="0.25">
      <c r="BD179" s="62">
        <v>2009</v>
      </c>
      <c r="BE179" s="478">
        <v>487.127413474433</v>
      </c>
      <c r="BF179" s="49">
        <v>7976.013</v>
      </c>
      <c r="BG179" s="49"/>
      <c r="BH179" s="479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Y179" s="475">
        <f t="shared" si="150"/>
        <v>487.127413474433</v>
      </c>
      <c r="EZ179" s="272"/>
      <c r="FA179" s="20"/>
    </row>
    <row r="180" ht="21" customHeight="1" spans="56:157" x14ac:dyDescent="0.25">
      <c r="BD180" s="62">
        <v>2010</v>
      </c>
      <c r="BE180" s="478">
        <v>517.8164405233223</v>
      </c>
      <c r="BF180" s="49">
        <v>9152.1</v>
      </c>
      <c r="BG180" s="49"/>
      <c r="BH180" s="479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Y180" s="475">
        <f t="shared" si="150"/>
        <v>517.8164405233223</v>
      </c>
      <c r="EZ180" s="272"/>
      <c r="FA180" s="20"/>
    </row>
    <row r="181" ht="21" customHeight="1" spans="56:157" x14ac:dyDescent="0.25">
      <c r="BD181" s="62">
        <v>2011</v>
      </c>
      <c r="BE181" s="478">
        <v>573.7406160998412</v>
      </c>
      <c r="BF181" s="49">
        <v>11035.652</v>
      </c>
      <c r="BG181" s="49">
        <v>573.7406160998412</v>
      </c>
      <c r="BH181" s="479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Y181" s="475">
        <f t="shared" si="150"/>
        <v>573.7406160998412</v>
      </c>
      <c r="EZ181" s="272"/>
      <c r="FA181" s="20"/>
    </row>
    <row r="182" ht="21" customHeight="1" spans="56:157" x14ac:dyDescent="0.25">
      <c r="BD182" s="62">
        <v>2012</v>
      </c>
      <c r="BE182" s="478">
        <v>612.7549779946304</v>
      </c>
      <c r="BF182" s="49">
        <v>12586.090400000001</v>
      </c>
      <c r="BG182" s="49">
        <v>573.7406160998412</v>
      </c>
      <c r="BH182" s="479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Y182" s="475">
        <f t="shared" si="150"/>
        <v>612.7549779946304</v>
      </c>
      <c r="EZ182" s="272"/>
      <c r="FA182" s="20"/>
    </row>
    <row r="183" ht="21" customHeight="1" spans="56:157" x14ac:dyDescent="0.25">
      <c r="BD183" s="62">
        <v>2013</v>
      </c>
      <c r="BE183" s="478">
        <v>617.6570178185874</v>
      </c>
      <c r="BF183" s="49">
        <v>13450.2382</v>
      </c>
      <c r="BG183" s="49">
        <v>573.7406160998412</v>
      </c>
      <c r="BH183" s="479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Y183" s="475">
        <f t="shared" si="150"/>
        <v>617.6570178185874</v>
      </c>
      <c r="EZ183" s="272"/>
      <c r="FA183" s="20"/>
    </row>
    <row r="184" ht="20.5" customHeight="1" spans="56:157" x14ac:dyDescent="0.25">
      <c r="BD184" s="62">
        <v>2014</v>
      </c>
      <c r="BE184" s="478">
        <v>608.3921625513086</v>
      </c>
      <c r="BF184" s="49">
        <v>13902.6453</v>
      </c>
      <c r="BG184" s="49">
        <v>573.7406160998412</v>
      </c>
      <c r="BH184" s="64">
        <f>BE184</f>
        <v>608.3921625513086</v>
      </c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Y184" s="475">
        <f t="shared" si="150"/>
        <v>608.3921625513086</v>
      </c>
      <c r="EZ184" s="272"/>
      <c r="FA184" s="20"/>
    </row>
    <row r="185" ht="20.5" customHeight="1" spans="56:157" x14ac:dyDescent="0.25">
      <c r="BD185" s="62">
        <v>2015</v>
      </c>
      <c r="BE185" s="478">
        <v>546.9445541336264</v>
      </c>
      <c r="BF185" s="49">
        <v>13897.2</v>
      </c>
      <c r="BG185" s="49">
        <v>573.7406160998412</v>
      </c>
      <c r="BH185" s="64">
        <f>BE185</f>
        <v>546.9445541336264</v>
      </c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Y185" s="475">
        <f t="shared" si="150"/>
        <v>546.9445541336264</v>
      </c>
      <c r="EZ185" s="272"/>
      <c r="FA185" s="20"/>
    </row>
    <row r="186" ht="20.5" customHeight="1" spans="56:157" x14ac:dyDescent="0.25">
      <c r="BD186" s="62">
        <v>2016</v>
      </c>
      <c r="BE186" s="478">
        <v>545.8506650253591</v>
      </c>
      <c r="BF186" s="49">
        <v>14748.8</v>
      </c>
      <c r="BG186" s="49">
        <v>573.7406160998412</v>
      </c>
      <c r="BH186" s="64">
        <f>BE186</f>
        <v>545.8506650253591</v>
      </c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Y186" s="475">
        <f t="shared" si="150"/>
        <v>545.8506650253591</v>
      </c>
      <c r="EZ186" s="272"/>
      <c r="FA186" s="20"/>
    </row>
    <row r="187" ht="20.5" customHeight="1" spans="56:157" x14ac:dyDescent="0.25">
      <c r="BD187" s="62">
        <v>2017</v>
      </c>
      <c r="BE187" s="478">
        <v>572.0514969465764</v>
      </c>
      <c r="BF187" s="49">
        <v>16027.3</v>
      </c>
      <c r="BG187" s="49">
        <v>573.7406160998412</v>
      </c>
      <c r="BH187" s="64">
        <f>BE187</f>
        <v>572.0514969465764</v>
      </c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Y187" s="475">
        <f t="shared" si="150"/>
        <v>572.0514969465764</v>
      </c>
      <c r="EZ187" s="272"/>
      <c r="FA187" s="20"/>
    </row>
    <row r="188" ht="20.5" customHeight="1" spans="56:157" x14ac:dyDescent="0.25">
      <c r="BD188" s="62">
        <v>2018</v>
      </c>
      <c r="BE188" s="478">
        <v>596.6497113152792</v>
      </c>
      <c r="BF188" s="49">
        <v>17595</v>
      </c>
      <c r="BG188" s="49">
        <v>573.7406160998412</v>
      </c>
      <c r="BH188" s="64">
        <f>BE188</f>
        <v>596.6497113152792</v>
      </c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Y188" s="475">
        <f t="shared" si="150"/>
        <v>596.6497113152792</v>
      </c>
      <c r="EZ188" s="272"/>
      <c r="FA188" s="20"/>
    </row>
    <row r="189" ht="20.5" customHeight="1" spans="56:157" x14ac:dyDescent="0.25">
      <c r="BD189" s="62">
        <v>2019</v>
      </c>
      <c r="BE189" s="478"/>
      <c r="BF189" s="49"/>
      <c r="BG189" s="49">
        <v>573.7406160998412</v>
      </c>
      <c r="BH189" s="496">
        <v>601.4229090058014</v>
      </c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Y189" s="475">
        <f>BH189</f>
        <v>601.4229090058014</v>
      </c>
      <c r="EZ189" s="272"/>
      <c r="FA189" s="20"/>
    </row>
    <row r="190" ht="21" customHeight="1" spans="56:157" x14ac:dyDescent="0.25">
      <c r="BD190" s="62">
        <v>2020</v>
      </c>
      <c r="BE190" s="1308"/>
      <c r="BF190" s="642"/>
      <c r="BG190" s="49">
        <v>573.7406160998412</v>
      </c>
      <c r="BH190" s="64">
        <v>596.6497113152792</v>
      </c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Y190" s="475">
        <f>BH190</f>
        <v>596.6497113152792</v>
      </c>
      <c r="EZ190" s="272"/>
      <c r="FA190" s="20"/>
    </row>
    <row r="191" ht="21" customHeight="1" spans="55:157" x14ac:dyDescent="0.25">
      <c r="BC191" s="59">
        <v>0.8</v>
      </c>
      <c r="BD191" s="62">
        <v>2021</v>
      </c>
      <c r="BE191" s="1308"/>
      <c r="BF191" s="642"/>
      <c r="BG191" s="49">
        <v>573.7406160998412</v>
      </c>
      <c r="BH191" s="64">
        <f>BG191+BC191*(BH185-BG185)</f>
        <v>552.3037665268694</v>
      </c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Y191" s="475">
        <f t="shared" ref="BY191:BY205" si="153">BH191</f>
        <v>552.3037665268694</v>
      </c>
      <c r="EZ191" s="272"/>
      <c r="FA191" s="20"/>
    </row>
    <row r="192" ht="21" customHeight="1" spans="55:157" x14ac:dyDescent="0.25">
      <c r="BC192" s="59">
        <v>0.7</v>
      </c>
      <c r="BD192" s="62">
        <v>2022</v>
      </c>
      <c r="BE192" s="1308"/>
      <c r="BF192" s="642"/>
      <c r="BG192" s="49">
        <v>573.7406160998412</v>
      </c>
      <c r="BH192" s="64">
        <f t="shared" ref="BH192:BH205" si="154">BG192+BC192*(BH186-BG186)</f>
        <v>554.2176503477037</v>
      </c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Y192" s="475">
        <f t="shared" si="153"/>
        <v>554.2176503477037</v>
      </c>
      <c r="EZ192" s="272"/>
      <c r="FA192" s="20"/>
    </row>
    <row r="193" ht="21" customHeight="1" spans="55:157" x14ac:dyDescent="0.25">
      <c r="BC193" s="59">
        <v>0.6</v>
      </c>
      <c r="BD193" s="62">
        <v>2023</v>
      </c>
      <c r="BE193" s="1308"/>
      <c r="BF193" s="642"/>
      <c r="BG193" s="49">
        <v>573.7406160998412</v>
      </c>
      <c r="BH193" s="64">
        <f t="shared" si="154"/>
        <v>572.7271446078823</v>
      </c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Y193" s="475">
        <f t="shared" si="153"/>
        <v>572.7271446078823</v>
      </c>
      <c r="EZ193" s="272"/>
      <c r="FA193" s="20"/>
    </row>
    <row r="194" ht="21" customHeight="1" spans="55:157" x14ac:dyDescent="0.25">
      <c r="BC194" s="59">
        <v>0.5</v>
      </c>
      <c r="BD194" s="62">
        <v>2024</v>
      </c>
      <c r="BE194" s="1308"/>
      <c r="BF194" s="642"/>
      <c r="BG194" s="49">
        <v>573.7406160998412</v>
      </c>
      <c r="BH194" s="64">
        <f t="shared" si="154"/>
        <v>585.1951637075601</v>
      </c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Y194" s="475">
        <f t="shared" si="153"/>
        <v>585.1951637075601</v>
      </c>
      <c r="EZ194" s="272"/>
      <c r="FA194" s="20"/>
    </row>
    <row r="195" ht="21" customHeight="1" spans="55:157" x14ac:dyDescent="0.25">
      <c r="BC195" s="59">
        <v>0.4</v>
      </c>
      <c r="BD195" s="62">
        <v>2025</v>
      </c>
      <c r="BE195" s="1308"/>
      <c r="BF195" s="642"/>
      <c r="BG195" s="49">
        <v>573.7406160998412</v>
      </c>
      <c r="BH195" s="64">
        <f t="shared" si="154"/>
        <v>584.8135332622253</v>
      </c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Y195" s="475">
        <f t="shared" si="153"/>
        <v>584.8135332622253</v>
      </c>
      <c r="EZ195" s="272"/>
      <c r="FA195" s="20"/>
    </row>
    <row r="196" ht="21" customHeight="1" spans="55:157" x14ac:dyDescent="0.25">
      <c r="BC196" s="59">
        <v>0.3</v>
      </c>
      <c r="BD196" s="62">
        <v>2026</v>
      </c>
      <c r="BE196" s="1308"/>
      <c r="BF196" s="642"/>
      <c r="BG196" s="49">
        <v>573.7406160998412</v>
      </c>
      <c r="BH196" s="64">
        <f t="shared" si="154"/>
        <v>580.6133446644726</v>
      </c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Y196" s="475">
        <f t="shared" si="153"/>
        <v>580.6133446644726</v>
      </c>
      <c r="EZ196" s="272"/>
      <c r="FA196" s="20"/>
    </row>
    <row r="197" ht="21" customHeight="1" spans="55:157" x14ac:dyDescent="0.25">
      <c r="BC197" s="59">
        <v>0.2</v>
      </c>
      <c r="BD197" s="62">
        <v>2027</v>
      </c>
      <c r="BE197" s="1308"/>
      <c r="BF197" s="642"/>
      <c r="BG197" s="49">
        <v>573.7406160998412</v>
      </c>
      <c r="BH197" s="64">
        <f t="shared" si="154"/>
        <v>569.4532461852468</v>
      </c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Y197" s="475">
        <f t="shared" si="153"/>
        <v>569.4532461852468</v>
      </c>
      <c r="EZ197" s="272"/>
      <c r="FA197" s="20"/>
    </row>
    <row r="198" ht="21" customHeight="1" spans="55:157" x14ac:dyDescent="0.25">
      <c r="BC198" s="59">
        <v>0.1</v>
      </c>
      <c r="BD198" s="62">
        <v>2028</v>
      </c>
      <c r="BE198" s="1308"/>
      <c r="BF198" s="642"/>
      <c r="BG198" s="49">
        <v>573.7406160998412</v>
      </c>
      <c r="BH198" s="64">
        <f t="shared" si="154"/>
        <v>571.7883195246275</v>
      </c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Y198" s="475">
        <f t="shared" si="153"/>
        <v>571.7883195246275</v>
      </c>
      <c r="EZ198" s="272"/>
      <c r="FA198" s="20"/>
    </row>
    <row r="199" ht="21" customHeight="1" spans="55:157" x14ac:dyDescent="0.25">
      <c r="BC199" s="59">
        <v>0</v>
      </c>
      <c r="BD199" s="62">
        <v>2029</v>
      </c>
      <c r="BE199" s="1308"/>
      <c r="BF199" s="642"/>
      <c r="BG199" s="49">
        <v>573.7406160998412</v>
      </c>
      <c r="BH199" s="64">
        <f t="shared" si="154"/>
        <v>573.7406160998412</v>
      </c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Y199" s="475">
        <f t="shared" si="153"/>
        <v>573.7406160998412</v>
      </c>
      <c r="EZ199" s="272"/>
      <c r="FA199" s="20"/>
    </row>
    <row r="200" ht="21" customHeight="1" spans="55:157" x14ac:dyDescent="0.25">
      <c r="BC200" s="59">
        <v>0</v>
      </c>
      <c r="BD200" s="62">
        <v>2030</v>
      </c>
      <c r="BE200" s="1308"/>
      <c r="BF200" s="642"/>
      <c r="BG200" s="49">
        <v>573.7406160998412</v>
      </c>
      <c r="BH200" s="64">
        <f t="shared" si="154"/>
        <v>573.7406160998412</v>
      </c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Y200" s="475">
        <f t="shared" si="153"/>
        <v>573.7406160998412</v>
      </c>
      <c r="EZ200" s="272"/>
      <c r="FA200" s="20"/>
    </row>
    <row r="201" ht="21" customHeight="1" spans="55:157" x14ac:dyDescent="0.25">
      <c r="BC201" s="59">
        <v>0</v>
      </c>
      <c r="BD201" s="62">
        <v>2031</v>
      </c>
      <c r="BE201" s="1308"/>
      <c r="BF201" s="642"/>
      <c r="BG201" s="49">
        <v>573.7406160998412</v>
      </c>
      <c r="BH201" s="64">
        <f t="shared" si="154"/>
        <v>573.7406160998412</v>
      </c>
      <c r="BY201" s="475">
        <f t="shared" si="153"/>
        <v>573.7406160998412</v>
      </c>
      <c r="EZ201" s="272"/>
      <c r="FA201" s="20"/>
    </row>
    <row r="202" ht="21" customHeight="1" spans="55:157" x14ac:dyDescent="0.25">
      <c r="BC202" s="59">
        <v>0</v>
      </c>
      <c r="BD202" s="62">
        <v>2032</v>
      </c>
      <c r="BE202" s="1308"/>
      <c r="BF202" s="642"/>
      <c r="BG202" s="49">
        <v>573.7406160998412</v>
      </c>
      <c r="BH202" s="64">
        <f t="shared" si="154"/>
        <v>573.7406160998412</v>
      </c>
      <c r="BY202" s="475">
        <f t="shared" si="153"/>
        <v>573.7406160998412</v>
      </c>
      <c r="EZ202" s="272"/>
      <c r="FA202" s="20"/>
    </row>
    <row r="203" ht="21" customHeight="1" spans="55:157" x14ac:dyDescent="0.25">
      <c r="BC203" s="59">
        <v>0</v>
      </c>
      <c r="BD203" s="62">
        <v>2033</v>
      </c>
      <c r="BE203" s="1308"/>
      <c r="BF203" s="642"/>
      <c r="BG203" s="49">
        <v>573.7406160998412</v>
      </c>
      <c r="BH203" s="64">
        <f t="shared" si="154"/>
        <v>573.7406160998412</v>
      </c>
      <c r="BY203" s="475">
        <f t="shared" si="153"/>
        <v>573.7406160998412</v>
      </c>
      <c r="EZ203" s="272"/>
      <c r="FA203" s="20"/>
    </row>
    <row r="204" ht="21" customHeight="1" spans="55:157" x14ac:dyDescent="0.25">
      <c r="BC204" s="59">
        <v>0</v>
      </c>
      <c r="BD204" s="62">
        <v>2034</v>
      </c>
      <c r="BE204" s="1308"/>
      <c r="BF204" s="642"/>
      <c r="BG204" s="49">
        <v>573.7406160998412</v>
      </c>
      <c r="BH204" s="64">
        <f t="shared" si="154"/>
        <v>573.7406160998412</v>
      </c>
      <c r="BY204" s="475">
        <f t="shared" si="153"/>
        <v>573.7406160998412</v>
      </c>
      <c r="EZ204" s="272"/>
      <c r="FA204" s="20"/>
    </row>
    <row r="205" ht="21" customHeight="1" spans="55:157" x14ac:dyDescent="0.25">
      <c r="BC205" s="59">
        <v>0</v>
      </c>
      <c r="BD205" s="34">
        <v>2035</v>
      </c>
      <c r="BE205" s="515"/>
      <c r="BF205" s="1299"/>
      <c r="BG205" s="516">
        <v>573.7406160998412</v>
      </c>
      <c r="BH205" s="517">
        <f t="shared" si="154"/>
        <v>573.7406160998412</v>
      </c>
      <c r="BY205" s="518">
        <f t="shared" si="153"/>
        <v>573.7406160998412</v>
      </c>
      <c r="EZ205" s="272"/>
      <c r="FA205" s="20"/>
    </row>
    <row r="206" ht="17.5" customHeight="1" spans="156:157" x14ac:dyDescent="0.25">
      <c r="EZ206" s="272"/>
      <c r="FA206" s="20"/>
    </row>
    <row r="207" ht="17.5" customHeight="1" spans="156:157" x14ac:dyDescent="0.25">
      <c r="EZ207" s="272"/>
      <c r="FA207" s="20"/>
    </row>
    <row r="208" ht="18" customHeight="1" spans="156:157" x14ac:dyDescent="0.25">
      <c r="EZ208" s="272"/>
      <c r="FA208" s="20"/>
    </row>
    <row r="209" ht="20.5" customHeight="1" spans="56:157" x14ac:dyDescent="0.25">
      <c r="BD209" s="821" t="s">
        <v>159</v>
      </c>
      <c r="BE209" s="702" t="s">
        <v>1001</v>
      </c>
      <c r="BF209" s="703" t="s">
        <v>949</v>
      </c>
      <c r="BG209" s="703" t="s">
        <v>1002</v>
      </c>
      <c r="BH209" s="703" t="s">
        <v>864</v>
      </c>
      <c r="BW209" s="1309" t="s">
        <v>865</v>
      </c>
      <c r="BX209" s="1309" t="s">
        <v>865</v>
      </c>
      <c r="EZ209" s="272"/>
      <c r="FA209" s="20"/>
    </row>
    <row r="210" ht="21" customHeight="1" spans="56:157" x14ac:dyDescent="0.25">
      <c r="BD210" s="1310">
        <v>43917</v>
      </c>
      <c r="BE210" s="1311" t="s">
        <v>840</v>
      </c>
      <c r="BF210" s="1312" t="s">
        <v>840</v>
      </c>
      <c r="BG210" s="1312" t="s">
        <v>840</v>
      </c>
      <c r="BH210" s="1312" t="s">
        <v>840</v>
      </c>
      <c r="BW210" s="702" t="s">
        <v>1001</v>
      </c>
      <c r="BX210" s="703" t="s">
        <v>1002</v>
      </c>
      <c r="EZ210" s="272"/>
      <c r="FA210" s="20"/>
    </row>
    <row r="211" ht="20.5" customHeight="1" spans="56:157" x14ac:dyDescent="0.25">
      <c r="BD211" s="1184">
        <v>1995</v>
      </c>
      <c r="BE211" s="1041">
        <f t="array" ref="BE211:BE234">TRANSPOSE(ОТЧЁТ!U124:AR124)</f>
        <v>0.039346290432521365</v>
      </c>
      <c r="BF211" s="1313"/>
      <c r="BG211" s="1204">
        <f t="array" ref="BG211:BG234">TRANSPOSE(ОТЧЁТ!U125:AR125)</f>
        <v>0.05413642837764514</v>
      </c>
      <c r="BH211" s="1167"/>
      <c r="BW211" s="1314">
        <f t="shared" ref="BW211:BW232" si="155">BE211</f>
        <v>0.039346290432521365</v>
      </c>
      <c r="BX211" s="1315">
        <f t="shared" ref="BX211:BX232" si="156">BG211</f>
        <v>0.05413642837764514</v>
      </c>
      <c r="EZ211" s="272"/>
      <c r="FA211" s="20"/>
    </row>
    <row r="212" ht="20.5" customHeight="1" spans="56:157" x14ac:dyDescent="0.25">
      <c r="BD212" s="1184">
        <v>1996</v>
      </c>
      <c r="BE212" s="1047">
        <v>0.04727824241680851</v>
      </c>
      <c r="BF212" s="1316"/>
      <c r="BG212" s="1214">
        <v>0.06744382725080347</v>
      </c>
      <c r="BH212" s="1187"/>
      <c r="BW212" s="1317">
        <f t="shared" si="155"/>
        <v>0.04727824241680851</v>
      </c>
      <c r="BX212" s="1318">
        <f t="shared" si="156"/>
        <v>0.06744382725080347</v>
      </c>
      <c r="EZ212" s="272"/>
      <c r="FA212" s="20"/>
    </row>
    <row r="213" ht="20.5" customHeight="1" spans="56:157" x14ac:dyDescent="0.25">
      <c r="BD213" s="1184">
        <v>1997</v>
      </c>
      <c r="BE213" s="1047">
        <v>0.04958825251627314</v>
      </c>
      <c r="BF213" s="1316"/>
      <c r="BG213" s="1214">
        <v>0.07337842274391265</v>
      </c>
      <c r="BH213" s="1187"/>
      <c r="BW213" s="1317">
        <f t="shared" si="155"/>
        <v>0.04958825251627314</v>
      </c>
      <c r="BX213" s="1318">
        <f t="shared" si="156"/>
        <v>0.07337842274391265</v>
      </c>
      <c r="EZ213" s="272"/>
      <c r="FA213" s="20"/>
    </row>
    <row r="214" ht="20.5" customHeight="1" spans="56:76" x14ac:dyDescent="0.25">
      <c r="BD214" s="1184">
        <v>1998</v>
      </c>
      <c r="BE214" s="1047">
        <v>0.053861945523556415</v>
      </c>
      <c r="BF214" s="1316"/>
      <c r="BG214" s="1214">
        <v>0.08044425149690274</v>
      </c>
      <c r="BH214" s="1187"/>
      <c r="BW214" s="1317">
        <f t="shared" si="155"/>
        <v>0.053861945523556415</v>
      </c>
      <c r="BX214" s="1318">
        <f t="shared" si="156"/>
        <v>0.08044425149690274</v>
      </c>
    </row>
    <row r="215" ht="20.5" customHeight="1" spans="56:76" x14ac:dyDescent="0.25">
      <c r="BD215" s="1184">
        <v>1999</v>
      </c>
      <c r="BE215" s="1047">
        <v>0.05965893639586271</v>
      </c>
      <c r="BF215" s="1316"/>
      <c r="BG215" s="1214">
        <v>0.0792547653553883</v>
      </c>
      <c r="BH215" s="1187"/>
      <c r="BW215" s="1317">
        <f t="shared" si="155"/>
        <v>0.05965893639586271</v>
      </c>
      <c r="BX215" s="1318">
        <f t="shared" si="156"/>
        <v>0.0792547653553883</v>
      </c>
    </row>
    <row r="216" ht="20.5" customHeight="1" spans="56:76" x14ac:dyDescent="0.25">
      <c r="BD216" s="1184">
        <v>2000</v>
      </c>
      <c r="BE216" s="1047">
        <v>0.06639845630395663</v>
      </c>
      <c r="BF216" s="1316"/>
      <c r="BG216" s="1214">
        <v>0.08725766032131918</v>
      </c>
      <c r="BH216" s="1187"/>
      <c r="BW216" s="1317">
        <f t="shared" si="155"/>
        <v>0.06639845630395663</v>
      </c>
      <c r="BX216" s="1318">
        <f t="shared" si="156"/>
        <v>0.08725766032131918</v>
      </c>
    </row>
    <row r="217" ht="20.5" customHeight="1" spans="56:76" x14ac:dyDescent="0.25">
      <c r="BD217" s="1184">
        <v>2001</v>
      </c>
      <c r="BE217" s="1047">
        <v>0.06892569944409233</v>
      </c>
      <c r="BF217" s="1316"/>
      <c r="BG217" s="1214">
        <v>0.0775390856929812</v>
      </c>
      <c r="BH217" s="1187"/>
      <c r="BW217" s="1317">
        <f t="shared" si="155"/>
        <v>0.06892569944409233</v>
      </c>
      <c r="BX217" s="1318">
        <f t="shared" si="156"/>
        <v>0.0775390856929812</v>
      </c>
    </row>
    <row r="218" ht="20.5" customHeight="1" spans="56:97" x14ac:dyDescent="0.25">
      <c r="BD218" s="1184">
        <v>2002</v>
      </c>
      <c r="BE218" s="1047">
        <v>0.06584386483806699</v>
      </c>
      <c r="BF218" s="1316"/>
      <c r="BG218" s="1214">
        <v>0.08544188057752926</v>
      </c>
      <c r="BH218" s="1187"/>
      <c r="BW218" s="1317">
        <f t="shared" si="155"/>
        <v>0.06584386483806699</v>
      </c>
      <c r="BX218" s="1318">
        <f t="shared" si="156"/>
        <v>0.08544188057752926</v>
      </c>
      <c r="CS218" s="24"/>
    </row>
    <row r="219" ht="20.5" customHeight="1" spans="56:97" x14ac:dyDescent="0.25">
      <c r="BD219" s="1184">
        <v>2003</v>
      </c>
      <c r="BE219" s="1047">
        <v>0.06825479702641113</v>
      </c>
      <c r="BF219" s="1319"/>
      <c r="BG219" s="1214">
        <v>0.07993808753736403</v>
      </c>
      <c r="BH219" s="1318"/>
      <c r="BW219" s="1317">
        <f t="shared" si="155"/>
        <v>0.06825479702641113</v>
      </c>
      <c r="BX219" s="1318">
        <f t="shared" si="156"/>
        <v>0.07993808753736403</v>
      </c>
      <c r="CS219" s="24"/>
    </row>
    <row r="220" ht="20.5" customHeight="1" spans="56:97" x14ac:dyDescent="0.25">
      <c r="BD220" s="1184">
        <v>2004</v>
      </c>
      <c r="BE220" s="1047">
        <v>0.07352845782238589</v>
      </c>
      <c r="BF220" s="1319"/>
      <c r="BG220" s="1214">
        <v>0.08644196204397055</v>
      </c>
      <c r="BH220" s="1318"/>
      <c r="BW220" s="1317">
        <f t="shared" si="155"/>
        <v>0.07352845782238589</v>
      </c>
      <c r="BX220" s="1318">
        <f t="shared" si="156"/>
        <v>0.08644196204397055</v>
      </c>
      <c r="CS220" s="24"/>
    </row>
    <row r="221" ht="20.5" customHeight="1" spans="56:97" x14ac:dyDescent="0.25">
      <c r="BD221" s="1184">
        <v>2005</v>
      </c>
      <c r="BE221" s="1047">
        <v>0.08352376333588525</v>
      </c>
      <c r="BF221" s="1319"/>
      <c r="BG221" s="1214">
        <v>0.10195514871018198</v>
      </c>
      <c r="BH221" s="1318"/>
      <c r="BW221" s="1317">
        <f t="shared" si="155"/>
        <v>0.08352376333588525</v>
      </c>
      <c r="BX221" s="1318">
        <f t="shared" si="156"/>
        <v>0.10195514871018198</v>
      </c>
      <c r="CS221" s="24"/>
    </row>
    <row r="222" ht="20.5" customHeight="1" spans="56:97" x14ac:dyDescent="0.25">
      <c r="BD222" s="1184">
        <v>2006</v>
      </c>
      <c r="BE222" s="1047">
        <v>0.08523432370158822</v>
      </c>
      <c r="BF222" s="1319"/>
      <c r="BG222" s="1214">
        <v>0.10383564125667144</v>
      </c>
      <c r="BH222" s="1318"/>
      <c r="BW222" s="1317">
        <f t="shared" si="155"/>
        <v>0.08523432370158822</v>
      </c>
      <c r="BX222" s="1318">
        <f t="shared" si="156"/>
        <v>0.10383564125667144</v>
      </c>
      <c r="CS222" s="24"/>
    </row>
    <row r="223" ht="19.5" customHeight="1" spans="56:97" x14ac:dyDescent="0.25">
      <c r="BD223" s="1184">
        <v>2007</v>
      </c>
      <c r="BE223" s="1047">
        <v>0.08247387228514894</v>
      </c>
      <c r="BF223" s="1319"/>
      <c r="BG223" s="1214">
        <v>0.09757961920258694</v>
      </c>
      <c r="BH223" s="1318"/>
      <c r="BW223" s="1317">
        <f t="shared" si="155"/>
        <v>0.08247387228514894</v>
      </c>
      <c r="BX223" s="1318">
        <f t="shared" si="156"/>
        <v>0.09757961920258694</v>
      </c>
      <c r="CS223" s="24"/>
    </row>
    <row r="224" ht="18" customHeight="1" spans="56:97" x14ac:dyDescent="0.25">
      <c r="BD224" s="1184">
        <v>2008</v>
      </c>
      <c r="BE224" s="1047">
        <v>0.0851118671022953</v>
      </c>
      <c r="BF224" s="1319"/>
      <c r="BG224" s="1214">
        <v>0.10182322919675864</v>
      </c>
      <c r="BH224" s="1318"/>
      <c r="BW224" s="1317">
        <f t="shared" si="155"/>
        <v>0.0851118671022953</v>
      </c>
      <c r="BX224" s="1318">
        <f t="shared" si="156"/>
        <v>0.10182322919675864</v>
      </c>
      <c r="CS224" s="24"/>
    </row>
    <row r="225" ht="20.5" customHeight="1" spans="56:97" x14ac:dyDescent="0.25">
      <c r="BD225" s="1184">
        <v>2009</v>
      </c>
      <c r="BE225" s="1047">
        <v>0.07304977354972729</v>
      </c>
      <c r="BF225" s="1319"/>
      <c r="BG225" s="1214">
        <v>0.08511143557685862</v>
      </c>
      <c r="BH225" s="1318"/>
      <c r="BW225" s="1317">
        <f t="shared" si="155"/>
        <v>0.07304977354972729</v>
      </c>
      <c r="BX225" s="1318">
        <f t="shared" si="156"/>
        <v>0.08511143557685862</v>
      </c>
      <c r="CS225" s="24"/>
    </row>
    <row r="226" ht="20.5" customHeight="1" spans="56:97" x14ac:dyDescent="0.25">
      <c r="BD226" s="1184">
        <v>2010</v>
      </c>
      <c r="BE226" s="1047">
        <v>0.07639386457310132</v>
      </c>
      <c r="BF226" s="1319"/>
      <c r="BG226" s="1214">
        <v>0.08949031890021944</v>
      </c>
      <c r="BH226" s="1318"/>
      <c r="BW226" s="1317">
        <f t="shared" si="155"/>
        <v>0.07639386457310132</v>
      </c>
      <c r="BX226" s="1318">
        <f t="shared" si="156"/>
        <v>0.08949031890021944</v>
      </c>
      <c r="CS226" s="24"/>
    </row>
    <row r="227" ht="20.5" customHeight="1" spans="56:97" x14ac:dyDescent="0.25">
      <c r="BD227" s="1184">
        <v>2011</v>
      </c>
      <c r="BE227" s="1047">
        <v>0.0812042182400152</v>
      </c>
      <c r="BF227" s="1319"/>
      <c r="BG227" s="1214">
        <v>0.07742687832977277</v>
      </c>
      <c r="BH227" s="1318"/>
      <c r="BW227" s="1317">
        <f t="shared" si="155"/>
        <v>0.0812042182400152</v>
      </c>
      <c r="BX227" s="1318">
        <f t="shared" si="156"/>
        <v>0.07742687832977277</v>
      </c>
      <c r="CS227" s="24"/>
    </row>
    <row r="228" ht="20.5" customHeight="1" spans="56:97" x14ac:dyDescent="0.25">
      <c r="BD228" s="1184">
        <v>2012</v>
      </c>
      <c r="BE228" s="1047">
        <v>0.08106352276502601</v>
      </c>
      <c r="BF228" s="1319"/>
      <c r="BG228" s="1214">
        <v>0.07748079174133626</v>
      </c>
      <c r="BH228" s="1318"/>
      <c r="BW228" s="1317">
        <f t="shared" si="155"/>
        <v>0.08106352276502601</v>
      </c>
      <c r="BX228" s="1318">
        <f t="shared" si="156"/>
        <v>0.07748079174133626</v>
      </c>
      <c r="CS228" s="24"/>
    </row>
    <row r="229" ht="20.5" customHeight="1" spans="56:97" x14ac:dyDescent="0.25">
      <c r="BD229" s="1184">
        <v>2013</v>
      </c>
      <c r="BE229" s="1047">
        <v>0.07521949182823459</v>
      </c>
      <c r="BF229" s="1319"/>
      <c r="BG229" s="1214">
        <v>0.07287041882190425</v>
      </c>
      <c r="BH229" s="1318"/>
      <c r="BW229" s="1317">
        <f t="shared" si="155"/>
        <v>0.07521949182823459</v>
      </c>
      <c r="BX229" s="1318">
        <f t="shared" si="156"/>
        <v>0.07287041882190425</v>
      </c>
      <c r="CS229" s="24"/>
    </row>
    <row r="230" ht="18.75" customHeight="1" spans="56:97" x14ac:dyDescent="0.25">
      <c r="BD230" s="1184">
        <v>2014</v>
      </c>
      <c r="BE230" s="1047">
        <v>0.07747490494554175</v>
      </c>
      <c r="BF230" s="1319"/>
      <c r="BG230" s="1214">
        <v>0.0737567232294903</v>
      </c>
      <c r="BH230" s="1318"/>
      <c r="BW230" s="1317">
        <f t="shared" si="155"/>
        <v>0.07747490494554175</v>
      </c>
      <c r="BX230" s="1318">
        <f t="shared" si="156"/>
        <v>0.0737567232294903</v>
      </c>
      <c r="CS230" s="24"/>
    </row>
    <row r="231" ht="20.5" customHeight="1" spans="56:97" x14ac:dyDescent="0.25">
      <c r="BD231" s="1184">
        <v>2015</v>
      </c>
      <c r="BE231" s="1047">
        <v>0.05800963166321928</v>
      </c>
      <c r="BF231" s="1319"/>
      <c r="BG231" s="1214">
        <v>0.05683924089777224</v>
      </c>
      <c r="BH231" s="1318"/>
      <c r="BW231" s="1317">
        <f t="shared" si="155"/>
        <v>0.05800963166321928</v>
      </c>
      <c r="BX231" s="1318">
        <f t="shared" si="156"/>
        <v>0.05683924089777224</v>
      </c>
      <c r="CS231" s="24"/>
    </row>
    <row r="232" ht="20.5" customHeight="1" spans="56:97" x14ac:dyDescent="0.25">
      <c r="BD232" s="1184">
        <v>2016</v>
      </c>
      <c r="BE232" s="1047">
        <v>0.05549924767559382</v>
      </c>
      <c r="BF232" s="1319"/>
      <c r="BG232" s="1214">
        <v>0.054905885518075605</v>
      </c>
      <c r="BH232" s="1318"/>
      <c r="BW232" s="1317">
        <f t="shared" si="155"/>
        <v>0.05549924767559382</v>
      </c>
      <c r="BX232" s="1318">
        <f t="shared" si="156"/>
        <v>0.054905885518075605</v>
      </c>
      <c r="CS232" s="24"/>
    </row>
    <row r="233" ht="17.25" customHeight="1" spans="56:97" x14ac:dyDescent="0.25">
      <c r="BD233" s="1184">
        <v>2017</v>
      </c>
      <c r="BE233" s="1047">
        <v>0.053783428415799264</v>
      </c>
      <c r="BF233" s="1214">
        <f>BE233</f>
        <v>0.053783428415799264</v>
      </c>
      <c r="BG233" s="1214">
        <v>0.0538590011717765</v>
      </c>
      <c r="BH233" s="1225">
        <f>BG233</f>
        <v>0.0538590011717765</v>
      </c>
      <c r="BW233" s="1317">
        <f>BF233</f>
        <v>0.053783428415799264</v>
      </c>
      <c r="BX233" s="1318">
        <f t="shared" ref="BX233:BX245" si="157">BH233</f>
        <v>0.0538590011717765</v>
      </c>
      <c r="CS233" s="24"/>
    </row>
    <row r="234" ht="20.5" customHeight="1" spans="56:97" x14ac:dyDescent="0.25">
      <c r="BD234" s="1184">
        <v>2018</v>
      </c>
      <c r="BE234" s="1047">
        <v>0.0596993438406504</v>
      </c>
      <c r="BF234" s="1214">
        <f>BE234</f>
        <v>0.0596993438406504</v>
      </c>
      <c r="BG234" s="1214">
        <v>0.059026548886211824</v>
      </c>
      <c r="BH234" s="1225">
        <f>BG234</f>
        <v>0.059026548886211824</v>
      </c>
      <c r="BW234" s="1317">
        <f>BF234</f>
        <v>0.0596993438406504</v>
      </c>
      <c r="BX234" s="1318">
        <f t="shared" si="157"/>
        <v>0.059026548886211824</v>
      </c>
      <c r="CS234" s="24"/>
    </row>
    <row r="235" ht="20.5" customHeight="1" spans="56:76" x14ac:dyDescent="0.25">
      <c r="BD235" s="1184">
        <v>2019</v>
      </c>
      <c r="BE235" s="1233"/>
      <c r="BF235" s="1214">
        <f t="shared" ref="BF235:BF251" si="158">BF234+0.5*(BF234-BF233)</f>
        <v>0.06265730155307597</v>
      </c>
      <c r="BG235" s="1214"/>
      <c r="BH235" s="1225">
        <f>BH234+0.7*(BH234-BH233)</f>
        <v>0.06264383228631655</v>
      </c>
      <c r="BW235" s="1317">
        <f>BF235</f>
        <v>0.06265730155307597</v>
      </c>
      <c r="BX235" s="1318">
        <f t="shared" si="157"/>
        <v>0.06264383228631655</v>
      </c>
    </row>
    <row r="236" ht="20.5" customHeight="1" spans="56:76" x14ac:dyDescent="0.25">
      <c r="BD236" s="1184">
        <v>2020</v>
      </c>
      <c r="BE236" s="1233"/>
      <c r="BF236" s="1214">
        <f t="shared" si="158"/>
        <v>0.06413628040928876</v>
      </c>
      <c r="BG236" s="1214"/>
      <c r="BH236" s="1225">
        <f t="shared" ref="BH236:BH251" si="159">BH235+0.7*(BH235-BH234)</f>
        <v>0.06517593066638985</v>
      </c>
      <c r="BW236" s="1317">
        <f t="shared" ref="BW236:BW251" si="160">BF236</f>
        <v>0.06413628040928876</v>
      </c>
      <c r="BX236" s="1318">
        <f t="shared" si="157"/>
        <v>0.06517593066638985</v>
      </c>
    </row>
    <row r="237" ht="20.5" customHeight="1" spans="56:76" x14ac:dyDescent="0.25">
      <c r="BD237" s="1184">
        <v>2021</v>
      </c>
      <c r="BE237" s="1233"/>
      <c r="BF237" s="1214">
        <f t="shared" si="158"/>
        <v>0.06487576983739515</v>
      </c>
      <c r="BG237" s="1214"/>
      <c r="BH237" s="1225">
        <f t="shared" si="159"/>
        <v>0.06694839953244117</v>
      </c>
      <c r="BW237" s="1317">
        <f t="shared" si="160"/>
        <v>0.06487576983739515</v>
      </c>
      <c r="BX237" s="1318">
        <f t="shared" si="157"/>
        <v>0.06694839953244117</v>
      </c>
    </row>
    <row r="238" ht="20.5" customHeight="1" spans="56:76" x14ac:dyDescent="0.25">
      <c r="BD238" s="1184">
        <v>2022</v>
      </c>
      <c r="BE238" s="1233"/>
      <c r="BF238" s="1214">
        <f t="shared" si="158"/>
        <v>0.06524551455144835</v>
      </c>
      <c r="BG238" s="1214"/>
      <c r="BH238" s="1225">
        <f t="shared" si="159"/>
        <v>0.06818912773867708</v>
      </c>
      <c r="BW238" s="1317">
        <f t="shared" si="160"/>
        <v>0.06524551455144835</v>
      </c>
      <c r="BX238" s="1318">
        <f t="shared" si="157"/>
        <v>0.06818912773867708</v>
      </c>
    </row>
    <row r="239" ht="20.5" customHeight="1" spans="56:76" x14ac:dyDescent="0.25">
      <c r="BD239" s="1184">
        <v>2023</v>
      </c>
      <c r="BE239" s="1233"/>
      <c r="BF239" s="1214">
        <f t="shared" si="158"/>
        <v>0.06543038690847494</v>
      </c>
      <c r="BG239" s="1214"/>
      <c r="BH239" s="1225">
        <f t="shared" si="159"/>
        <v>0.06905763748304222</v>
      </c>
      <c r="BW239" s="1317">
        <f t="shared" si="160"/>
        <v>0.06543038690847494</v>
      </c>
      <c r="BX239" s="1318">
        <f t="shared" si="157"/>
        <v>0.06905763748304222</v>
      </c>
    </row>
    <row r="240" ht="20.5" customHeight="1" spans="56:76" x14ac:dyDescent="0.25">
      <c r="BD240" s="1184">
        <v>2024</v>
      </c>
      <c r="BE240" s="1233"/>
      <c r="BF240" s="1214">
        <f t="shared" si="158"/>
        <v>0.06552282308698823</v>
      </c>
      <c r="BG240" s="1214"/>
      <c r="BH240" s="1225">
        <f t="shared" si="159"/>
        <v>0.06966559430409783</v>
      </c>
      <c r="BW240" s="1317">
        <f t="shared" si="160"/>
        <v>0.06552282308698823</v>
      </c>
      <c r="BX240" s="1318">
        <f t="shared" si="157"/>
        <v>0.06966559430409783</v>
      </c>
    </row>
    <row r="241" ht="20.5" customHeight="1" spans="56:76" x14ac:dyDescent="0.25">
      <c r="BD241" s="1184">
        <v>2025</v>
      </c>
      <c r="BE241" s="1233"/>
      <c r="BF241" s="1214">
        <f t="shared" si="158"/>
        <v>0.06556904117624487</v>
      </c>
      <c r="BG241" s="1214"/>
      <c r="BH241" s="1225">
        <f t="shared" si="159"/>
        <v>0.07009116407883675</v>
      </c>
      <c r="BW241" s="1317">
        <f t="shared" si="160"/>
        <v>0.06556904117624487</v>
      </c>
      <c r="BX241" s="1318">
        <f t="shared" si="157"/>
        <v>0.07009116407883675</v>
      </c>
    </row>
    <row r="242" ht="20.5" customHeight="1" spans="56:76" x14ac:dyDescent="0.25">
      <c r="BD242" s="1184">
        <v>2026</v>
      </c>
      <c r="BE242" s="1233"/>
      <c r="BF242" s="1214">
        <f t="shared" si="158"/>
        <v>0.0655921502208732</v>
      </c>
      <c r="BG242" s="1214"/>
      <c r="BH242" s="1225">
        <f t="shared" si="159"/>
        <v>0.070389062921154</v>
      </c>
      <c r="BW242" s="1317">
        <f t="shared" si="160"/>
        <v>0.0655921502208732</v>
      </c>
      <c r="BX242" s="1318">
        <f t="shared" si="157"/>
        <v>0.070389062921154</v>
      </c>
    </row>
    <row r="243" ht="20.5" customHeight="1" spans="56:76" x14ac:dyDescent="0.25">
      <c r="BD243" s="1184">
        <v>2027</v>
      </c>
      <c r="BE243" s="1233"/>
      <c r="BF243" s="1214">
        <f t="shared" si="158"/>
        <v>0.06560370474318736</v>
      </c>
      <c r="BG243" s="1214"/>
      <c r="BH243" s="1225">
        <f t="shared" si="159"/>
        <v>0.07059759211077607</v>
      </c>
      <c r="BW243" s="1317">
        <f t="shared" si="160"/>
        <v>0.06560370474318736</v>
      </c>
      <c r="BX243" s="1318">
        <f t="shared" si="157"/>
        <v>0.07059759211077607</v>
      </c>
    </row>
    <row r="244" ht="20.5" customHeight="1" spans="56:76" x14ac:dyDescent="0.25">
      <c r="BD244" s="1184">
        <v>2028</v>
      </c>
      <c r="BE244" s="1233"/>
      <c r="BF244" s="1214">
        <f t="shared" si="158"/>
        <v>0.06560948200434444</v>
      </c>
      <c r="BG244" s="1214"/>
      <c r="BH244" s="1225">
        <f t="shared" si="159"/>
        <v>0.07074356254351152</v>
      </c>
      <c r="BW244" s="1317">
        <f t="shared" si="160"/>
        <v>0.06560948200434444</v>
      </c>
      <c r="BX244" s="1318">
        <f t="shared" si="157"/>
        <v>0.07074356254351152</v>
      </c>
    </row>
    <row r="245" ht="20.5" customHeight="1" spans="56:76" x14ac:dyDescent="0.25">
      <c r="BD245" s="1184">
        <v>2029</v>
      </c>
      <c r="BE245" s="1233"/>
      <c r="BF245" s="1214">
        <f t="shared" si="158"/>
        <v>0.06561237063492298</v>
      </c>
      <c r="BG245" s="1214"/>
      <c r="BH245" s="1225">
        <f t="shared" si="159"/>
        <v>0.07084574184642634</v>
      </c>
      <c r="BW245" s="1317">
        <f t="shared" si="160"/>
        <v>0.06561237063492298</v>
      </c>
      <c r="BX245" s="1318">
        <f t="shared" si="157"/>
        <v>0.07084574184642634</v>
      </c>
    </row>
    <row r="246" ht="20.5" customHeight="1" spans="56:76" x14ac:dyDescent="0.25">
      <c r="BD246" s="1184">
        <v>2030</v>
      </c>
      <c r="BE246" s="1233"/>
      <c r="BF246" s="1214">
        <f t="shared" si="158"/>
        <v>0.06561381495021225</v>
      </c>
      <c r="BG246" s="1214"/>
      <c r="BH246" s="1225">
        <f t="shared" si="159"/>
        <v>0.0709172673584667</v>
      </c>
      <c r="BW246" s="1317">
        <f t="shared" si="160"/>
        <v>0.06561381495021225</v>
      </c>
      <c r="BX246" s="1318">
        <f t="shared" ref="BX246:BX250" si="161">BH246</f>
        <v>0.0709172673584667</v>
      </c>
    </row>
    <row r="247" ht="20.5" customHeight="1" spans="56:76" x14ac:dyDescent="0.25">
      <c r="BD247" s="1184">
        <v>2031</v>
      </c>
      <c r="BE247" s="1233"/>
      <c r="BF247" s="1214">
        <f t="shared" si="158"/>
        <v>0.06561453710785689</v>
      </c>
      <c r="BG247" s="1214"/>
      <c r="BH247" s="1225">
        <f t="shared" si="159"/>
        <v>0.07096733521689497</v>
      </c>
      <c r="BW247" s="1317">
        <f t="shared" si="160"/>
        <v>0.06561453710785689</v>
      </c>
      <c r="BX247" s="1318">
        <f t="shared" si="161"/>
        <v>0.07096733521689497</v>
      </c>
    </row>
    <row r="248" ht="20.5" customHeight="1" spans="56:76" x14ac:dyDescent="0.25">
      <c r="BD248" s="1184">
        <v>2032</v>
      </c>
      <c r="BE248" s="1233"/>
      <c r="BF248" s="1214">
        <f t="shared" si="158"/>
        <v>0.0656148981866792</v>
      </c>
      <c r="BG248" s="1214"/>
      <c r="BH248" s="1225">
        <f t="shared" si="159"/>
        <v>0.07100238271779474</v>
      </c>
      <c r="BW248" s="1317">
        <f t="shared" si="160"/>
        <v>0.0656148981866792</v>
      </c>
      <c r="BX248" s="1318">
        <f t="shared" si="161"/>
        <v>0.07100238271779474</v>
      </c>
    </row>
    <row r="249" ht="20.5" customHeight="1" spans="56:76" x14ac:dyDescent="0.25">
      <c r="BD249" s="1184">
        <v>2033</v>
      </c>
      <c r="BE249" s="1233"/>
      <c r="BF249" s="1214">
        <f t="shared" si="158"/>
        <v>0.06561507872609036</v>
      </c>
      <c r="BG249" s="1214"/>
      <c r="BH249" s="1225">
        <f t="shared" si="159"/>
        <v>0.07102691596842459</v>
      </c>
      <c r="BW249" s="1317">
        <f t="shared" si="160"/>
        <v>0.06561507872609036</v>
      </c>
      <c r="BX249" s="1318">
        <f t="shared" si="161"/>
        <v>0.07102691596842459</v>
      </c>
    </row>
    <row r="250" ht="20.5" customHeight="1" spans="56:76" x14ac:dyDescent="0.25">
      <c r="BD250" s="1184">
        <v>2034</v>
      </c>
      <c r="BE250" s="1233"/>
      <c r="BF250" s="1214">
        <f t="shared" si="158"/>
        <v>0.06561516899579595</v>
      </c>
      <c r="BG250" s="1214"/>
      <c r="BH250" s="1225">
        <f t="shared" si="159"/>
        <v>0.07104408924386547</v>
      </c>
      <c r="BT250" s="24"/>
      <c r="BW250" s="1317">
        <f t="shared" si="160"/>
        <v>0.06561516899579595</v>
      </c>
      <c r="BX250" s="1318">
        <f t="shared" si="161"/>
        <v>0.07104408924386547</v>
      </c>
    </row>
    <row r="251" ht="20.5" customHeight="1" spans="56:76" x14ac:dyDescent="0.25">
      <c r="BD251" s="977">
        <v>2035</v>
      </c>
      <c r="BE251" s="1297"/>
      <c r="BF251" s="1254">
        <f t="shared" si="158"/>
        <v>0.06561521413064875</v>
      </c>
      <c r="BG251" s="1254"/>
      <c r="BH251" s="1256">
        <f t="shared" si="159"/>
        <v>0.0710561105366741</v>
      </c>
      <c r="BT251" s="24"/>
      <c r="BW251" s="1320">
        <f t="shared" si="160"/>
        <v>0.06561521413064875</v>
      </c>
      <c r="BX251" s="1321">
        <f>BH251</f>
        <v>0.0710561105366741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6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77"/>
  <sheetViews>
    <sheetView workbookViewId="0" zoomScale="80" zoomScaleNormal="80">
      <selection activeCell="BB85" sqref="BB85"/>
    </sheetView>
  </sheetViews>
  <sheetFormatPr defaultRowHeight="14.5" outlineLevelRow="0" outlineLevelCol="0" x14ac:dyDescent="0" defaultColWidth="8.83203125" customHeight="1"/>
  <cols>
    <col min="6" max="6" width="11.5" customWidth="1"/>
    <col min="8" max="8" width="11.5" customWidth="1"/>
    <col min="10" max="11" width="9" hidden="1" customWidth="1"/>
    <col min="15" max="15" width="10.6640625" customWidth="1"/>
    <col min="16" max="16" width="10.1640625" customWidth="1"/>
    <col min="17" max="17" width="10.33203125" customWidth="1"/>
    <col min="18" max="18" width="12.33203125" customWidth="1"/>
    <col min="19" max="19" width="11.1640625" customWidth="1"/>
    <col min="20" max="21" width="12.33203125" customWidth="1"/>
    <col min="22" max="22" width="11.1640625" customWidth="1"/>
    <col min="23" max="24" width="13" customWidth="1"/>
    <col min="25" max="25" width="11" customWidth="1"/>
    <col min="26" max="26" width="12.6640625" customWidth="1"/>
    <col min="27" max="27" width="12" customWidth="1"/>
    <col min="28" max="28" width="10.83203125" customWidth="1"/>
    <col min="29" max="29" width="14.5" customWidth="1"/>
    <col min="30" max="30" width="13.33203125" customWidth="1"/>
    <col min="31" max="31" width="13.1640625" customWidth="1"/>
    <col min="32" max="33" width="14.5" customWidth="1"/>
    <col min="34" max="34" width="11.5" customWidth="1"/>
    <col min="35" max="35" width="14.5" customWidth="1"/>
    <col min="36" max="38" width="13.1640625" customWidth="1"/>
    <col min="39" max="39" width="15.1640625" customWidth="1"/>
    <col min="40" max="49" width="12.33203125" customWidth="1"/>
    <col min="50" max="55" width="14.33203125" customWidth="1"/>
    <col min="56" max="56" width="9.83203125" customWidth="1"/>
    <col min="62" max="62" width="8.5" customWidth="1"/>
    <col min="77" max="77" width="9.83203125" customWidth="1"/>
    <col min="89" max="89" width="10.33203125" customWidth="1"/>
  </cols>
  <sheetData>
    <row r="2" ht="21" customHeight="1" spans="56:58" x14ac:dyDescent="0.25">
      <c r="BD2" s="779"/>
      <c r="BF2" s="692"/>
    </row>
    <row r="3" ht="15" customHeight="1" spans="69:70" x14ac:dyDescent="0.25">
      <c r="BQ3" s="1322"/>
      <c r="BR3" s="1322"/>
    </row>
    <row r="4" ht="21" customHeight="1" spans="5:96" x14ac:dyDescent="0.25">
      <c r="E4" s="1323" t="s">
        <v>520</v>
      </c>
      <c r="F4" s="1324">
        <v>43973</v>
      </c>
      <c r="G4" s="1325" t="s">
        <v>1003</v>
      </c>
      <c r="H4" s="1326"/>
      <c r="I4" s="1326"/>
      <c r="J4" s="1326"/>
      <c r="K4" s="1326"/>
      <c r="L4" s="1326"/>
      <c r="M4" s="1326"/>
      <c r="N4" s="1327"/>
      <c r="O4" s="1328" t="s">
        <v>1004</v>
      </c>
      <c r="P4" s="1329" t="s">
        <v>1005</v>
      </c>
      <c r="Q4" s="1329" t="s">
        <v>1006</v>
      </c>
      <c r="R4" s="1329" t="s">
        <v>1007</v>
      </c>
      <c r="S4" s="1329" t="s">
        <v>1008</v>
      </c>
      <c r="T4" s="1329" t="s">
        <v>1006</v>
      </c>
      <c r="U4" s="1329"/>
      <c r="V4" s="1329"/>
      <c r="W4" s="1329"/>
      <c r="X4" s="1329"/>
      <c r="Y4" s="1329"/>
      <c r="Z4" s="1329"/>
      <c r="AA4" s="1329"/>
      <c r="AB4" s="1329"/>
      <c r="AC4" s="1329"/>
      <c r="AD4" s="1329"/>
      <c r="AE4" s="1329"/>
      <c r="AF4" s="1329"/>
      <c r="AG4" s="1329"/>
      <c r="AH4" s="1329"/>
      <c r="AI4" s="1329"/>
      <c r="AJ4" s="1329"/>
      <c r="AK4" s="1330"/>
      <c r="AL4" s="1331"/>
      <c r="AM4" s="1330"/>
      <c r="AN4" s="1330"/>
      <c r="AO4" s="1330"/>
      <c r="AP4" s="1330"/>
      <c r="AQ4" s="1330"/>
      <c r="AR4" s="1330"/>
      <c r="AS4" s="1330"/>
      <c r="AT4" s="1330"/>
      <c r="AU4" s="1330"/>
      <c r="AV4" s="1330"/>
      <c r="AW4" s="1330"/>
      <c r="AX4" s="1330"/>
      <c r="AY4" s="1330"/>
      <c r="AZ4" s="1330"/>
      <c r="BA4" s="1330"/>
      <c r="BB4" s="1330"/>
      <c r="BC4" s="1330"/>
      <c r="BD4" s="1332"/>
      <c r="BH4" s="1333" t="s">
        <v>644</v>
      </c>
      <c r="BI4" s="1333" t="s">
        <v>646</v>
      </c>
      <c r="BJ4" s="1333" t="s">
        <v>879</v>
      </c>
      <c r="BK4" s="1333" t="s">
        <v>614</v>
      </c>
      <c r="BL4" s="1333"/>
      <c r="BM4" s="1333" t="s">
        <v>640</v>
      </c>
      <c r="BN4" s="1333" t="s">
        <v>390</v>
      </c>
      <c r="BO4" s="1333" t="s">
        <v>381</v>
      </c>
      <c r="BP4" s="1333"/>
      <c r="BQ4" s="1334" t="s">
        <v>636</v>
      </c>
      <c r="BR4" s="1334" t="s">
        <v>387</v>
      </c>
      <c r="BS4" s="1333" t="s">
        <v>638</v>
      </c>
      <c r="BT4" s="1333" t="s">
        <v>962</v>
      </c>
      <c r="BU4" s="1333" t="s">
        <v>650</v>
      </c>
      <c r="BY4" s="1333" t="s">
        <v>795</v>
      </c>
      <c r="BZ4" s="1333" t="s">
        <v>1009</v>
      </c>
      <c r="CA4" s="1333" t="s">
        <v>401</v>
      </c>
      <c r="CB4" s="1333" t="s">
        <v>596</v>
      </c>
      <c r="CC4" s="1333" t="s">
        <v>1010</v>
      </c>
      <c r="CD4" s="1333" t="s">
        <v>658</v>
      </c>
      <c r="CE4" s="1333" t="s">
        <v>589</v>
      </c>
      <c r="CF4" s="1333" t="s">
        <v>819</v>
      </c>
      <c r="CG4" s="1333" t="s">
        <v>584</v>
      </c>
      <c r="CH4" s="1333" t="s">
        <v>814</v>
      </c>
      <c r="CI4" s="1333" t="s">
        <v>769</v>
      </c>
      <c r="CJ4" s="1333" t="s">
        <v>918</v>
      </c>
      <c r="CK4" s="1333" t="s">
        <v>772</v>
      </c>
      <c r="CL4" s="1333" t="s">
        <v>957</v>
      </c>
      <c r="CM4" s="1333" t="s">
        <v>960</v>
      </c>
      <c r="CN4" s="1333" t="s">
        <v>882</v>
      </c>
      <c r="CO4" s="1333" t="s">
        <v>776</v>
      </c>
      <c r="CP4" s="1333" t="s">
        <v>900</v>
      </c>
      <c r="CQ4" s="1333" t="s">
        <v>116</v>
      </c>
      <c r="CR4" s="1333" t="s">
        <v>115</v>
      </c>
    </row>
    <row r="5" ht="18" customHeight="1" spans="4:96" x14ac:dyDescent="0.25">
      <c r="D5" s="26"/>
      <c r="E5" s="1335"/>
      <c r="F5" s="1336" t="s">
        <v>1011</v>
      </c>
      <c r="G5" s="1337"/>
      <c r="H5" s="1338"/>
      <c r="I5" s="1339" t="s">
        <v>1012</v>
      </c>
      <c r="J5" s="1340"/>
      <c r="K5" s="643"/>
      <c r="L5" s="643"/>
      <c r="M5" s="643"/>
      <c r="N5" s="645"/>
      <c r="O5" s="1341">
        <v>1995</v>
      </c>
      <c r="P5" s="1342">
        <v>1996</v>
      </c>
      <c r="Q5" s="1342">
        <v>1997</v>
      </c>
      <c r="R5" s="1342">
        <v>1998</v>
      </c>
      <c r="S5" s="1342">
        <v>1999</v>
      </c>
      <c r="T5" s="1342">
        <v>2000</v>
      </c>
      <c r="U5" s="1342">
        <v>2001</v>
      </c>
      <c r="V5" s="1342">
        <v>2002</v>
      </c>
      <c r="W5" s="1342">
        <v>2003</v>
      </c>
      <c r="X5" s="1342">
        <v>2004</v>
      </c>
      <c r="Y5" s="1342">
        <v>2005</v>
      </c>
      <c r="Z5" s="1342">
        <v>2006</v>
      </c>
      <c r="AA5" s="1342">
        <v>2007</v>
      </c>
      <c r="AB5" s="1342">
        <v>2008</v>
      </c>
      <c r="AC5" s="1342">
        <v>2009</v>
      </c>
      <c r="AD5" s="1342">
        <v>2010</v>
      </c>
      <c r="AE5" s="1342">
        <v>2011</v>
      </c>
      <c r="AF5" s="1342">
        <v>2012</v>
      </c>
      <c r="AG5" s="1342">
        <v>2013</v>
      </c>
      <c r="AH5" s="1342">
        <v>2014</v>
      </c>
      <c r="AI5" s="1342">
        <v>2015</v>
      </c>
      <c r="AJ5" s="1342">
        <v>2016</v>
      </c>
      <c r="AK5" s="1342">
        <v>2017</v>
      </c>
      <c r="AL5" s="1343">
        <v>2018</v>
      </c>
      <c r="AM5" s="1342">
        <v>2019</v>
      </c>
      <c r="AN5" s="1342">
        <v>2020</v>
      </c>
      <c r="AO5" s="1342">
        <v>2021</v>
      </c>
      <c r="AP5" s="1342">
        <v>2022</v>
      </c>
      <c r="AQ5" s="1342">
        <v>2023</v>
      </c>
      <c r="AR5" s="1342">
        <v>2024</v>
      </c>
      <c r="AS5" s="1342">
        <v>2025</v>
      </c>
      <c r="AT5" s="1342">
        <v>2026</v>
      </c>
      <c r="AU5" s="1342">
        <v>2027</v>
      </c>
      <c r="AV5" s="1342">
        <v>2028</v>
      </c>
      <c r="AW5" s="1342">
        <v>2029</v>
      </c>
      <c r="AX5" s="1342">
        <v>2030</v>
      </c>
      <c r="AY5" s="1342">
        <v>2031</v>
      </c>
      <c r="AZ5" s="1342">
        <v>2032</v>
      </c>
      <c r="BA5" s="1342">
        <v>2033</v>
      </c>
      <c r="BB5" s="1342">
        <v>2034</v>
      </c>
      <c r="BC5" s="1342">
        <v>2035</v>
      </c>
      <c r="BD5" s="1344"/>
      <c r="BH5" s="309" t="s">
        <v>55</v>
      </c>
      <c r="BI5" s="309" t="s">
        <v>55</v>
      </c>
      <c r="BJ5" s="309" t="s">
        <v>55</v>
      </c>
      <c r="BK5" s="309" t="s">
        <v>55</v>
      </c>
      <c r="BL5" s="309" t="s">
        <v>55</v>
      </c>
      <c r="BM5" s="309" t="s">
        <v>55</v>
      </c>
      <c r="BN5" s="309" t="s">
        <v>55</v>
      </c>
      <c r="BO5" s="309" t="s">
        <v>55</v>
      </c>
      <c r="BP5" s="309" t="s">
        <v>55</v>
      </c>
      <c r="BQ5" s="309" t="s">
        <v>55</v>
      </c>
      <c r="BR5" s="309" t="s">
        <v>55</v>
      </c>
      <c r="BS5" s="309" t="s">
        <v>55</v>
      </c>
      <c r="BT5" s="309" t="s">
        <v>55</v>
      </c>
      <c r="BU5" s="309" t="s">
        <v>55</v>
      </c>
      <c r="BY5" s="1345" t="s">
        <v>58</v>
      </c>
      <c r="BZ5" s="1345" t="s">
        <v>58</v>
      </c>
      <c r="CA5" s="1345" t="s">
        <v>58</v>
      </c>
      <c r="CB5" s="1346" t="s">
        <v>1013</v>
      </c>
      <c r="CC5" s="1346" t="s">
        <v>55</v>
      </c>
      <c r="CD5" s="1346" t="s">
        <v>56</v>
      </c>
      <c r="CE5" s="1346" t="s">
        <v>56</v>
      </c>
      <c r="CF5" s="309" t="s">
        <v>55</v>
      </c>
      <c r="CG5" s="309" t="s">
        <v>55</v>
      </c>
      <c r="CH5" s="309" t="s">
        <v>55</v>
      </c>
      <c r="CI5" s="309" t="s">
        <v>55</v>
      </c>
      <c r="CJ5" s="309" t="s">
        <v>55</v>
      </c>
      <c r="CK5" s="309" t="s">
        <v>55</v>
      </c>
      <c r="CL5" s="1346" t="s">
        <v>56</v>
      </c>
      <c r="CM5" s="309" t="s">
        <v>55</v>
      </c>
      <c r="CN5" s="309" t="s">
        <v>55</v>
      </c>
      <c r="CO5" s="309" t="s">
        <v>55</v>
      </c>
      <c r="CP5" s="309" t="s">
        <v>55</v>
      </c>
      <c r="CQ5" s="1346" t="s">
        <v>56</v>
      </c>
      <c r="CR5" s="1346" t="s">
        <v>56</v>
      </c>
    </row>
    <row r="6" ht="17.5" customHeight="1" spans="1:95" x14ac:dyDescent="0.25">
      <c r="A6" s="1347" t="s">
        <v>1014</v>
      </c>
      <c r="E6" s="1335">
        <v>1</v>
      </c>
      <c r="F6" s="1348">
        <v>43938</v>
      </c>
      <c r="G6" s="1349" t="s">
        <v>361</v>
      </c>
      <c r="H6" s="187" t="s">
        <v>1015</v>
      </c>
      <c r="I6" s="910" t="s">
        <v>1016</v>
      </c>
      <c r="J6" s="910"/>
      <c r="K6" s="910"/>
      <c r="L6" s="910"/>
      <c r="M6" s="910"/>
      <c r="N6" s="910"/>
      <c r="O6" s="1350">
        <f t="array" ref="O6:BC6">TRANSPOSE(ДЕМО!AB62:AB102)</f>
        <v>148.459937</v>
      </c>
      <c r="P6" s="1351">
        <v>148.291638</v>
      </c>
      <c r="Q6" s="1351">
        <v>148.028613</v>
      </c>
      <c r="R6" s="1351">
        <v>147.802133</v>
      </c>
      <c r="S6" s="1351">
        <v>147.539426</v>
      </c>
      <c r="T6" s="1351">
        <v>146.890128</v>
      </c>
      <c r="U6" s="1351">
        <v>146.303611</v>
      </c>
      <c r="V6" s="1351">
        <v>145.166731</v>
      </c>
      <c r="W6" s="1351">
        <v>144.96365</v>
      </c>
      <c r="X6" s="1351">
        <v>144.168205</v>
      </c>
      <c r="Y6" s="1351">
        <v>143.474219</v>
      </c>
      <c r="Z6" s="1351">
        <v>142.753551</v>
      </c>
      <c r="AA6" s="1351">
        <v>142.220968</v>
      </c>
      <c r="AB6" s="1351">
        <v>142.008838</v>
      </c>
      <c r="AC6" s="1351">
        <v>141.903979</v>
      </c>
      <c r="AD6" s="1352">
        <v>142.856536</v>
      </c>
      <c r="AE6" s="1351">
        <v>142.865433</v>
      </c>
      <c r="AF6" s="1351">
        <v>143.056383</v>
      </c>
      <c r="AG6" s="1351">
        <v>143.347059</v>
      </c>
      <c r="AH6" s="1351">
        <v>143.666931</v>
      </c>
      <c r="AI6" s="1351">
        <v>146.267288</v>
      </c>
      <c r="AJ6" s="1351">
        <v>146.54471</v>
      </c>
      <c r="AK6" s="1351">
        <v>146.804372</v>
      </c>
      <c r="AL6" s="1351">
        <v>146.880432</v>
      </c>
      <c r="AM6" s="1351">
        <v>146.745098</v>
      </c>
      <c r="AN6" s="1351">
        <v>146.7</v>
      </c>
      <c r="AO6" s="1351">
        <v>146.64</v>
      </c>
      <c r="AP6" s="1351">
        <v>146.55999999999997</v>
      </c>
      <c r="AQ6" s="1351">
        <v>146.43999999999997</v>
      </c>
      <c r="AR6" s="1351">
        <v>146.31999999999996</v>
      </c>
      <c r="AS6" s="1351">
        <v>146.15999999999997</v>
      </c>
      <c r="AT6" s="279">
        <v>145.99999999999997</v>
      </c>
      <c r="AU6" s="279">
        <v>145.83999999999997</v>
      </c>
      <c r="AV6" s="279">
        <v>145.67999999999998</v>
      </c>
      <c r="AW6" s="279">
        <v>145.49999999999997</v>
      </c>
      <c r="AX6" s="279">
        <v>145.31999999999996</v>
      </c>
      <c r="AY6" s="279">
        <v>145.13999999999996</v>
      </c>
      <c r="AZ6" s="279">
        <v>144.95999999999995</v>
      </c>
      <c r="BA6" s="279">
        <v>144.75999999999996</v>
      </c>
      <c r="BB6" s="279">
        <v>144.57999999999996</v>
      </c>
      <c r="BC6" s="279">
        <v>144.39999999999995</v>
      </c>
      <c r="BD6" s="287" t="str">
        <f>G6</f>
        <v>N</v>
      </c>
      <c r="BG6" s="329">
        <v>1995</v>
      </c>
      <c r="BH6" s="397">
        <f t="array" ref="BH6:BH46">TRANSPOSE(O24:BC24)</f>
        <v>1</v>
      </c>
      <c r="BI6" s="1353">
        <f t="array" ref="BI6:BI46">TRANSPOSE(O25:BC25)</f>
        <v>1</v>
      </c>
      <c r="BJ6" s="1354">
        <f t="array" ref="BJ6:BJ46">TRANSPOSE(O142:BC142)</f>
        <v>1</v>
      </c>
      <c r="BK6" s="1354">
        <f t="array" ref="BK6:BK46">TRANSPOSE(O130:BC130)</f>
        <v>1</v>
      </c>
      <c r="BL6" s="268"/>
      <c r="BM6" s="1355"/>
      <c r="BN6" s="1354">
        <f t="array" ref="BN6:BN46">TRANSPOSE(O27:BC27)</f>
        <v>1</v>
      </c>
      <c r="BO6" s="1354">
        <f t="array" ref="BO6:BO46">TRANSPOSE(O14:BC14)</f>
        <v>1</v>
      </c>
      <c r="BP6" s="1354"/>
      <c r="BQ6" s="1354">
        <f t="array" ref="BQ6:BQ46">TRANSPOSE(O108:BC108)</f>
        <v>0</v>
      </c>
      <c r="BR6" s="1354">
        <f t="array" ref="BR6:BR46">TRANSPOSE(O18:BC18)</f>
        <v>1</v>
      </c>
      <c r="BS6" s="1354">
        <f t="array" ref="BS6:BS46">TRANSPOSE(O20:BC20)</f>
        <v>1</v>
      </c>
      <c r="BT6" s="1354">
        <f t="array" ref="BT6:BT46">TRANSPOSE(O22:BC22)</f>
        <v>1</v>
      </c>
      <c r="BU6" s="1356">
        <f t="array" ref="BU6:BU46">TRANSPOSE(O137:BC137)</f>
        <v>1</v>
      </c>
      <c r="BX6" s="329">
        <v>1995</v>
      </c>
      <c r="BY6" s="232">
        <f t="array" ref="BY6:BY46">TRANSPOSE(O6:BC6)</f>
        <v>148.459937</v>
      </c>
      <c r="BZ6" s="1357">
        <f t="array" ref="BZ6:BZ46">TRANSPOSE(O8:BC8)</f>
        <v>146.434</v>
      </c>
      <c r="CA6" s="232">
        <f t="array" ref="CA6:CA46">TRANSPOSE(O147:BC147)</f>
        <v>6.684</v>
      </c>
      <c r="CB6" s="1357">
        <v>43.206939348996954</v>
      </c>
      <c r="CC6" s="265">
        <f>CE6/CD6</f>
        <v>0.5216020542781756</v>
      </c>
      <c r="CD6" s="224">
        <f>НАСТРОЙКА!IX5</f>
        <v>5306</v>
      </c>
      <c r="CE6" s="224">
        <f t="array" ref="CE6:CE46">TRANSPOSE(O135:BC135)</f>
        <v>2767.6205</v>
      </c>
      <c r="CF6">
        <v>1</v>
      </c>
      <c r="CG6" s="1358">
        <f t="array" ref="CG6:CG46">TRANSPOSE(O184:BC184)</f>
        <v>1</v>
      </c>
      <c r="CI6" s="268">
        <f t="array" ref="CI6:CI46">TRANSPOSE(O186:BC186)</f>
        <v>1</v>
      </c>
      <c r="CJ6" s="265">
        <f t="array" ref="CJ6:CJ46">TRANSPOSE(O187:BC187)</f>
        <v>1</v>
      </c>
      <c r="CK6" s="1359">
        <f t="array" ref="CK6:CK29">TRANSPOSE(ОТЧЁТ!U161:AR161)</f>
        <v>1</v>
      </c>
      <c r="CL6" s="232"/>
      <c r="CM6">
        <f t="array" ref="CM6:CM46">TRANSPOSE(O23:BC23)</f>
        <v>0</v>
      </c>
      <c r="CN6">
        <f>1</f>
        <v>1</v>
      </c>
      <c r="CO6" s="123">
        <f t="array" ref="CO6:CO46">TRANSPOSE(O175:BC175)</f>
        <v>1</v>
      </c>
      <c r="CQ6" s="296"/>
    </row>
    <row r="7" ht="18" customHeight="1" spans="1:95" x14ac:dyDescent="0.25">
      <c r="A7" s="1347" t="s">
        <v>1017</v>
      </c>
      <c r="B7" s="1360"/>
      <c r="C7" s="1361"/>
      <c r="E7" s="1335">
        <v>2</v>
      </c>
      <c r="F7" s="1348">
        <f>F6</f>
        <v>43938</v>
      </c>
      <c r="G7" s="1349" t="s">
        <v>1018</v>
      </c>
      <c r="H7" s="187" t="s">
        <v>866</v>
      </c>
      <c r="I7" s="910" t="s">
        <v>1019</v>
      </c>
      <c r="J7" s="910"/>
      <c r="K7" s="910"/>
      <c r="L7" s="910"/>
      <c r="M7" s="910"/>
      <c r="N7" s="910"/>
      <c r="O7" s="1362">
        <v>0.4770060687795009</v>
      </c>
      <c r="P7" s="419">
        <v>0.4697235333782872</v>
      </c>
      <c r="Q7" s="419">
        <v>0.4599932432432432</v>
      </c>
      <c r="R7" s="419">
        <v>0.45560893098782135</v>
      </c>
      <c r="S7" s="419">
        <v>0.4893220338983051</v>
      </c>
      <c r="T7" s="419">
        <v>0.49740259740259735</v>
      </c>
      <c r="U7" s="419">
        <v>0.48901602143482065</v>
      </c>
      <c r="V7" s="419">
        <v>0.49842942756767933</v>
      </c>
      <c r="W7" s="419">
        <v>0.5011997226074896</v>
      </c>
      <c r="X7" s="419">
        <v>0.5086062717770035</v>
      </c>
      <c r="Y7" s="419">
        <v>0.5152731092436975</v>
      </c>
      <c r="Z7" s="419">
        <v>0.5233403656821378</v>
      </c>
      <c r="AA7" s="419">
        <v>0.5302042253521126</v>
      </c>
      <c r="AB7" s="419">
        <v>0.5334742776603242</v>
      </c>
      <c r="AC7" s="419">
        <v>0.5334319943622269</v>
      </c>
      <c r="AD7" s="1363">
        <v>0.5283482444233423</v>
      </c>
      <c r="AE7" s="419">
        <v>0.5304222190682052</v>
      </c>
      <c r="AF7" s="419">
        <v>0.5282951967267339</v>
      </c>
      <c r="AG7" s="419">
        <v>0.526896055816534</v>
      </c>
      <c r="AH7" s="419">
        <v>0.5250199156826145</v>
      </c>
      <c r="AI7" s="419">
        <v>0.5236167365050208</v>
      </c>
      <c r="AJ7" s="419">
        <v>0.5229530291472138</v>
      </c>
      <c r="AK7" s="419">
        <v>0.5184382383380244</v>
      </c>
      <c r="AL7" s="419">
        <v>0.5194701497065313</v>
      </c>
      <c r="AM7" s="419">
        <v>0.5172234100794291</v>
      </c>
      <c r="AN7" s="419">
        <v>0.5167234100794291</v>
      </c>
      <c r="AO7" s="419">
        <v>0.5162234100794292</v>
      </c>
      <c r="AP7" s="419">
        <v>0.5157234100794292</v>
      </c>
      <c r="AQ7" s="419">
        <v>0.5152234100794293</v>
      </c>
      <c r="AR7" s="419">
        <v>0.5147234100794293</v>
      </c>
      <c r="AS7" s="419">
        <v>0.5142234100794294</v>
      </c>
      <c r="AT7" s="271">
        <v>0.5137234100794295</v>
      </c>
      <c r="AU7" s="271">
        <v>0.5132234100794295</v>
      </c>
      <c r="AV7" s="271">
        <v>0.5127234100794296</v>
      </c>
      <c r="AW7" s="271">
        <v>0.5122234100794296</v>
      </c>
      <c r="AX7" s="271">
        <v>0.5117234100794297</v>
      </c>
      <c r="AY7" s="271">
        <v>0.5112234100794297</v>
      </c>
      <c r="AZ7" s="271">
        <v>0.5107234100794298</v>
      </c>
      <c r="BA7" s="271">
        <v>0.5102234100794298</v>
      </c>
      <c r="BB7" s="271">
        <v>0.5097234100794299</v>
      </c>
      <c r="BC7" s="271">
        <v>0.50922341007943</v>
      </c>
      <c r="BD7" s="287" t="str">
        <f>G7</f>
        <v>dA</v>
      </c>
      <c r="BG7" s="332">
        <v>1996</v>
      </c>
      <c r="BH7" s="1364">
        <v>1.7194377618988257</v>
      </c>
      <c r="BI7" s="1365">
        <v>2.4661634872716665</v>
      </c>
      <c r="BJ7" s="268">
        <v>1.412247757097261</v>
      </c>
      <c r="BK7" s="268">
        <v>1.458015926869807</v>
      </c>
      <c r="BL7" s="268"/>
      <c r="BM7" s="24"/>
      <c r="BN7" s="268">
        <v>1.170751567490661</v>
      </c>
      <c r="BO7" s="268">
        <v>1.218</v>
      </c>
      <c r="BP7" s="268"/>
      <c r="BQ7" s="268">
        <v>0</v>
      </c>
      <c r="BR7" s="268">
        <v>1.4723042021668387</v>
      </c>
      <c r="BS7" s="268">
        <v>1.4997486735151189</v>
      </c>
      <c r="BT7" s="268">
        <v>1.1463921152743077</v>
      </c>
      <c r="BU7" s="409">
        <v>1.3890656660960248</v>
      </c>
      <c r="BW7" s="1366">
        <f>CE7/CD7</f>
        <v>0.5075047014598465</v>
      </c>
      <c r="BX7" s="332">
        <v>1996</v>
      </c>
      <c r="BY7" s="232">
        <v>148.291638</v>
      </c>
      <c r="BZ7" s="1357">
        <v>69.66</v>
      </c>
      <c r="CA7" s="232">
        <v>6.732</v>
      </c>
      <c r="CB7" s="1357">
        <v>42.7492868993135</v>
      </c>
      <c r="CC7" s="265">
        <f>CE7/CD7</f>
        <v>0.5075047014598465</v>
      </c>
      <c r="CD7" s="224">
        <f>НАСТРОЙКА!IX6</f>
        <v>5300.694</v>
      </c>
      <c r="CE7" s="224">
        <v>2690.127126</v>
      </c>
      <c r="CF7" s="268">
        <f t="shared" ref="CF7:CF46" si="0">CE7/CE$6</f>
        <v>0.972</v>
      </c>
      <c r="CG7" s="1358">
        <v>0.819</v>
      </c>
      <c r="CI7" s="268">
        <v>1.031</v>
      </c>
      <c r="CJ7" s="265">
        <v>0.951</v>
      </c>
      <c r="CK7" s="1359">
        <v>1.006</v>
      </c>
      <c r="CL7" s="232"/>
      <c r="CM7" s="268">
        <v>0</v>
      </c>
      <c r="CN7" s="1367">
        <f t="array" ref="CN7:CN46">TRANSPOSE(P183:BC183)</f>
        <v>1.013</v>
      </c>
      <c r="CO7" s="265">
        <v>0.9639999999999999</v>
      </c>
      <c r="CQ7" s="296"/>
    </row>
    <row r="8" ht="18" customHeight="1" spans="1:95" x14ac:dyDescent="0.25">
      <c r="A8" s="682" t="s">
        <v>1020</v>
      </c>
      <c r="E8" s="1335">
        <v>3</v>
      </c>
      <c r="F8" s="1348">
        <f t="shared" ref="F8:F10" si="1">F7</f>
        <v>43938</v>
      </c>
      <c r="G8" s="1349" t="s">
        <v>1021</v>
      </c>
      <c r="H8" s="187" t="s">
        <v>1015</v>
      </c>
      <c r="I8" s="910" t="s">
        <v>1022</v>
      </c>
      <c r="J8" s="910"/>
      <c r="K8" s="910"/>
      <c r="L8" s="910"/>
      <c r="M8" s="910"/>
      <c r="N8" s="910"/>
      <c r="O8" s="1368">
        <f t="array" ref="O8:BC8">TRANSPOSE(ДЕМО!AC62:AC102)</f>
        <v>146.434</v>
      </c>
      <c r="P8" s="1369">
        <v>69.66</v>
      </c>
      <c r="Q8" s="1369">
        <v>68.079</v>
      </c>
      <c r="R8" s="1369">
        <v>67.339</v>
      </c>
      <c r="S8" s="1369">
        <v>72.175</v>
      </c>
      <c r="T8" s="1369">
        <v>72.77</v>
      </c>
      <c r="U8" s="1369">
        <v>71.545</v>
      </c>
      <c r="V8" s="1369">
        <v>72.357</v>
      </c>
      <c r="W8" s="1369">
        <v>72.273</v>
      </c>
      <c r="X8" s="1369">
        <v>72.985</v>
      </c>
      <c r="Y8" s="1369">
        <v>73.581</v>
      </c>
      <c r="Z8" s="1369">
        <v>74.419</v>
      </c>
      <c r="AA8" s="1369">
        <v>75.289</v>
      </c>
      <c r="AB8" s="1369">
        <v>75.7</v>
      </c>
      <c r="AC8" s="1369">
        <v>75.694</v>
      </c>
      <c r="AD8" s="1370">
        <v>75.478</v>
      </c>
      <c r="AE8" s="1369">
        <v>75.779</v>
      </c>
      <c r="AF8" s="1369">
        <v>75.576</v>
      </c>
      <c r="AG8" s="1369">
        <v>75.529</v>
      </c>
      <c r="AH8" s="1369">
        <v>75.428</v>
      </c>
      <c r="AI8" s="1369">
        <v>76.588</v>
      </c>
      <c r="AJ8" s="1369">
        <v>76.636</v>
      </c>
      <c r="AK8" s="1369">
        <v>76.109</v>
      </c>
      <c r="AL8" s="1369">
        <v>76.3</v>
      </c>
      <c r="AM8" s="1369">
        <v>75.9</v>
      </c>
      <c r="AN8" s="1369">
        <v>77.751</v>
      </c>
      <c r="AO8" s="1369">
        <v>77.7192</v>
      </c>
      <c r="AP8" s="1369">
        <v>77.67679999999999</v>
      </c>
      <c r="AQ8" s="1369">
        <v>77.61319999999999</v>
      </c>
      <c r="AR8" s="1369">
        <v>77.54959999999998</v>
      </c>
      <c r="AS8" s="1369">
        <v>77.46479999999998</v>
      </c>
      <c r="AT8" s="1369">
        <v>77.38</v>
      </c>
      <c r="AU8" s="1369">
        <v>77.2952</v>
      </c>
      <c r="AV8" s="1369">
        <v>77.21039999999999</v>
      </c>
      <c r="AW8" s="1369">
        <v>77.115</v>
      </c>
      <c r="AX8" s="1369">
        <v>77.01959999999998</v>
      </c>
      <c r="AY8" s="1369">
        <v>76.92419999999998</v>
      </c>
      <c r="AZ8" s="1369">
        <v>76.82879999999997</v>
      </c>
      <c r="BA8" s="1369">
        <v>76.72279999999998</v>
      </c>
      <c r="BB8" s="1369">
        <v>76.62739999999998</v>
      </c>
      <c r="BC8" s="1369">
        <v>76.53199999999998</v>
      </c>
      <c r="BD8" s="287" t="str">
        <f>G8</f>
        <v>RC</v>
      </c>
      <c r="BG8" s="332">
        <v>1997</v>
      </c>
      <c r="BH8" s="1364">
        <v>1.9680277801214476</v>
      </c>
      <c r="BI8" s="1365">
        <v>2.5165818894824628</v>
      </c>
      <c r="BJ8" s="268">
        <v>1.5864611043969121</v>
      </c>
      <c r="BK8" s="268">
        <v>1.6775696170093486</v>
      </c>
      <c r="BL8" s="268"/>
      <c r="BM8" s="24"/>
      <c r="BN8" s="268">
        <v>1.4027022303089887</v>
      </c>
      <c r="BO8" s="268">
        <v>1.3519800000000002</v>
      </c>
      <c r="BP8" s="268"/>
      <c r="BQ8" s="268">
        <v>0</v>
      </c>
      <c r="BR8" s="268">
        <v>1.718558670886825</v>
      </c>
      <c r="BS8" s="268">
        <v>1.9526312539350381</v>
      </c>
      <c r="BT8" s="268">
        <v>1.2513079717780982</v>
      </c>
      <c r="BU8" s="409">
        <v>1.5288420201321875</v>
      </c>
      <c r="BW8" s="1366">
        <f t="shared" ref="BW8:BW46" si="2">CE8/CD8</f>
        <v>0.5166764731729763</v>
      </c>
      <c r="BX8" s="332">
        <v>1997</v>
      </c>
      <c r="BY8" s="232">
        <v>148.028613</v>
      </c>
      <c r="BZ8" s="1357">
        <v>68.079</v>
      </c>
      <c r="CA8" s="232">
        <v>8.058</v>
      </c>
      <c r="CB8" s="1357">
        <v>45.44724189473684</v>
      </c>
      <c r="CC8" s="265">
        <f t="shared" ref="CC8:CC46" si="3">CE8/CD8</f>
        <v>0.5166764731729763</v>
      </c>
      <c r="CD8" s="224">
        <f>НАСТРОЙКА!IX7</f>
        <v>5279.491224</v>
      </c>
      <c r="CE8" s="224">
        <v>2727.788905764</v>
      </c>
      <c r="CF8" s="268">
        <f t="shared" si="0"/>
        <v>0.985608</v>
      </c>
      <c r="CG8" s="1358">
        <v>0.77805</v>
      </c>
      <c r="CI8" s="268">
        <v>1.0062559999999998</v>
      </c>
      <c r="CJ8" s="265">
        <v>0.99855</v>
      </c>
      <c r="CK8" s="1359">
        <v>0.997952</v>
      </c>
      <c r="CL8" s="232"/>
      <c r="CM8" s="268">
        <v>0</v>
      </c>
      <c r="CN8" s="1367">
        <v>1.0170519999999998</v>
      </c>
      <c r="CO8" s="265">
        <v>0.9774959999999997</v>
      </c>
      <c r="CQ8" s="296"/>
    </row>
    <row r="9" ht="18" customHeight="1" spans="1:95" x14ac:dyDescent="0.25">
      <c r="A9" s="1347" t="s">
        <v>1017</v>
      </c>
      <c r="B9" s="1360"/>
      <c r="C9" s="1361"/>
      <c r="E9" s="1335">
        <v>4</v>
      </c>
      <c r="F9" s="1348">
        <f t="shared" si="1"/>
        <v>43938</v>
      </c>
      <c r="G9" s="1349" t="s">
        <v>312</v>
      </c>
      <c r="H9" s="187" t="s">
        <v>56</v>
      </c>
      <c r="I9" s="910" t="s">
        <v>1023</v>
      </c>
      <c r="J9" s="910"/>
      <c r="K9" s="910"/>
      <c r="L9" s="910"/>
      <c r="M9" s="910"/>
      <c r="N9" s="910"/>
      <c r="O9" s="1371">
        <f>ОТЧЁТ!U64</f>
        <v>0</v>
      </c>
      <c r="P9" s="1372">
        <f>ОТЧЁТ!V64</f>
        <v>11.9298</v>
      </c>
      <c r="Q9" s="1372">
        <f>ОТЧЁТ!W64</f>
        <v>0</v>
      </c>
      <c r="R9" s="1372">
        <f>ОТЧЁТ!X64</f>
        <v>56.9411</v>
      </c>
      <c r="S9" s="1372">
        <f>ОТЧЁТ!Y64</f>
        <v>0</v>
      </c>
      <c r="T9" s="1372">
        <f>ОТЧЁТ!Z64</f>
        <v>0</v>
      </c>
      <c r="U9" s="1372">
        <f>ОТЧЁТ!AA64</f>
        <v>-40.0226</v>
      </c>
      <c r="V9" s="1372">
        <f>ОТЧЁТ!AB64</f>
        <v>-1.707</v>
      </c>
      <c r="W9" s="1372">
        <f>ОТЧЁТ!AC64</f>
        <v>-107.4624</v>
      </c>
      <c r="X9" s="1372">
        <f>ОТЧЁТ!AD64</f>
        <v>-96.1435</v>
      </c>
      <c r="Y9" s="1372">
        <f>ОТЧЁТ!AE64</f>
        <v>-126.0953</v>
      </c>
      <c r="Z9" s="1372">
        <f>ОТЧЁТ!AF64</f>
        <v>-17.1794</v>
      </c>
      <c r="AA9" s="1372">
        <f>ОТЧЁТ!AG64</f>
        <v>378.2842</v>
      </c>
      <c r="AB9" s="1372">
        <f>ОТЧЁТ!AH64</f>
        <v>-605.3455</v>
      </c>
      <c r="AC9" s="1372">
        <f>ОТЧЁТ!AI64</f>
        <v>-694.862</v>
      </c>
      <c r="AD9" s="1372">
        <f>ОТЧЁТ!AJ64</f>
        <v>-418.459</v>
      </c>
      <c r="AE9" s="1372">
        <f>ОТЧЁТ!AK64</f>
        <v>0</v>
      </c>
      <c r="AF9" s="1372">
        <f>ОТЧЁТ!AL64</f>
        <v>0</v>
      </c>
      <c r="AG9" s="1372">
        <f>ОТЧЁТ!AM64</f>
        <v>0</v>
      </c>
      <c r="AH9" s="1372">
        <f>ОТЧЁТ!AN64</f>
        <v>-317.8</v>
      </c>
      <c r="AI9" s="1372">
        <f>ОТЧЁТ!AO64</f>
        <v>-450.2</v>
      </c>
      <c r="AJ9" s="1372">
        <f>ОТЧЁТ!AP64</f>
        <v>-67.02</v>
      </c>
      <c r="AK9" s="1351">
        <v>0</v>
      </c>
      <c r="AL9" s="1351">
        <v>0</v>
      </c>
      <c r="AM9" s="1351">
        <v>0</v>
      </c>
      <c r="AN9" s="1351">
        <v>0</v>
      </c>
      <c r="AO9" s="1351">
        <v>0</v>
      </c>
      <c r="AP9" s="1351">
        <v>0</v>
      </c>
      <c r="AQ9" s="1351">
        <v>0</v>
      </c>
      <c r="AR9" s="1351">
        <v>0</v>
      </c>
      <c r="AS9" s="1351">
        <v>0</v>
      </c>
      <c r="AT9" s="1351">
        <v>0</v>
      </c>
      <c r="AU9" s="1351">
        <v>0</v>
      </c>
      <c r="AV9" s="1351">
        <v>0</v>
      </c>
      <c r="AW9" s="1351">
        <v>0</v>
      </c>
      <c r="AX9" s="1351">
        <v>0</v>
      </c>
      <c r="AY9" s="1351">
        <v>0</v>
      </c>
      <c r="AZ9" s="1351">
        <v>0</v>
      </c>
      <c r="BA9" s="1351">
        <v>0</v>
      </c>
      <c r="BB9" s="1351">
        <v>0</v>
      </c>
      <c r="BC9" s="1351">
        <v>0</v>
      </c>
      <c r="BD9" s="287" t="str">
        <f>G9</f>
        <v>STR</v>
      </c>
      <c r="BG9" s="332">
        <v>1998</v>
      </c>
      <c r="BH9" s="1364">
        <v>2.2270348811115843</v>
      </c>
      <c r="BI9" s="1365">
        <v>2.6836249787031963</v>
      </c>
      <c r="BJ9" s="268">
        <v>1.7669204828999698</v>
      </c>
      <c r="BK9" s="268">
        <v>1.988574685283935</v>
      </c>
      <c r="BL9" s="268"/>
      <c r="BM9" s="24"/>
      <c r="BN9" s="268">
        <v>2.077665776266209</v>
      </c>
      <c r="BO9" s="268">
        <v>2.4930511200000005</v>
      </c>
      <c r="BP9" s="268"/>
      <c r="BQ9" s="268">
        <v>0</v>
      </c>
      <c r="BR9" s="268">
        <v>2.1060897046594413</v>
      </c>
      <c r="BS9" s="268">
        <v>2.005906030355448</v>
      </c>
      <c r="BT9" s="268">
        <v>1.7757982734232498</v>
      </c>
      <c r="BU9" s="409">
        <v>1.6012135978440234</v>
      </c>
      <c r="BW9" s="1366">
        <f t="shared" si="2"/>
        <v>0.4918013771726725</v>
      </c>
      <c r="BX9" s="332">
        <v>1998</v>
      </c>
      <c r="BY9" s="232">
        <v>147.802133</v>
      </c>
      <c r="BZ9" s="1357">
        <v>67.339</v>
      </c>
      <c r="CA9" s="232">
        <v>8.902</v>
      </c>
      <c r="CB9" s="1357">
        <v>44.298503885723704</v>
      </c>
      <c r="CC9" s="265">
        <f t="shared" si="3"/>
        <v>0.4918013771726725</v>
      </c>
      <c r="CD9" s="224">
        <f>НАСТРОЙКА!IX8</f>
        <v>5263.652750328</v>
      </c>
      <c r="CE9" s="224">
        <v>2588.671671570036</v>
      </c>
      <c r="CF9" s="268">
        <f t="shared" si="0"/>
        <v>0.9353419919999999</v>
      </c>
      <c r="CG9" s="1358">
        <v>0.684684</v>
      </c>
      <c r="CI9" s="268">
        <v>1.0163185599999998</v>
      </c>
      <c r="CJ9" s="265">
        <v>0.9645993000000002</v>
      </c>
      <c r="CK9" s="1359">
        <v>1.00294176</v>
      </c>
      <c r="CL9" s="232"/>
      <c r="CM9" s="268">
        <v>0</v>
      </c>
      <c r="CN9" s="1367">
        <v>0.8400849519999999</v>
      </c>
      <c r="CO9" s="265">
        <v>0.9256887119999997</v>
      </c>
      <c r="CQ9" s="296"/>
    </row>
    <row r="10" ht="18" customHeight="1" spans="1:95" x14ac:dyDescent="0.25">
      <c r="A10" s="1347" t="s">
        <v>1017</v>
      </c>
      <c r="B10" s="1360"/>
      <c r="C10" s="1361"/>
      <c r="E10" s="1373">
        <v>5</v>
      </c>
      <c r="F10" s="1348">
        <f t="shared" si="1"/>
        <v>43938</v>
      </c>
      <c r="G10" s="1349" t="s">
        <v>355</v>
      </c>
      <c r="H10" s="187" t="s">
        <v>866</v>
      </c>
      <c r="I10" s="910" t="s">
        <v>1024</v>
      </c>
      <c r="J10" s="910"/>
      <c r="K10" s="910"/>
      <c r="L10" s="910"/>
      <c r="M10" s="910"/>
      <c r="N10" s="910"/>
      <c r="O10" s="1362">
        <v>0.5033850497134363</v>
      </c>
      <c r="P10" s="419">
        <v>0.5074724155594162</v>
      </c>
      <c r="Q10" s="419">
        <v>0.5074724155594164</v>
      </c>
      <c r="R10" s="419">
        <v>0.5085104083611879</v>
      </c>
      <c r="S10" s="419">
        <v>0.5057231327942381</v>
      </c>
      <c r="T10" s="419">
        <v>0.5030122907437494</v>
      </c>
      <c r="U10" s="419">
        <v>0.5020647450635659</v>
      </c>
      <c r="V10" s="419">
        <v>0.5006338966298406</v>
      </c>
      <c r="W10" s="419">
        <v>0.5020261813046646</v>
      </c>
      <c r="X10" s="419">
        <v>0.5057148762579633</v>
      </c>
      <c r="Y10" s="419">
        <v>0.502441464842453</v>
      </c>
      <c r="Z10" s="820">
        <v>0.5056397290721157</v>
      </c>
      <c r="AA10" s="820">
        <v>0.5070028548191596</v>
      </c>
      <c r="AB10" s="820">
        <v>0.5060638126378627</v>
      </c>
      <c r="AC10" s="820">
        <v>0.5087308546862543</v>
      </c>
      <c r="AD10" s="1363">
        <v>0.5110702315687009</v>
      </c>
      <c r="AE10" s="419">
        <v>0.5110702315687009</v>
      </c>
      <c r="AF10" s="419">
        <v>0.5122189032468178</v>
      </c>
      <c r="AG10" s="419">
        <v>0.5137221170238432</v>
      </c>
      <c r="AH10" s="419">
        <v>0.5140183182736008</v>
      </c>
      <c r="AI10" s="419">
        <v>0.5189421448361783</v>
      </c>
      <c r="AJ10" s="419">
        <v>0.523220327342576</v>
      </c>
      <c r="AK10" s="419">
        <v>0.5274066854439582</v>
      </c>
      <c r="AL10" s="419">
        <v>0.5283288187406529</v>
      </c>
      <c r="AM10" s="419">
        <v>0.5293288187406529</v>
      </c>
      <c r="AN10" s="419">
        <v>0.5303288187406529</v>
      </c>
      <c r="AO10" s="419">
        <v>0.5313288187406529</v>
      </c>
      <c r="AP10" s="419">
        <v>0.5323288187406529</v>
      </c>
      <c r="AQ10" s="419">
        <v>0.5333288187406529</v>
      </c>
      <c r="AR10" s="419">
        <v>0.5343288187406529</v>
      </c>
      <c r="AS10" s="419">
        <v>0.5353288187406529</v>
      </c>
      <c r="AT10" s="419">
        <v>0.5363288187406529</v>
      </c>
      <c r="AU10" s="419">
        <v>0.5373288187406529</v>
      </c>
      <c r="AV10" s="419">
        <v>0.5383288187406529</v>
      </c>
      <c r="AW10" s="419">
        <v>0.5393288187406529</v>
      </c>
      <c r="AX10" s="419">
        <v>0.5403288187406529</v>
      </c>
      <c r="AY10" s="419">
        <v>0.5413288187406529</v>
      </c>
      <c r="AZ10" s="419">
        <v>0.5423288187406529</v>
      </c>
      <c r="BA10" s="419">
        <v>0.5433288187406529</v>
      </c>
      <c r="BB10" s="419">
        <v>0.5443288187406529</v>
      </c>
      <c r="BC10" s="419">
        <v>0.5453288187406529</v>
      </c>
      <c r="BD10" s="287" t="str">
        <f t="shared" ref="BD10:BD43" si="4">G10</f>
        <v>aS</v>
      </c>
      <c r="BG10" s="332">
        <v>1999</v>
      </c>
      <c r="BH10" s="1364">
        <v>3.493098424873764</v>
      </c>
      <c r="BI10" s="1365">
        <v>2.701164323022275</v>
      </c>
      <c r="BJ10" s="268">
        <v>3.031677249541913</v>
      </c>
      <c r="BK10" s="268">
        <v>3.4280333525379545</v>
      </c>
      <c r="BL10" s="268"/>
      <c r="BM10" s="24"/>
      <c r="BN10" s="268">
        <v>4.894300618534394</v>
      </c>
      <c r="BO10" s="268">
        <v>3.4030147788000007</v>
      </c>
      <c r="BP10" s="268"/>
      <c r="BQ10" s="268">
        <v>0</v>
      </c>
      <c r="BR10" s="268">
        <v>3.727842297346868</v>
      </c>
      <c r="BS10" s="268">
        <v>2.3429902839701637</v>
      </c>
      <c r="BT10" s="268">
        <v>4.3836468174313525</v>
      </c>
      <c r="BU10" s="409">
        <v>2.761451251183235</v>
      </c>
      <c r="BW10" s="1366">
        <f t="shared" si="2"/>
        <v>0.5192872824837201</v>
      </c>
      <c r="BX10" s="332">
        <v>1999</v>
      </c>
      <c r="BY10" s="232">
        <v>147.539426</v>
      </c>
      <c r="BZ10" s="1357">
        <v>72.175</v>
      </c>
      <c r="CA10" s="232">
        <v>9.094</v>
      </c>
      <c r="CB10" s="1357">
        <v>43.41673739769028</v>
      </c>
      <c r="CC10" s="265">
        <f t="shared" si="3"/>
        <v>0.5192872824837201</v>
      </c>
      <c r="CD10" s="224">
        <f>НАСТРОЙКА!IX9</f>
        <v>5274.180055828657</v>
      </c>
      <c r="CE10" s="224">
        <v>2738.8146285210983</v>
      </c>
      <c r="CF10" s="268">
        <f t="shared" si="0"/>
        <v>0.9895918275360001</v>
      </c>
      <c r="CG10" s="1358">
        <v>0.7189182000000001</v>
      </c>
      <c r="CI10" s="268">
        <v>1.0478244353599997</v>
      </c>
      <c r="CJ10" s="265">
        <v>0.9414489168</v>
      </c>
      <c r="CK10" s="1359">
        <v>0.9889005753599999</v>
      </c>
      <c r="CL10" s="232"/>
      <c r="CM10" s="268">
        <v>0</v>
      </c>
      <c r="CN10" s="1367">
        <v>0.6972705101599999</v>
      </c>
      <c r="CO10" s="265">
        <v>0.984932789568</v>
      </c>
      <c r="CQ10" s="296"/>
    </row>
    <row r="11" ht="18" customHeight="1" spans="1:95" x14ac:dyDescent="0.25">
      <c r="A11" s="1347" t="s">
        <v>1017</v>
      </c>
      <c r="B11" s="1360"/>
      <c r="C11" s="1361"/>
      <c r="E11" s="1335">
        <v>6</v>
      </c>
      <c r="F11" s="1348">
        <v>43939</v>
      </c>
      <c r="G11" s="1349" t="s">
        <v>716</v>
      </c>
      <c r="H11" s="187" t="s">
        <v>1025</v>
      </c>
      <c r="I11" s="910" t="s">
        <v>1026</v>
      </c>
      <c r="J11" s="910"/>
      <c r="K11" s="910"/>
      <c r="L11" s="910"/>
      <c r="M11" s="910"/>
      <c r="N11" s="910"/>
      <c r="O11" s="1368">
        <f t="array" ref="O11:AL11">TRANSPOSE(ОТЧЁТ!GE319:GE342)</f>
        <v>17.1</v>
      </c>
      <c r="P11" s="1351">
        <v>20.5</v>
      </c>
      <c r="Q11" s="1351">
        <v>19.1</v>
      </c>
      <c r="R11" s="1351">
        <v>12.7</v>
      </c>
      <c r="S11" s="1351">
        <v>17.7</v>
      </c>
      <c r="T11" s="1351">
        <v>28.3</v>
      </c>
      <c r="U11" s="1351">
        <v>24.4</v>
      </c>
      <c r="V11" s="1351">
        <v>25</v>
      </c>
      <c r="W11" s="1351">
        <v>28.9</v>
      </c>
      <c r="X11" s="1351">
        <v>38.3</v>
      </c>
      <c r="Y11" s="1351">
        <v>54.4</v>
      </c>
      <c r="Z11" s="1351">
        <v>65.4</v>
      </c>
      <c r="AA11" s="1351">
        <v>72.7</v>
      </c>
      <c r="AB11" s="1351">
        <v>97.7</v>
      </c>
      <c r="AC11" s="1351">
        <v>61.9</v>
      </c>
      <c r="AD11" s="1352">
        <v>79.6</v>
      </c>
      <c r="AE11" s="1351">
        <v>111</v>
      </c>
      <c r="AF11" s="1351">
        <v>111.4</v>
      </c>
      <c r="AG11" s="1351">
        <v>108.8</v>
      </c>
      <c r="AH11" s="1351">
        <v>98.9</v>
      </c>
      <c r="AI11" s="1351">
        <v>52.4</v>
      </c>
      <c r="AJ11" s="1351">
        <v>44</v>
      </c>
      <c r="AK11" s="1351">
        <v>55</v>
      </c>
      <c r="AL11" s="1351">
        <v>70</v>
      </c>
      <c r="AM11" s="1351">
        <f t="array" ref="AM11:BC11">TRANSPOSE(ОТЧЁТ!GG343:GG359)</f>
        <v>72</v>
      </c>
      <c r="AN11" s="1351">
        <v>40</v>
      </c>
      <c r="AO11" s="1351">
        <v>50</v>
      </c>
      <c r="AP11" s="1351">
        <v>58</v>
      </c>
      <c r="AQ11" s="1351">
        <v>64.4</v>
      </c>
      <c r="AR11" s="1351">
        <v>69.52000000000001</v>
      </c>
      <c r="AS11" s="1351">
        <v>73.61600000000001</v>
      </c>
      <c r="AT11" s="1351">
        <v>76.89280000000002</v>
      </c>
      <c r="AU11" s="1351">
        <v>79.51424000000003</v>
      </c>
      <c r="AV11" s="1351">
        <v>81.61139200000004</v>
      </c>
      <c r="AW11" s="1351">
        <v>83.28911360000005</v>
      </c>
      <c r="AX11" s="1351">
        <v>84.63129088000007</v>
      </c>
      <c r="AY11" s="1351">
        <v>85.70503270400008</v>
      </c>
      <c r="AZ11" s="1351">
        <v>86.56402616320008</v>
      </c>
      <c r="BA11" s="1351">
        <v>87.2512209305601</v>
      </c>
      <c r="BB11" s="1351">
        <v>87.8009767444481</v>
      </c>
      <c r="BC11" s="1351">
        <v>88.24078139555851</v>
      </c>
      <c r="BD11" s="287" t="str">
        <f t="shared" si="4"/>
        <v>CNF</v>
      </c>
      <c r="BG11" s="332">
        <v>2000</v>
      </c>
      <c r="BH11" s="1364">
        <v>5.171262749607017</v>
      </c>
      <c r="BI11" s="1365">
        <v>3.2947518370474893</v>
      </c>
      <c r="BJ11" s="268">
        <v>4.189288839815487</v>
      </c>
      <c r="BK11" s="268">
        <v>4.720334553021764</v>
      </c>
      <c r="BL11" s="268"/>
      <c r="BM11" s="24"/>
      <c r="BN11" s="268">
        <v>5.1416113994451775</v>
      </c>
      <c r="BO11" s="268">
        <v>4.090423764117601</v>
      </c>
      <c r="BP11" s="268"/>
      <c r="BQ11" s="268">
        <v>0</v>
      </c>
      <c r="BR11" s="268">
        <v>4.5918326760987345</v>
      </c>
      <c r="BS11" s="268">
        <v>3.240611479111068</v>
      </c>
      <c r="BT11" s="268">
        <v>5.422670804728047</v>
      </c>
      <c r="BU11" s="409">
        <v>3.8813756116757316</v>
      </c>
      <c r="BW11" s="1366">
        <f t="shared" si="2"/>
        <v>0.5652739174499402</v>
      </c>
      <c r="BX11" s="332">
        <v>2000</v>
      </c>
      <c r="BY11" s="232">
        <v>146.890128</v>
      </c>
      <c r="BZ11" s="1357">
        <v>72.77</v>
      </c>
      <c r="CA11" s="232">
        <v>7.700000000000003</v>
      </c>
      <c r="CB11" s="1357">
        <v>46.04676815125376</v>
      </c>
      <c r="CC11" s="265">
        <f t="shared" si="3"/>
        <v>0.5652739174499402</v>
      </c>
      <c r="CD11" s="224">
        <f>НАСТРОЙКА!IX10</f>
        <v>5300.5509561078</v>
      </c>
      <c r="CE11" s="224">
        <v>2996.263203602082</v>
      </c>
      <c r="CF11" s="268">
        <f t="shared" si="0"/>
        <v>1.0826134593243841</v>
      </c>
      <c r="CG11" s="1358">
        <v>0.8440099668</v>
      </c>
      <c r="CI11" s="268">
        <v>1.0687809240671997</v>
      </c>
      <c r="CJ11" s="265">
        <v>0.9969944028911998</v>
      </c>
      <c r="CK11" s="1359">
        <v>1.00472298456576</v>
      </c>
      <c r="CL11" s="232"/>
      <c r="CM11" s="268">
        <v>0</v>
      </c>
      <c r="CN11" s="1367">
        <v>0.9231861554518398</v>
      </c>
      <c r="CO11" s="265">
        <v>1.0834260685247998</v>
      </c>
      <c r="CQ11" s="296"/>
    </row>
    <row r="12" ht="18" customHeight="1" spans="1:95" x14ac:dyDescent="0.25">
      <c r="A12" s="1347" t="s">
        <v>1017</v>
      </c>
      <c r="B12" s="1360"/>
      <c r="C12" s="1361"/>
      <c r="E12" s="1335">
        <v>7</v>
      </c>
      <c r="F12" s="1348">
        <v>43939</v>
      </c>
      <c r="G12" s="1349" t="s">
        <v>393</v>
      </c>
      <c r="H12" s="187" t="s">
        <v>1027</v>
      </c>
      <c r="I12" s="910" t="s">
        <v>1028</v>
      </c>
      <c r="J12" s="910"/>
      <c r="K12" s="910"/>
      <c r="L12" s="910"/>
      <c r="M12" s="910"/>
      <c r="N12" s="910"/>
      <c r="O12" s="1368">
        <f t="array" ref="O12:BC12">TRANSPOSE(ОТЧЁТ!FB319:FB359)</f>
        <v>3.6</v>
      </c>
      <c r="P12" s="279">
        <v>4.6</v>
      </c>
      <c r="Q12" s="279">
        <v>5.5</v>
      </c>
      <c r="R12" s="279">
        <v>9.7</v>
      </c>
      <c r="S12" s="279">
        <v>24.62</v>
      </c>
      <c r="T12" s="279">
        <v>28.14</v>
      </c>
      <c r="U12" s="279">
        <v>29.17</v>
      </c>
      <c r="V12" s="279">
        <v>31.35</v>
      </c>
      <c r="W12" s="279">
        <v>30.69</v>
      </c>
      <c r="X12" s="279">
        <v>28.81</v>
      </c>
      <c r="Y12" s="279">
        <v>28.3</v>
      </c>
      <c r="Z12" s="279">
        <v>27.17</v>
      </c>
      <c r="AA12" s="279">
        <v>25.58</v>
      </c>
      <c r="AB12" s="279">
        <v>24.86</v>
      </c>
      <c r="AC12" s="279">
        <v>31.83</v>
      </c>
      <c r="AD12" s="1374">
        <v>30.36</v>
      </c>
      <c r="AE12" s="279">
        <v>29.39</v>
      </c>
      <c r="AF12" s="279">
        <v>31.08</v>
      </c>
      <c r="AG12" s="279">
        <v>31.85</v>
      </c>
      <c r="AH12" s="279">
        <v>32.73</v>
      </c>
      <c r="AI12" s="279">
        <v>56.26</v>
      </c>
      <c r="AJ12" s="279">
        <v>72.88</v>
      </c>
      <c r="AK12" s="279">
        <v>60.66</v>
      </c>
      <c r="AL12" s="279">
        <v>57.6</v>
      </c>
      <c r="AM12" s="279">
        <v>69.47</v>
      </c>
      <c r="AN12" s="279">
        <v>61.9</v>
      </c>
      <c r="AO12" s="279">
        <v>73.87</v>
      </c>
      <c r="AP12" s="279">
        <v>75.17</v>
      </c>
      <c r="AQ12" s="279">
        <v>76.47</v>
      </c>
      <c r="AR12" s="279">
        <v>77.77</v>
      </c>
      <c r="AS12" s="279">
        <v>79.07</v>
      </c>
      <c r="AT12" s="279">
        <v>80.36999999999999</v>
      </c>
      <c r="AU12" s="279">
        <v>81.66999999999999</v>
      </c>
      <c r="AV12" s="279">
        <v>82.96999999999998</v>
      </c>
      <c r="AW12" s="279">
        <v>84.26999999999998</v>
      </c>
      <c r="AX12" s="279">
        <v>85.56999999999998</v>
      </c>
      <c r="AY12" s="279">
        <v>86.86999999999998</v>
      </c>
      <c r="AZ12" s="279">
        <v>88.16999999999997</v>
      </c>
      <c r="BA12" s="279">
        <v>89.46999999999997</v>
      </c>
      <c r="BB12" s="279">
        <v>90.76999999999997</v>
      </c>
      <c r="BC12" s="279">
        <v>92.06999999999996</v>
      </c>
      <c r="BD12" s="287" t="str">
        <f t="shared" si="4"/>
        <v>WK</v>
      </c>
      <c r="BE12" t="s">
        <v>1029</v>
      </c>
      <c r="BG12" s="332">
        <v>2001</v>
      </c>
      <c r="BH12" s="1364">
        <v>6.070726846853919</v>
      </c>
      <c r="BI12" s="1365">
        <v>3.7846782806927575</v>
      </c>
      <c r="BJ12" s="268">
        <v>5.065982250044759</v>
      </c>
      <c r="BK12" s="268">
        <v>5.498230296745924</v>
      </c>
      <c r="BL12" s="268"/>
      <c r="BM12" s="24"/>
      <c r="BN12" s="268">
        <v>5.343385559062672</v>
      </c>
      <c r="BO12" s="268">
        <v>4.851242584243474</v>
      </c>
      <c r="BP12" s="268"/>
      <c r="BQ12" s="268">
        <v>0</v>
      </c>
      <c r="BR12" s="268">
        <v>5.561179540405496</v>
      </c>
      <c r="BS12" s="268">
        <v>3.97066356566005</v>
      </c>
      <c r="BT12" s="268">
        <v>5.416139427100017</v>
      </c>
      <c r="BU12" s="409">
        <v>4.924455543275788</v>
      </c>
      <c r="BW12" s="1366">
        <f t="shared" si="2"/>
        <v>0.587683190688788</v>
      </c>
      <c r="BX12" s="332">
        <v>2001</v>
      </c>
      <c r="BY12" s="232">
        <v>146.303611</v>
      </c>
      <c r="BZ12" s="1357">
        <v>71.545</v>
      </c>
      <c r="CA12" s="232">
        <v>6.421999999999997</v>
      </c>
      <c r="CB12" s="1357">
        <v>48.263748607689806</v>
      </c>
      <c r="CC12" s="265">
        <f t="shared" si="3"/>
        <v>0.587683190688788</v>
      </c>
      <c r="CD12" s="224">
        <f>НАСТРОЙКА!IX11</f>
        <v>5348.25591471277</v>
      </c>
      <c r="CE12" s="224">
        <v>3143.0801005785834</v>
      </c>
      <c r="CF12" s="268">
        <f t="shared" si="0"/>
        <v>1.1356615188312789</v>
      </c>
      <c r="CG12" s="1358">
        <v>0.9284109634800001</v>
      </c>
      <c r="CI12" s="268">
        <v>1.060230676674662</v>
      </c>
      <c r="CJ12" s="265">
        <v>1.0787479439282783</v>
      </c>
      <c r="CK12" s="1359">
        <v>1.0238127212725092</v>
      </c>
      <c r="CL12" s="232"/>
      <c r="CM12" s="268">
        <v>0</v>
      </c>
      <c r="CN12" s="1367">
        <v>1.0958219665213338</v>
      </c>
      <c r="CO12" s="265">
        <v>1.1386807980195648</v>
      </c>
      <c r="CQ12" s="296"/>
    </row>
    <row r="13" ht="18" customHeight="1" spans="1:95" x14ac:dyDescent="0.25">
      <c r="A13" s="1347" t="s">
        <v>1017</v>
      </c>
      <c r="B13" s="1360"/>
      <c r="C13" s="1361"/>
      <c r="E13" s="1335">
        <v>8</v>
      </c>
      <c r="F13" s="1348">
        <v>43939</v>
      </c>
      <c r="G13" s="1349" t="s">
        <v>1030</v>
      </c>
      <c r="H13" s="187" t="s">
        <v>866</v>
      </c>
      <c r="I13" s="910" t="s">
        <v>1031</v>
      </c>
      <c r="J13" s="910"/>
      <c r="K13" s="910"/>
      <c r="L13" s="910"/>
      <c r="M13" s="910"/>
      <c r="N13" s="910"/>
      <c r="O13" s="1362">
        <f t="array" ref="O13:BC13">TRANSPOSE(ОТЧЁТ!EG227:EG267)</f>
        <v>0.13365369276604216</v>
      </c>
      <c r="P13" s="271">
        <v>0.13929134853086492</v>
      </c>
      <c r="Q13" s="271">
        <v>0.1379176665926907</v>
      </c>
      <c r="R13" s="271">
        <v>0.12004214183937038</v>
      </c>
      <c r="S13" s="271">
        <v>0.09417294681160435</v>
      </c>
      <c r="T13" s="271">
        <v>0.11397164678113725</v>
      </c>
      <c r="U13" s="271">
        <v>0.12896505693918964</v>
      </c>
      <c r="V13" s="271">
        <v>0.14156509123784608</v>
      </c>
      <c r="W13" s="271">
        <v>0.15432700002044</v>
      </c>
      <c r="X13" s="271">
        <v>0.17618999169000235</v>
      </c>
      <c r="Y13" s="271">
        <v>0.19435906368074052</v>
      </c>
      <c r="Z13" s="271">
        <v>0.2164899396186761</v>
      </c>
      <c r="AA13" s="271">
        <v>0.2511124115797511</v>
      </c>
      <c r="AB13" s="271">
        <v>0.27454956999386115</v>
      </c>
      <c r="AC13" s="271">
        <v>0.20635691222000796</v>
      </c>
      <c r="AD13" s="1375">
        <v>0.2472352338788286</v>
      </c>
      <c r="AE13" s="271">
        <v>0.2851620195169998</v>
      </c>
      <c r="AF13" s="271">
        <v>0.3010805923100566</v>
      </c>
      <c r="AG13" s="271">
        <v>0.3052090235464335</v>
      </c>
      <c r="AH13" s="271">
        <v>0.2806832984400236</v>
      </c>
      <c r="AI13" s="271">
        <v>0.21300080094384774</v>
      </c>
      <c r="AJ13" s="271">
        <v>0.20289799615599724</v>
      </c>
      <c r="AK13" s="271">
        <v>0.23239243657282024</v>
      </c>
      <c r="AL13" s="271">
        <v>0.23284588522954772</v>
      </c>
      <c r="AM13" s="271">
        <v>0.23384588522954772</v>
      </c>
      <c r="AN13" s="271">
        <v>0.23484588522954772</v>
      </c>
      <c r="AO13" s="271">
        <v>0.23584588522954772</v>
      </c>
      <c r="AP13" s="271">
        <v>0.23684588522954772</v>
      </c>
      <c r="AQ13" s="271">
        <v>0.23784588522954772</v>
      </c>
      <c r="AR13" s="271">
        <v>0.23884588522954772</v>
      </c>
      <c r="AS13" s="271">
        <v>0.23984588522954772</v>
      </c>
      <c r="AT13" s="271">
        <v>0.24084588522954772</v>
      </c>
      <c r="AU13" s="271">
        <v>0.24184588522954772</v>
      </c>
      <c r="AV13" s="271">
        <v>0.24284588522954773</v>
      </c>
      <c r="AW13" s="271">
        <v>0.24384588522954773</v>
      </c>
      <c r="AX13" s="271">
        <v>0.24484588522954773</v>
      </c>
      <c r="AY13" s="271">
        <v>0.24584588522954773</v>
      </c>
      <c r="AZ13" s="271">
        <v>0.24684588522954773</v>
      </c>
      <c r="BA13" s="271">
        <v>0.24784588522954773</v>
      </c>
      <c r="BB13" s="271">
        <v>0.24884588522954773</v>
      </c>
      <c r="BC13" s="271">
        <v>0.24984588522954773</v>
      </c>
      <c r="BD13" s="287" t="str">
        <f t="shared" si="4"/>
        <v>qIM</v>
      </c>
      <c r="BG13" s="332">
        <v>2002</v>
      </c>
      <c r="BH13" s="1364">
        <v>6.916750986271128</v>
      </c>
      <c r="BI13" s="1365">
        <v>4.522803189792793</v>
      </c>
      <c r="BJ13" s="268">
        <v>5.7822315297952604</v>
      </c>
      <c r="BK13" s="268">
        <v>6.352729528641842</v>
      </c>
      <c r="BL13" s="268"/>
      <c r="BM13" s="24"/>
      <c r="BN13" s="268">
        <v>5.696540648389541</v>
      </c>
      <c r="BO13" s="268">
        <v>5.583780214464239</v>
      </c>
      <c r="BP13" s="268"/>
      <c r="BQ13" s="268">
        <v>0</v>
      </c>
      <c r="BR13" s="268">
        <v>6.468238698917706</v>
      </c>
      <c r="BS13" s="268">
        <v>5.284373447678545</v>
      </c>
      <c r="BT13" s="268">
        <v>5.589991573495779</v>
      </c>
      <c r="BU13" s="409">
        <v>5.507600378283486</v>
      </c>
      <c r="BW13" s="1366">
        <f t="shared" si="2"/>
        <v>0.6074665852268265</v>
      </c>
      <c r="BX13" s="332">
        <v>2002</v>
      </c>
      <c r="BY13" s="232">
        <v>145.166731</v>
      </c>
      <c r="BZ13" s="1357">
        <v>72.357</v>
      </c>
      <c r="CA13" s="232">
        <v>5.697999999999993</v>
      </c>
      <c r="CB13" s="1357">
        <v>49.22629539903151</v>
      </c>
      <c r="CC13" s="265">
        <f t="shared" si="3"/>
        <v>0.6074665852268265</v>
      </c>
      <c r="CD13" s="224">
        <f>НАСТРОЙКА!IX12</f>
        <v>5401.7384738598985</v>
      </c>
      <c r="CE13" s="224">
        <v>3281.3756250040415</v>
      </c>
      <c r="CF13" s="268">
        <f t="shared" si="0"/>
        <v>1.1856306256598552</v>
      </c>
      <c r="CG13" s="1358">
        <v>0.95440647045744</v>
      </c>
      <c r="CI13" s="268">
        <v>1.0877966742682033</v>
      </c>
      <c r="CJ13" s="265">
        <v>1.1618115356107557</v>
      </c>
      <c r="CK13" s="1359">
        <v>1.0320032230426892</v>
      </c>
      <c r="CL13" s="232"/>
      <c r="CM13" s="268">
        <v>0</v>
      </c>
      <c r="CN13" s="1367">
        <v>1.2558119736334485</v>
      </c>
      <c r="CO13" s="265">
        <v>1.1921987955264843</v>
      </c>
      <c r="CQ13" s="296"/>
    </row>
    <row r="14" ht="18" customHeight="1" spans="1:95" x14ac:dyDescent="0.25">
      <c r="A14" s="1347" t="s">
        <v>1017</v>
      </c>
      <c r="B14" s="1360"/>
      <c r="C14" s="1361"/>
      <c r="E14" s="1335">
        <v>9</v>
      </c>
      <c r="F14" s="1348">
        <v>43939</v>
      </c>
      <c r="G14" s="1349" t="s">
        <v>381</v>
      </c>
      <c r="H14" s="187" t="s">
        <v>866</v>
      </c>
      <c r="I14" s="910" t="s">
        <v>1032</v>
      </c>
      <c r="J14" s="910"/>
      <c r="K14" s="910"/>
      <c r="L14" s="910"/>
      <c r="M14" s="910"/>
      <c r="N14" s="910"/>
      <c r="O14" s="1371">
        <v>1</v>
      </c>
      <c r="P14" s="1372">
        <f>O14*P15</f>
        <v>1.218</v>
      </c>
      <c r="Q14" s="1372">
        <f>P14*Q15</f>
        <v>1.3519800000000002</v>
      </c>
      <c r="R14" s="1372">
        <f t="shared" ref="R14:BC14" si="5">Q14*R15</f>
        <v>2.4930511200000005</v>
      </c>
      <c r="S14" s="1372">
        <f t="shared" si="5"/>
        <v>3.4030147788000007</v>
      </c>
      <c r="T14" s="1372">
        <f t="shared" si="5"/>
        <v>4.090423764117601</v>
      </c>
      <c r="U14" s="1372">
        <f t="shared" si="5"/>
        <v>4.851242584243474</v>
      </c>
      <c r="V14" s="1372">
        <f t="shared" si="5"/>
        <v>5.583780214464239</v>
      </c>
      <c r="W14" s="1372">
        <f t="shared" si="5"/>
        <v>6.253833840199949</v>
      </c>
      <c r="X14" s="1372">
        <f t="shared" si="5"/>
        <v>6.9855323995033425</v>
      </c>
      <c r="Y14" s="1372">
        <f t="shared" si="5"/>
        <v>7.746955431049207</v>
      </c>
      <c r="Z14" s="1372">
        <f t="shared" si="5"/>
        <v>8.444181419843636</v>
      </c>
      <c r="AA14" s="1372">
        <f t="shared" si="5"/>
        <v>9.446505754379075</v>
      </c>
      <c r="AB14" s="1372">
        <f t="shared" si="5"/>
        <v>10.701001718560617</v>
      </c>
      <c r="AC14" s="1372">
        <f t="shared" si="5"/>
        <v>11.642689869793951</v>
      </c>
      <c r="AD14" s="1372">
        <f t="shared" si="5"/>
        <v>12.664918040361862</v>
      </c>
      <c r="AE14" s="1372">
        <f t="shared" si="5"/>
        <v>13.437478040823935</v>
      </c>
      <c r="AF14" s="1372">
        <f t="shared" si="5"/>
        <v>14.321664095910151</v>
      </c>
      <c r="AG14" s="1372">
        <f t="shared" si="5"/>
        <v>15.245411430096356</v>
      </c>
      <c r="AH14" s="1372">
        <f t="shared" si="5"/>
        <v>17.31878738458946</v>
      </c>
      <c r="AI14" s="1372">
        <f t="shared" si="5"/>
        <v>19.5529109572015</v>
      </c>
      <c r="AJ14" s="1372">
        <f t="shared" si="5"/>
        <v>20.60681285779466</v>
      </c>
      <c r="AK14" s="1372">
        <f t="shared" si="5"/>
        <v>21.124043860525305</v>
      </c>
      <c r="AL14" s="1372">
        <f t="shared" si="5"/>
        <v>22.02392812898368</v>
      </c>
      <c r="AM14" s="1372">
        <f t="shared" si="5"/>
        <v>22.693455544104783</v>
      </c>
      <c r="AN14" s="1372">
        <f t="shared" si="5"/>
        <v>23.807704211320324</v>
      </c>
      <c r="AO14" s="1372">
        <f t="shared" si="5"/>
        <v>24.99808942188634</v>
      </c>
      <c r="AP14" s="1372">
        <f t="shared" si="5"/>
        <v>26.24799389298066</v>
      </c>
      <c r="AQ14" s="1372">
        <f t="shared" si="5"/>
        <v>27.560393587629694</v>
      </c>
      <c r="AR14" s="1372">
        <f t="shared" si="5"/>
        <v>28.938413267011178</v>
      </c>
      <c r="AS14" s="1372">
        <f t="shared" si="5"/>
        <v>30.38533393036174</v>
      </c>
      <c r="AT14" s="1372">
        <f t="shared" si="5"/>
        <v>31.904600626879827</v>
      </c>
      <c r="AU14" s="1372">
        <f t="shared" si="5"/>
        <v>33.49983065822382</v>
      </c>
      <c r="AV14" s="1372">
        <f t="shared" si="5"/>
        <v>35.174822191135014</v>
      </c>
      <c r="AW14" s="1372">
        <f t="shared" si="5"/>
        <v>36.933563300691766</v>
      </c>
      <c r="AX14" s="1372">
        <f t="shared" si="5"/>
        <v>38.780241465726355</v>
      </c>
      <c r="AY14" s="1372">
        <f t="shared" si="5"/>
        <v>40.719253539012676</v>
      </c>
      <c r="AZ14" s="1372">
        <f t="shared" si="5"/>
        <v>42.755216215963316</v>
      </c>
      <c r="BA14" s="1372">
        <f t="shared" si="5"/>
        <v>44.892977026761486</v>
      </c>
      <c r="BB14" s="1372">
        <f t="shared" si="5"/>
        <v>47.13762587809956</v>
      </c>
      <c r="BC14" s="1372">
        <f t="shared" si="5"/>
        <v>49.494507172004546</v>
      </c>
      <c r="BD14" s="287" t="str">
        <f t="shared" si="4"/>
        <v>IPC</v>
      </c>
      <c r="BE14" t="s">
        <v>1029</v>
      </c>
      <c r="BG14" s="332">
        <v>2003</v>
      </c>
      <c r="BH14" s="1364">
        <v>7.6273689193439225</v>
      </c>
      <c r="BI14" s="1365">
        <v>5.542638112686384</v>
      </c>
      <c r="BJ14" s="268">
        <v>6.591523740762184</v>
      </c>
      <c r="BK14" s="268">
        <v>7.227860274382953</v>
      </c>
      <c r="BL14" s="268"/>
      <c r="BM14" s="24"/>
      <c r="BN14" s="268">
        <v>5.788123461724906</v>
      </c>
      <c r="BO14" s="268">
        <v>6.253833840199949</v>
      </c>
      <c r="BP14" s="268"/>
      <c r="BQ14" s="268">
        <v>0</v>
      </c>
      <c r="BR14" s="268">
        <v>7.258482770625474</v>
      </c>
      <c r="BS14" s="268">
        <v>6.171508131635609</v>
      </c>
      <c r="BT14" s="268">
        <v>6.100949264694751</v>
      </c>
      <c r="BU14" s="409">
        <v>6.325509783187269</v>
      </c>
      <c r="BW14" s="1366">
        <f t="shared" si="2"/>
        <v>0.6452458496585048</v>
      </c>
      <c r="BX14" s="332">
        <v>2003</v>
      </c>
      <c r="BY14" s="232">
        <v>144.96365</v>
      </c>
      <c r="BZ14" s="1357">
        <v>72.273</v>
      </c>
      <c r="CA14" s="232">
        <v>5.9339999999999975</v>
      </c>
      <c r="CB14" s="1357">
        <v>53.22299360111471</v>
      </c>
      <c r="CC14" s="265">
        <f t="shared" si="3"/>
        <v>0.6452458496585048</v>
      </c>
      <c r="CD14" s="224">
        <f>НАСТРОЙКА!IX13</f>
        <v>5471.961074020076</v>
      </c>
      <c r="CE14" s="224">
        <v>3530.7601725043487</v>
      </c>
      <c r="CF14" s="268">
        <f t="shared" si="0"/>
        <v>1.2757385532100043</v>
      </c>
      <c r="CG14" s="1358">
        <v>1.07370727926462</v>
      </c>
      <c r="CI14" s="268">
        <v>1.1139037944506402</v>
      </c>
      <c r="CJ14" s="265">
        <v>1.2512710238527838</v>
      </c>
      <c r="CK14" s="1359">
        <v>1.0330352262657319</v>
      </c>
      <c r="CL14" s="232"/>
      <c r="CM14" s="268">
        <v>0</v>
      </c>
      <c r="CN14" s="1367">
        <v>1.4730674450720351</v>
      </c>
      <c r="CO14" s="265">
        <v>1.279229307599918</v>
      </c>
      <c r="CQ14" s="296"/>
    </row>
    <row r="15" ht="18" customHeight="1" spans="1:95" x14ac:dyDescent="0.25">
      <c r="A15" s="1347" t="s">
        <v>1017</v>
      </c>
      <c r="B15" s="1360"/>
      <c r="C15" s="1361"/>
      <c r="E15" s="1335">
        <v>10</v>
      </c>
      <c r="F15" s="1348">
        <v>43939</v>
      </c>
      <c r="G15" s="1349" t="s">
        <v>121</v>
      </c>
      <c r="H15" s="187" t="s">
        <v>866</v>
      </c>
      <c r="I15" s="910" t="s">
        <v>1033</v>
      </c>
      <c r="J15" s="910"/>
      <c r="K15" s="910"/>
      <c r="L15" s="910"/>
      <c r="M15" s="910"/>
      <c r="N15" s="910"/>
      <c r="O15" s="1371">
        <f t="array" ref="O15:AL15">TRANSPOSE(НАСТРОЙКА!CD136:CD159)</f>
        <v>2.313</v>
      </c>
      <c r="P15" s="187">
        <v>1.218</v>
      </c>
      <c r="Q15" s="187">
        <v>1.11</v>
      </c>
      <c r="R15" s="187">
        <v>1.844</v>
      </c>
      <c r="S15" s="187">
        <v>1.365</v>
      </c>
      <c r="T15" s="187">
        <v>1.202</v>
      </c>
      <c r="U15" s="187">
        <v>1.186</v>
      </c>
      <c r="V15" s="187">
        <v>1.151</v>
      </c>
      <c r="W15" s="187">
        <v>1.12</v>
      </c>
      <c r="X15" s="187">
        <v>1.117</v>
      </c>
      <c r="Y15" s="187">
        <v>1.109</v>
      </c>
      <c r="Z15" s="187">
        <v>1.09</v>
      </c>
      <c r="AA15" s="187">
        <v>1.1187</v>
      </c>
      <c r="AB15" s="187">
        <v>1.1328</v>
      </c>
      <c r="AC15" s="419">
        <v>1.088</v>
      </c>
      <c r="AD15" s="1363">
        <v>1.0878</v>
      </c>
      <c r="AE15" s="419">
        <v>1.061</v>
      </c>
      <c r="AF15" s="419">
        <v>1.0658</v>
      </c>
      <c r="AG15" s="419">
        <v>1.0645</v>
      </c>
      <c r="AH15" s="419">
        <v>1.136</v>
      </c>
      <c r="AI15" s="419">
        <v>1.129</v>
      </c>
      <c r="AJ15" s="419">
        <v>1.0539</v>
      </c>
      <c r="AK15" s="419">
        <v>1.0251</v>
      </c>
      <c r="AL15" s="419">
        <v>1.0426</v>
      </c>
      <c r="AM15" s="419">
        <f t="array" ref="AM15:BC15">TRANSPOSE(НАСТРОЙКА!CE160:CE176)</f>
        <v>1.0304</v>
      </c>
      <c r="AN15" s="419">
        <v>1.0491</v>
      </c>
      <c r="AO15" s="419">
        <v>1.05</v>
      </c>
      <c r="AP15" s="419">
        <v>1.05</v>
      </c>
      <c r="AQ15" s="419">
        <v>1.05</v>
      </c>
      <c r="AR15" s="419">
        <v>1.05</v>
      </c>
      <c r="AS15" s="419">
        <v>1.05</v>
      </c>
      <c r="AT15" s="419">
        <v>1.05</v>
      </c>
      <c r="AU15" s="419">
        <v>1.05</v>
      </c>
      <c r="AV15" s="419">
        <v>1.05</v>
      </c>
      <c r="AW15" s="419">
        <v>1.05</v>
      </c>
      <c r="AX15" s="419">
        <v>1.05</v>
      </c>
      <c r="AY15" s="419">
        <v>1.05</v>
      </c>
      <c r="AZ15" s="419">
        <v>1.05</v>
      </c>
      <c r="BA15" s="419">
        <v>1.05</v>
      </c>
      <c r="BB15" s="419">
        <v>1.05</v>
      </c>
      <c r="BC15" s="419">
        <v>1.05</v>
      </c>
      <c r="BD15" s="287" t="str">
        <f t="shared" si="4"/>
        <v>ip</v>
      </c>
      <c r="BG15" s="332">
        <v>2004</v>
      </c>
      <c r="BH15" s="1364">
        <v>8.79041331779647</v>
      </c>
      <c r="BI15" s="1365">
        <v>6.272852216104846</v>
      </c>
      <c r="BJ15" s="268">
        <v>7.7337827274937645</v>
      </c>
      <c r="BK15" s="268">
        <v>8.69186996402742</v>
      </c>
      <c r="BL15" s="268"/>
      <c r="BM15" s="24"/>
      <c r="BN15" s="268">
        <v>5.617164966343532</v>
      </c>
      <c r="BO15" s="268">
        <v>6.9855323995033425</v>
      </c>
      <c r="BP15" s="268"/>
      <c r="BQ15" s="268">
        <v>0</v>
      </c>
      <c r="BR15" s="268">
        <v>8.328227993617887</v>
      </c>
      <c r="BS15" s="268">
        <v>6.701602530209906</v>
      </c>
      <c r="BT15" s="268">
        <v>6.831459964645646</v>
      </c>
      <c r="BU15" s="409">
        <v>7.300312186990133</v>
      </c>
      <c r="BW15" s="1366">
        <f t="shared" si="2"/>
        <v>0.6858912575110091</v>
      </c>
      <c r="BX15" s="332">
        <v>2004</v>
      </c>
      <c r="BY15" s="232">
        <v>144.168205</v>
      </c>
      <c r="BZ15" s="1357">
        <v>72.985</v>
      </c>
      <c r="CA15" s="232">
        <v>5.665999999999997</v>
      </c>
      <c r="CB15" s="1357">
        <v>56.64405273852399</v>
      </c>
      <c r="CC15" s="265">
        <f t="shared" si="3"/>
        <v>0.6858912575110091</v>
      </c>
      <c r="CD15" s="224">
        <f>НАСТРОЙКА!IX14</f>
        <v>5559.512451204397</v>
      </c>
      <c r="CE15" s="224">
        <v>3813.2209863046965</v>
      </c>
      <c r="CF15" s="268">
        <f t="shared" si="0"/>
        <v>1.3777976374668046</v>
      </c>
      <c r="CG15" s="1358">
        <v>1.220805176523873</v>
      </c>
      <c r="CI15" s="268">
        <v>1.1372957741341037</v>
      </c>
      <c r="CJ15" s="265">
        <v>1.4076799018343817</v>
      </c>
      <c r="CK15" s="1359">
        <v>0.9183683161502356</v>
      </c>
      <c r="CL15" s="232"/>
      <c r="CM15" s="268">
        <v>0</v>
      </c>
      <c r="CN15" s="1367">
        <v>1.8162921597738195</v>
      </c>
      <c r="CO15" s="265">
        <v>1.3713338177471124</v>
      </c>
      <c r="CQ15" s="296"/>
    </row>
    <row r="16" ht="18" customHeight="1" spans="1:95" x14ac:dyDescent="0.25">
      <c r="A16" s="1347" t="s">
        <v>1017</v>
      </c>
      <c r="E16" s="1335">
        <v>11</v>
      </c>
      <c r="F16" s="1348"/>
      <c r="G16" s="1349"/>
      <c r="H16" s="187"/>
      <c r="I16" s="910"/>
      <c r="J16" s="910"/>
      <c r="K16" s="910"/>
      <c r="L16" s="910"/>
      <c r="M16" s="910"/>
      <c r="N16" s="910"/>
      <c r="O16" s="1376"/>
      <c r="P16" s="1372"/>
      <c r="Q16" s="1372"/>
      <c r="R16" s="1372"/>
      <c r="S16" s="1372"/>
      <c r="T16" s="1372"/>
      <c r="U16" s="1372"/>
      <c r="V16" s="1372"/>
      <c r="W16" s="1372"/>
      <c r="X16" s="1372"/>
      <c r="Y16" s="1372"/>
      <c r="Z16" s="1372"/>
      <c r="AA16" s="1372"/>
      <c r="AB16" s="1372"/>
      <c r="AC16" s="1372"/>
      <c r="AD16" s="1377"/>
      <c r="AE16" s="1372"/>
      <c r="AF16" s="1372"/>
      <c r="AG16" s="1372"/>
      <c r="AH16" s="1372"/>
      <c r="AI16" s="1372"/>
      <c r="AJ16" s="1372"/>
      <c r="AK16" s="1372"/>
      <c r="AL16" s="1372"/>
      <c r="AM16" s="1372"/>
      <c r="AN16" s="1372"/>
      <c r="AO16" s="1372"/>
      <c r="AP16" s="1372"/>
      <c r="AQ16" s="1372"/>
      <c r="AR16" s="1372"/>
      <c r="AS16" s="1372"/>
      <c r="AT16" s="1372"/>
      <c r="AU16" s="1372"/>
      <c r="AV16" s="1372"/>
      <c r="AW16" s="1372"/>
      <c r="AX16" s="1372"/>
      <c r="AY16" s="1372"/>
      <c r="AZ16" s="1372"/>
      <c r="BA16" s="1372"/>
      <c r="BB16" s="1372"/>
      <c r="BC16" s="1372"/>
      <c r="BD16" s="287">
        <f t="shared" si="4"/>
        <v>0</v>
      </c>
      <c r="BG16" s="332">
        <v>2005</v>
      </c>
      <c r="BH16" s="1364">
        <v>10.054085870175701</v>
      </c>
      <c r="BI16" s="1365">
        <v>7.324439758120246</v>
      </c>
      <c r="BJ16" s="268">
        <v>9.184944042597673</v>
      </c>
      <c r="BK16" s="268">
        <v>10.36760974912887</v>
      </c>
      <c r="BL16" s="268"/>
      <c r="BM16" s="24"/>
      <c r="BN16" s="268">
        <v>5.933656338117276</v>
      </c>
      <c r="BO16" s="268">
        <v>7.746955431049207</v>
      </c>
      <c r="BP16" s="268"/>
      <c r="BQ16" s="268">
        <v>0</v>
      </c>
      <c r="BR16" s="268">
        <v>9.370471463956683</v>
      </c>
      <c r="BS16" s="268">
        <v>7.644439100868062</v>
      </c>
      <c r="BT16" s="268">
        <v>8.02031164551573</v>
      </c>
      <c r="BU16" s="409">
        <v>8.79079082161258</v>
      </c>
      <c r="BW16" s="1366">
        <f t="shared" si="2"/>
        <v>0.7114691454260417</v>
      </c>
      <c r="BX16" s="332">
        <v>2005</v>
      </c>
      <c r="BY16" s="232">
        <v>143.474219</v>
      </c>
      <c r="BZ16" s="1357">
        <v>73.581</v>
      </c>
      <c r="CA16" s="232">
        <v>5.242000000000004</v>
      </c>
      <c r="CB16" s="1357">
        <v>58.97912732881757</v>
      </c>
      <c r="CC16" s="265">
        <f t="shared" si="3"/>
        <v>0.7114691454260417</v>
      </c>
      <c r="CD16" s="224">
        <f>НАСТРОЙКА!IX15</f>
        <v>5665.143187777281</v>
      </c>
      <c r="CE16" s="224">
        <v>4030.5745825240638</v>
      </c>
      <c r="CF16" s="268">
        <f t="shared" si="0"/>
        <v>1.4563321028024123</v>
      </c>
      <c r="CG16" s="1358">
        <v>1.3453273045293082</v>
      </c>
      <c r="CI16" s="268">
        <v>1.1532179149719812</v>
      </c>
      <c r="CJ16" s="265">
        <v>1.5794168498581762</v>
      </c>
      <c r="CK16" s="1359">
        <v>0.7503069142947425</v>
      </c>
      <c r="CL16" s="232"/>
      <c r="CM16" s="268">
        <v>0</v>
      </c>
      <c r="CN16" s="1367">
        <v>2.1177966582962737</v>
      </c>
      <c r="CO16" s="265">
        <v>1.459099182082927</v>
      </c>
      <c r="CQ16" s="296"/>
    </row>
    <row r="17" ht="18" customHeight="1" spans="1:95" x14ac:dyDescent="0.25">
      <c r="A17" s="1347" t="s">
        <v>1017</v>
      </c>
      <c r="E17" s="1335">
        <v>17</v>
      </c>
      <c r="F17" s="1348">
        <v>44337</v>
      </c>
      <c r="G17" s="1349" t="s">
        <v>781</v>
      </c>
      <c r="H17" s="187" t="s">
        <v>866</v>
      </c>
      <c r="I17" s="910" t="s">
        <v>1034</v>
      </c>
      <c r="J17" s="910"/>
      <c r="K17" s="910"/>
      <c r="L17" s="910"/>
      <c r="M17" s="910"/>
      <c r="N17" s="910"/>
      <c r="O17" s="1362">
        <f t="array" ref="O17:BC17">TRANSPOSE(ОТЧЁТ!DJ413:DJ453)</f>
        <v>0.18602814222542435</v>
      </c>
      <c r="P17" s="419">
        <v>0.20193696820110807</v>
      </c>
      <c r="Q17" s="419">
        <v>0.2007703091712705</v>
      </c>
      <c r="R17" s="419">
        <v>0.17564649920911823</v>
      </c>
      <c r="S17" s="419">
        <v>0.1773667752933979</v>
      </c>
      <c r="T17" s="419">
        <v>0.21045165705943777</v>
      </c>
      <c r="U17" s="419">
        <v>0.22075386925949722</v>
      </c>
      <c r="V17" s="419">
        <v>0.23009857341476964</v>
      </c>
      <c r="W17" s="419">
        <v>0.24253877934926296</v>
      </c>
      <c r="X17" s="419">
        <v>0.2516082337282352</v>
      </c>
      <c r="Y17" s="419">
        <v>0.25783555641470957</v>
      </c>
      <c r="Z17" s="419">
        <v>0.2668781385379209</v>
      </c>
      <c r="AA17" s="419">
        <v>0.2775287129387157</v>
      </c>
      <c r="AB17" s="419">
        <v>0.2823324410242868</v>
      </c>
      <c r="AC17" s="419">
        <v>0.2058026497269587</v>
      </c>
      <c r="AD17" s="419">
        <v>0.24609376472050032</v>
      </c>
      <c r="AE17" s="419">
        <v>0.2716712661938327</v>
      </c>
      <c r="AF17" s="419">
        <v>0.2711734787480621</v>
      </c>
      <c r="AG17" s="419">
        <v>0.2653941333830007</v>
      </c>
      <c r="AH17" s="419">
        <v>0.2407479655290886</v>
      </c>
      <c r="AI17" s="419">
        <v>0.20957161629151927</v>
      </c>
      <c r="AJ17" s="419">
        <v>0.2065780810326533</v>
      </c>
      <c r="AK17" s="419">
        <v>0.22697099503222676</v>
      </c>
      <c r="AL17" s="419">
        <v>0.2265787550715769</v>
      </c>
      <c r="AM17" s="419">
        <v>0.226343411095187</v>
      </c>
      <c r="AN17" s="419">
        <v>0.22620220470935304</v>
      </c>
      <c r="AO17" s="419">
        <v>0.22611748087785266</v>
      </c>
      <c r="AP17" s="419">
        <v>0.22606664657895242</v>
      </c>
      <c r="AQ17" s="419">
        <v>0.22603614599961228</v>
      </c>
      <c r="AR17" s="419">
        <v>0.2260178456520082</v>
      </c>
      <c r="AS17" s="419">
        <v>0.22600686544344575</v>
      </c>
      <c r="AT17" s="419">
        <v>0.2260002773183083</v>
      </c>
      <c r="AU17" s="419">
        <v>0.22599632444322582</v>
      </c>
      <c r="AV17" s="419">
        <v>0.22599395271817632</v>
      </c>
      <c r="AW17" s="419">
        <v>0.22599252968314662</v>
      </c>
      <c r="AX17" s="419">
        <v>0.2259916758621288</v>
      </c>
      <c r="AY17" s="419">
        <v>0.2259911635695181</v>
      </c>
      <c r="AZ17" s="419">
        <v>0.22599085619395168</v>
      </c>
      <c r="BA17" s="419">
        <v>0.22599067176861182</v>
      </c>
      <c r="BB17" s="419">
        <v>0.2259905611134079</v>
      </c>
      <c r="BC17" s="419">
        <v>0.22599049472028554</v>
      </c>
      <c r="BD17" s="287" t="str">
        <f t="shared" si="4"/>
        <v>qEXMS</v>
      </c>
      <c r="BE17" t="s">
        <v>1029</v>
      </c>
      <c r="BG17" s="332">
        <v>2006</v>
      </c>
      <c r="BH17" s="1364">
        <v>11.28478682823815</v>
      </c>
      <c r="BI17" s="1365">
        <v>8.186196716537998</v>
      </c>
      <c r="BJ17" s="268">
        <v>10.5310440318469</v>
      </c>
      <c r="BK17" s="268">
        <v>11.935242035159135</v>
      </c>
      <c r="BL17" s="268"/>
      <c r="BM17" s="24"/>
      <c r="BN17" s="268">
        <v>5.949475526803209</v>
      </c>
      <c r="BO17" s="268">
        <v>8.444181419843636</v>
      </c>
      <c r="BP17" s="268"/>
      <c r="BQ17" s="268">
        <v>0</v>
      </c>
      <c r="BR17" s="268">
        <v>10.171880121895711</v>
      </c>
      <c r="BS17" s="268">
        <v>8.625582341885453</v>
      </c>
      <c r="BT17" s="268">
        <v>8.577771592643286</v>
      </c>
      <c r="BU17" s="409">
        <v>10.077706332186347</v>
      </c>
      <c r="BW17" s="1366">
        <f t="shared" si="2"/>
        <v>0.7566307611024994</v>
      </c>
      <c r="BX17" s="332">
        <v>2006</v>
      </c>
      <c r="BY17" s="232">
        <v>142.753551</v>
      </c>
      <c r="BZ17" s="1357">
        <v>74.419</v>
      </c>
      <c r="CA17" s="232">
        <v>5.25</v>
      </c>
      <c r="CB17" s="1357">
        <v>63.457556425113935</v>
      </c>
      <c r="CC17" s="265">
        <f t="shared" si="3"/>
        <v>0.7566307611024994</v>
      </c>
      <c r="CD17" s="224">
        <f>НАСТРОЙКА!IX16</f>
        <v>5801.106624283936</v>
      </c>
      <c r="CE17" s="224">
        <v>4389.295720368706</v>
      </c>
      <c r="CF17" s="268">
        <f t="shared" si="0"/>
        <v>1.5859456599518271</v>
      </c>
      <c r="CG17" s="1358">
        <v>1.5699969643857026</v>
      </c>
      <c r="CI17" s="268">
        <v>1.1797419270163367</v>
      </c>
      <c r="CJ17" s="265">
        <v>1.7721057055408742</v>
      </c>
      <c r="CK17" s="1359">
        <v>0.7375516967517318</v>
      </c>
      <c r="CL17" s="232"/>
      <c r="CM17" s="268">
        <v>0</v>
      </c>
      <c r="CN17" s="1367">
        <v>2.56888734651338</v>
      </c>
      <c r="CO17" s="265">
        <v>1.5787453150137272</v>
      </c>
      <c r="CQ17" s="296"/>
    </row>
    <row r="18" ht="18" customHeight="1" spans="1:95" x14ac:dyDescent="0.25">
      <c r="A18" s="682" t="s">
        <v>1035</v>
      </c>
      <c r="E18" s="1335">
        <v>18</v>
      </c>
      <c r="F18" s="1348">
        <v>43939</v>
      </c>
      <c r="G18" s="1349" t="s">
        <v>387</v>
      </c>
      <c r="H18" s="187" t="s">
        <v>866</v>
      </c>
      <c r="I18" s="910" t="s">
        <v>1036</v>
      </c>
      <c r="J18" s="910"/>
      <c r="K18" s="910"/>
      <c r="L18" s="910"/>
      <c r="M18" s="910"/>
      <c r="N18" s="910"/>
      <c r="O18" s="1378">
        <v>1</v>
      </c>
      <c r="P18" s="1369">
        <f>ОТЧЁТ!V184</f>
        <v>1.4723042021668387</v>
      </c>
      <c r="Q18" s="1369">
        <f>ОТЧЁТ!W184</f>
        <v>1.718558670886825</v>
      </c>
      <c r="R18" s="1369">
        <f>ОТЧЁТ!X184</f>
        <v>2.1060897046594413</v>
      </c>
      <c r="S18" s="1369">
        <f>ОТЧЁТ!Y184</f>
        <v>3.727842297346868</v>
      </c>
      <c r="T18" s="1369">
        <f>ОТЧЁТ!Z184</f>
        <v>4.5918326760987345</v>
      </c>
      <c r="U18" s="1369">
        <f>ОТЧЁТ!AA184</f>
        <v>5.561179540405496</v>
      </c>
      <c r="V18" s="1369">
        <f>ОТЧЁТ!AB184</f>
        <v>6.468238698917706</v>
      </c>
      <c r="W18" s="1369">
        <f>ОТЧЁТ!AC184</f>
        <v>7.258482770625474</v>
      </c>
      <c r="X18" s="1369">
        <f>ОТЧЁТ!AD184</f>
        <v>8.328227993617887</v>
      </c>
      <c r="Y18" s="1369">
        <f>ОТЧЁТ!AE184</f>
        <v>9.370471463956683</v>
      </c>
      <c r="Z18" s="1369">
        <f>ОТЧЁТ!AF184</f>
        <v>10.171880121895711</v>
      </c>
      <c r="AA18" s="1369">
        <f>ОТЧЁТ!AG184</f>
        <v>10.996054426330467</v>
      </c>
      <c r="AB18" s="1369">
        <f>ОТЧЁТ!AH184</f>
        <v>12.382630991276981</v>
      </c>
      <c r="AC18" s="1369">
        <f>ОТЧЁТ!AI184</f>
        <v>13.714036448863869</v>
      </c>
      <c r="AD18" s="1369">
        <f>ОТЧЁТ!AJ184</f>
        <v>14.629133800462956</v>
      </c>
      <c r="AE18" s="1369">
        <f>ОТЧЁТ!AK184</f>
        <v>17.36421630879255</v>
      </c>
      <c r="AF18" s="1369">
        <f>ОТЧЁТ!AL184</f>
        <v>18.5401251106608</v>
      </c>
      <c r="AG18" s="1369">
        <f>ОТЧЁТ!AM184</f>
        <v>19.653563919076568</v>
      </c>
      <c r="AH18" s="1369">
        <f>ОТЧЁТ!AN184</f>
        <v>21.01627695270109</v>
      </c>
      <c r="AI18" s="1369">
        <f>ОТЧЁТ!AO184</f>
        <v>23.908625308988828</v>
      </c>
      <c r="AJ18" s="1369">
        <f>ОТЧЁТ!AP184</f>
        <v>25.541020349632802</v>
      </c>
      <c r="AK18" s="1369">
        <f>ОТЧЁТ!AQ184</f>
        <v>26.262932750374507</v>
      </c>
      <c r="AL18" s="1369">
        <f>ОТЧЁТ!AR184</f>
        <v>27.120680464307846</v>
      </c>
      <c r="AM18" s="1369">
        <f>1.2605*AM14-0.4807</f>
        <v>28.12440071334408</v>
      </c>
      <c r="AN18" s="1369">
        <f>1.2605*AN14-0.4807 - 0.53</f>
        <v>28.998911158369268</v>
      </c>
      <c r="AO18" s="1369">
        <f t="shared" ref="AO18:BC18" si="6">1.2605*AO14-0.4807</f>
        <v>31.029391716287734</v>
      </c>
      <c r="AP18" s="1369">
        <f t="shared" si="6"/>
        <v>32.60489630210212</v>
      </c>
      <c r="AQ18" s="1369">
        <f t="shared" si="6"/>
        <v>34.259176117207225</v>
      </c>
      <c r="AR18" s="1369">
        <f t="shared" si="6"/>
        <v>35.99616992306759</v>
      </c>
      <c r="AS18" s="1369">
        <f t="shared" si="6"/>
        <v>37.82001341922097</v>
      </c>
      <c r="AT18" s="1369">
        <f t="shared" si="6"/>
        <v>39.735049090182024</v>
      </c>
      <c r="AU18" s="1369">
        <f t="shared" si="6"/>
        <v>41.74583654469112</v>
      </c>
      <c r="AV18" s="1369">
        <f t="shared" si="6"/>
        <v>43.85716337192569</v>
      </c>
      <c r="AW18" s="1369">
        <f t="shared" si="6"/>
        <v>46.07405654052197</v>
      </c>
      <c r="AX18" s="1369">
        <f t="shared" si="6"/>
        <v>48.40179436754807</v>
      </c>
      <c r="AY18" s="1369">
        <f t="shared" si="6"/>
        <v>50.84591908592548</v>
      </c>
      <c r="AZ18" s="1369">
        <f t="shared" si="6"/>
        <v>53.41225004022176</v>
      </c>
      <c r="BA18" s="1369">
        <f t="shared" si="6"/>
        <v>56.10689754223285</v>
      </c>
      <c r="BB18" s="1369">
        <f t="shared" si="6"/>
        <v>58.9362774193445</v>
      </c>
      <c r="BC18" s="1369">
        <f t="shared" si="6"/>
        <v>61.90712629031173</v>
      </c>
      <c r="BD18" s="287" t="str">
        <f t="shared" si="4"/>
        <v>Dd</v>
      </c>
      <c r="BE18" t="s">
        <v>1029</v>
      </c>
      <c r="BG18" s="332">
        <v>2007</v>
      </c>
      <c r="BH18" s="1364">
        <v>13.059083510568804</v>
      </c>
      <c r="BI18" s="1365">
        <v>10.097240670067599</v>
      </c>
      <c r="BJ18" s="268">
        <v>12.09328500918834</v>
      </c>
      <c r="BK18" s="268">
        <v>13.587224630705832</v>
      </c>
      <c r="BL18" s="268"/>
      <c r="BM18" s="24"/>
      <c r="BN18" s="268">
        <v>5.972486590341229</v>
      </c>
      <c r="BO18" s="268">
        <v>9.446505754379075</v>
      </c>
      <c r="BP18" s="268"/>
      <c r="BQ18" s="268">
        <v>0</v>
      </c>
      <c r="BR18" s="268">
        <v>10.996054426330467</v>
      </c>
      <c r="BS18" s="268">
        <v>10.098705571453516</v>
      </c>
      <c r="BT18" s="268">
        <v>8.561217930593617</v>
      </c>
      <c r="BU18" s="409">
        <v>11.630372067549995</v>
      </c>
      <c r="BW18" s="1366">
        <f t="shared" si="2"/>
        <v>0.7984619477007948</v>
      </c>
      <c r="BX18" s="332">
        <v>2007</v>
      </c>
      <c r="BY18" s="232">
        <v>142.220968</v>
      </c>
      <c r="BZ18" s="1357">
        <v>75.289</v>
      </c>
      <c r="CA18" s="232">
        <v>4.5190000000000055</v>
      </c>
      <c r="CB18" s="1357">
        <v>67.47991724969835</v>
      </c>
      <c r="CC18" s="265">
        <f t="shared" si="3"/>
        <v>0.7984619477007948</v>
      </c>
      <c r="CD18" s="224">
        <f>НАСТРОЙКА!IX17</f>
        <v>5980.940929636738</v>
      </c>
      <c r="CE18" s="224">
        <v>4775.553743761152</v>
      </c>
      <c r="CF18" s="268">
        <f t="shared" si="0"/>
        <v>1.725508878027588</v>
      </c>
      <c r="CG18" s="1358">
        <v>1.926386275301257</v>
      </c>
      <c r="CI18" s="268">
        <v>1.2115949590457777</v>
      </c>
      <c r="CJ18" s="265">
        <v>2.0255168214332193</v>
      </c>
      <c r="CK18" s="1359">
        <v>0.7574655925640286</v>
      </c>
      <c r="CL18" s="232"/>
      <c r="CM18" s="268">
        <v>0</v>
      </c>
      <c r="CN18" s="1367">
        <v>3.2419358312998856</v>
      </c>
      <c r="CO18" s="265">
        <v>1.712938666789894</v>
      </c>
      <c r="CQ18" s="296"/>
    </row>
    <row r="19" ht="18" customHeight="1" spans="1:95" x14ac:dyDescent="0.25">
      <c r="A19" s="682" t="s">
        <v>1037</v>
      </c>
      <c r="E19" s="1335">
        <v>19</v>
      </c>
      <c r="F19" s="1348">
        <v>43939</v>
      </c>
      <c r="G19" s="1349" t="s">
        <v>636</v>
      </c>
      <c r="H19" s="187" t="s">
        <v>866</v>
      </c>
      <c r="I19" s="910" t="s">
        <v>1038</v>
      </c>
      <c r="J19" s="910"/>
      <c r="K19" s="910"/>
      <c r="L19" s="910"/>
      <c r="M19" s="910"/>
      <c r="N19" s="910"/>
      <c r="O19" s="1378">
        <f t="array" ref="O19:AL19">TRANSPOSE(ОТЧЁТ!DI92:DI115)</f>
        <v>1</v>
      </c>
      <c r="P19" s="1369">
        <v>1.3930686182271845</v>
      </c>
      <c r="Q19" s="1369">
        <v>1.8000080782573098</v>
      </c>
      <c r="R19" s="1369">
        <v>1.7787455021088285</v>
      </c>
      <c r="S19" s="1369">
        <v>2.4627881934761957</v>
      </c>
      <c r="T19" s="1369">
        <v>3.785470488529565</v>
      </c>
      <c r="U19" s="1369">
        <v>5.08786459563914</v>
      </c>
      <c r="V19" s="1369">
        <v>6.552867571558401</v>
      </c>
      <c r="W19" s="1369">
        <v>7.795892317615872</v>
      </c>
      <c r="X19" s="1369">
        <v>9.32454487174126</v>
      </c>
      <c r="Y19" s="1369">
        <v>11.601834838997735</v>
      </c>
      <c r="Z19" s="1369">
        <v>14.558879763670303</v>
      </c>
      <c r="AA19" s="1369">
        <v>17.41864233141954</v>
      </c>
      <c r="AB19" s="1369">
        <v>21.558658204106848</v>
      </c>
      <c r="AC19" s="1369">
        <v>23.77183065299093</v>
      </c>
      <c r="AD19" s="1369">
        <v>25.942740710668115</v>
      </c>
      <c r="AE19" s="1369">
        <v>31.060937552257776</v>
      </c>
      <c r="AF19" s="1369">
        <v>34.957056458668305</v>
      </c>
      <c r="AG19" s="1369">
        <v>38.62386007303689</v>
      </c>
      <c r="AH19" s="1369">
        <v>41.26092184765976</v>
      </c>
      <c r="AI19" s="1369">
        <v>44.34474977239534</v>
      </c>
      <c r="AJ19" s="1369">
        <v>46.796704667591264</v>
      </c>
      <c r="AK19" s="1369">
        <v>48.3278511972651</v>
      </c>
      <c r="AL19" s="1369">
        <v>52.23526550148644</v>
      </c>
      <c r="AM19" s="1369">
        <f t="array" ref="AM19:BC19">TRANSPOSE(ОТЧЁТ!DI116:DI132)</f>
        <v>53.174963523769726</v>
      </c>
      <c r="AN19" s="1369">
        <v>56.05173073278681</v>
      </c>
      <c r="AO19" s="1369">
        <v>59.12506726942615</v>
      </c>
      <c r="AP19" s="1369">
        <v>62.35207063289746</v>
      </c>
      <c r="AQ19" s="1369">
        <v>65.74042416454233</v>
      </c>
      <c r="AR19" s="1369">
        <v>69.29819537276946</v>
      </c>
      <c r="AS19" s="1369">
        <v>73.03385514140793</v>
      </c>
      <c r="AT19" s="1369">
        <v>76.95629789847833</v>
      </c>
      <c r="AU19" s="1369">
        <v>81.07486279340225</v>
      </c>
      <c r="AV19" s="1369">
        <v>85.39935593307237</v>
      </c>
      <c r="AW19" s="1369">
        <v>89.940073729726</v>
      </c>
      <c r="AX19" s="1369">
        <v>94.7078274162123</v>
      </c>
      <c r="AY19" s="1369">
        <v>99.71396878702292</v>
      </c>
      <c r="AZ19" s="1369">
        <v>104.97041722637408</v>
      </c>
      <c r="BA19" s="1369">
        <v>110.4896880876928</v>
      </c>
      <c r="BB19" s="1369">
        <v>116.28492249207744</v>
      </c>
      <c r="BC19" s="1369">
        <v>122.36991861668132</v>
      </c>
      <c r="BD19" s="287" t="str">
        <f t="shared" si="4"/>
        <v>Dg</v>
      </c>
      <c r="BE19" t="s">
        <v>1029</v>
      </c>
      <c r="BG19" s="332">
        <v>2008</v>
      </c>
      <c r="BH19" s="1364">
        <v>15.593657080025292</v>
      </c>
      <c r="BI19" s="1365">
        <v>12.014838376677151</v>
      </c>
      <c r="BJ19" s="268">
        <v>14.279402745112492</v>
      </c>
      <c r="BK19" s="268">
        <v>16.03475716499792</v>
      </c>
      <c r="BL19" s="268"/>
      <c r="BM19" s="24"/>
      <c r="BN19" s="268">
        <v>6.61807370062663</v>
      </c>
      <c r="BO19" s="268">
        <v>10.701001718560617</v>
      </c>
      <c r="BP19" s="268"/>
      <c r="BQ19" s="268">
        <v>0</v>
      </c>
      <c r="BR19" s="268">
        <v>12.382630991276981</v>
      </c>
      <c r="BS19" s="268">
        <v>11.941266045828566</v>
      </c>
      <c r="BT19" s="268">
        <v>10.360928463828223</v>
      </c>
      <c r="BU19" s="409">
        <v>13.808577618030881</v>
      </c>
      <c r="BW19" s="1366">
        <f t="shared" si="2"/>
        <v>0.8092519740210758</v>
      </c>
      <c r="BX19" s="332">
        <v>2008</v>
      </c>
      <c r="BY19" s="232">
        <v>142.008838</v>
      </c>
      <c r="BZ19" s="1357">
        <v>75.7</v>
      </c>
      <c r="CA19" s="232">
        <v>4.697000000000003</v>
      </c>
      <c r="CB19" s="1357">
        <v>70.62140234848118</v>
      </c>
      <c r="CC19" s="265">
        <f t="shared" si="3"/>
        <v>0.8092519740210758</v>
      </c>
      <c r="CD19" s="224">
        <f>НАСТРОЙКА!IX18</f>
        <v>6196.25480310366</v>
      </c>
      <c r="CE19" s="224">
        <v>5014.33143094921</v>
      </c>
      <c r="CF19" s="268">
        <f t="shared" si="0"/>
        <v>1.8117843219289673</v>
      </c>
      <c r="CG19" s="1358">
        <v>2.1093929714548767</v>
      </c>
      <c r="CI19" s="268">
        <v>1.2527891876533341</v>
      </c>
      <c r="CJ19" s="265">
        <v>2.2402216045051406</v>
      </c>
      <c r="CK19" s="1359">
        <v>0.7468610742681322</v>
      </c>
      <c r="CL19" s="232"/>
      <c r="CM19" s="268">
        <v>0</v>
      </c>
      <c r="CN19" s="1367">
        <v>3.7217423343322684</v>
      </c>
      <c r="CO19" s="265">
        <v>1.8020114774629683</v>
      </c>
      <c r="CQ19" s="296"/>
    </row>
    <row r="20" ht="18" customHeight="1" spans="1:95" x14ac:dyDescent="0.25">
      <c r="A20" s="682" t="s">
        <v>1039</v>
      </c>
      <c r="E20" s="1335">
        <v>20</v>
      </c>
      <c r="F20" s="1348">
        <v>43939</v>
      </c>
      <c r="G20" s="1349" t="s">
        <v>638</v>
      </c>
      <c r="H20" s="187" t="s">
        <v>866</v>
      </c>
      <c r="I20" s="910" t="s">
        <v>1040</v>
      </c>
      <c r="J20" s="910"/>
      <c r="K20" s="910"/>
      <c r="L20" s="910"/>
      <c r="M20" s="910"/>
      <c r="N20" s="910"/>
      <c r="O20" s="1378">
        <v>1</v>
      </c>
      <c r="P20" s="1369">
        <f>ОТЧЁТ!V186</f>
        <v>1.4997486735151189</v>
      </c>
      <c r="Q20" s="1369">
        <f>ОТЧЁТ!W186</f>
        <v>1.9526312539350381</v>
      </c>
      <c r="R20" s="1369">
        <f>ОТЧЁТ!X186</f>
        <v>2.005906030355448</v>
      </c>
      <c r="S20" s="1369">
        <f>ОТЧЁТ!Y186</f>
        <v>2.3429902839701637</v>
      </c>
      <c r="T20" s="1369">
        <f>ОТЧЁТ!Z186</f>
        <v>3.240611479111068</v>
      </c>
      <c r="U20" s="1369">
        <f>ОТЧЁТ!AA186</f>
        <v>3.97066356566005</v>
      </c>
      <c r="V20" s="1369">
        <f>ОТЧЁТ!AB186</f>
        <v>5.284373447678545</v>
      </c>
      <c r="W20" s="1369">
        <f>ОТЧЁТ!AC186</f>
        <v>6.171508131635609</v>
      </c>
      <c r="X20" s="1369">
        <f>ОТЧЁТ!AD186</f>
        <v>6.701602530209906</v>
      </c>
      <c r="Y20" s="1369">
        <f>ОТЧЁТ!AE186</f>
        <v>7.644439100868062</v>
      </c>
      <c r="Z20" s="1369">
        <f>ОТЧЁТ!AF186</f>
        <v>8.625582341885453</v>
      </c>
      <c r="AA20" s="1369">
        <f>ОТЧЁТ!AG186</f>
        <v>10.098705571453516</v>
      </c>
      <c r="AB20" s="1369">
        <f>ОТЧЁТ!AH186</f>
        <v>11.941266045828566</v>
      </c>
      <c r="AC20" s="1369">
        <f>ОТЧЁТ!AI186</f>
        <v>12.996640727607122</v>
      </c>
      <c r="AD20" s="1369">
        <f>ОТЧЁТ!AJ186</f>
        <v>13.587422805401822</v>
      </c>
      <c r="AE20" s="1369">
        <f>ОТЧЁТ!AK186</f>
        <v>14.262597604124318</v>
      </c>
      <c r="AF20" s="1369">
        <f>ОТЧЁТ!AL186</f>
        <v>15.820545673088896</v>
      </c>
      <c r="AG20" s="1369">
        <f>ОТЧЁТ!AM186</f>
        <v>16.64363718116042</v>
      </c>
      <c r="AH20" s="1369">
        <f>ОТЧЁТ!AN186</f>
        <v>18.778754615584578</v>
      </c>
      <c r="AI20" s="1369">
        <f>ОТЧЁТ!AO186</f>
        <v>20.93213752543595</v>
      </c>
      <c r="AJ20" s="1369">
        <f>ОТЧЁТ!AP186</f>
        <v>22.71379487635589</v>
      </c>
      <c r="AK20" s="1369">
        <f>ОТЧЁТ!AQ186</f>
        <v>24.993896175246313</v>
      </c>
      <c r="AL20" s="1369">
        <f>ОТЧЁТ!AR186</f>
        <v>27.181442967904612</v>
      </c>
      <c r="AM20" s="1369">
        <f t="array" ref="AM20:BC20">TRANSPOSE(ОТЧЁТ!DL160:DL176)</f>
        <v>28.30469088773622</v>
      </c>
      <c r="AN20" s="1369">
        <v>29.498051210324068</v>
      </c>
      <c r="AO20" s="1369">
        <v>30.77295377084027</v>
      </c>
      <c r="AP20" s="1369">
        <v>32.111601459382285</v>
      </c>
      <c r="AQ20" s="1369">
        <v>33.5171815323514</v>
      </c>
      <c r="AR20" s="1369">
        <v>34.99304060896897</v>
      </c>
      <c r="AS20" s="1369">
        <v>36.54269263941742</v>
      </c>
      <c r="AT20" s="1369">
        <v>38.16982727138829</v>
      </c>
      <c r="AU20" s="1369">
        <v>39.87831863495771</v>
      </c>
      <c r="AV20" s="1369">
        <v>41.6722345667056</v>
      </c>
      <c r="AW20" s="1369">
        <v>43.55584629504088</v>
      </c>
      <c r="AX20" s="1369">
        <v>45.53363860979292</v>
      </c>
      <c r="AY20" s="1369">
        <v>47.61032054028257</v>
      </c>
      <c r="AZ20" s="1369">
        <v>49.79083656729671</v>
      </c>
      <c r="BA20" s="1369">
        <v>52.08037839566155</v>
      </c>
      <c r="BB20" s="1369">
        <v>54.48439731544463</v>
      </c>
      <c r="BC20" s="1369">
        <v>57.00861718121687</v>
      </c>
      <c r="BD20" s="287" t="str">
        <f t="shared" si="4"/>
        <v>Dnk</v>
      </c>
      <c r="BE20" t="s">
        <v>1029</v>
      </c>
      <c r="BG20" s="332">
        <v>2009</v>
      </c>
      <c r="BH20" s="1364">
        <v>16.373566297801105</v>
      </c>
      <c r="BI20" s="1365">
        <v>12.870829474853368</v>
      </c>
      <c r="BJ20" s="268">
        <v>14.669938798054028</v>
      </c>
      <c r="BK20" s="268">
        <v>16.368494611949213</v>
      </c>
      <c r="BL20" s="268"/>
      <c r="BM20" s="24"/>
      <c r="BN20" s="268">
        <v>8.30157321960723</v>
      </c>
      <c r="BO20" s="268">
        <v>11.642689869793951</v>
      </c>
      <c r="BP20" s="268"/>
      <c r="BQ20" s="268">
        <v>0</v>
      </c>
      <c r="BR20" s="268">
        <v>13.714036448863869</v>
      </c>
      <c r="BS20" s="268">
        <v>12.996640727607122</v>
      </c>
      <c r="BT20" s="268">
        <v>10.685163024983835</v>
      </c>
      <c r="BU20" s="409">
        <v>13.96475603527971</v>
      </c>
      <c r="BW20" s="1366">
        <f t="shared" si="2"/>
        <v>0.7261311317282134</v>
      </c>
      <c r="BX20" s="332">
        <v>2009</v>
      </c>
      <c r="BY20" s="232">
        <v>141.903979</v>
      </c>
      <c r="BZ20" s="1357">
        <v>75.694</v>
      </c>
      <c r="CA20" s="232">
        <v>6.284000000000006</v>
      </c>
      <c r="CB20" s="1357">
        <v>66.89628158851706</v>
      </c>
      <c r="CC20" s="265">
        <f t="shared" si="3"/>
        <v>0.7261311317282134</v>
      </c>
      <c r="CD20" s="224">
        <f>НАСТРОЙКА!IX19</f>
        <v>6394.534956802978</v>
      </c>
      <c r="CE20" s="224">
        <v>4643.270905058968</v>
      </c>
      <c r="CF20" s="268">
        <f t="shared" si="0"/>
        <v>1.6777122821062238</v>
      </c>
      <c r="CG20" s="1358">
        <v>1.8246249203084683</v>
      </c>
      <c r="CI20" s="268">
        <v>1.2452724525274141</v>
      </c>
      <c r="CJ20" s="265">
        <v>2.1259703026753782</v>
      </c>
      <c r="CK20" s="1359">
        <v>0.6871121883266816</v>
      </c>
      <c r="CL20" s="232"/>
      <c r="CM20" s="268">
        <v>0</v>
      </c>
      <c r="CN20" s="1367">
        <v>2.590332664695259</v>
      </c>
      <c r="CO20" s="265">
        <v>1.6596525707433945</v>
      </c>
      <c r="CQ20" s="296"/>
    </row>
    <row r="21" ht="18" customHeight="1" spans="1:95" x14ac:dyDescent="0.25">
      <c r="A21" s="682"/>
      <c r="E21" s="1335">
        <v>21</v>
      </c>
      <c r="F21" s="1348">
        <v>44340</v>
      </c>
      <c r="G21" s="1349" t="s">
        <v>772</v>
      </c>
      <c r="H21" s="187" t="s">
        <v>866</v>
      </c>
      <c r="I21" s="910" t="s">
        <v>1041</v>
      </c>
      <c r="J21" s="910"/>
      <c r="K21" s="910"/>
      <c r="L21" s="910"/>
      <c r="M21" s="910"/>
      <c r="N21" s="910"/>
      <c r="O21" s="1378">
        <f t="array" ref="O21:AL21">TRANSPOSE(ОТЧЁТ!EX136:EX159)</f>
        <v>1</v>
      </c>
      <c r="P21" s="1369">
        <v>1.006</v>
      </c>
      <c r="Q21" s="1369">
        <v>0.997952</v>
      </c>
      <c r="R21" s="1369">
        <v>1.00294176</v>
      </c>
      <c r="S21" s="1369">
        <v>0.9889005753599999</v>
      </c>
      <c r="T21" s="1369">
        <v>1.00472298456576</v>
      </c>
      <c r="U21" s="1369">
        <v>1.0238127212725092</v>
      </c>
      <c r="V21" s="1369">
        <v>1.0320032230426892</v>
      </c>
      <c r="W21" s="1369">
        <v>1.0330352262657319</v>
      </c>
      <c r="X21" s="1369">
        <v>0.9183683161502356</v>
      </c>
      <c r="Y21" s="1369">
        <v>0.7503069142947425</v>
      </c>
      <c r="Z21" s="1369">
        <v>0.7375516967517318</v>
      </c>
      <c r="AA21" s="1369">
        <v>0.7574655925640286</v>
      </c>
      <c r="AB21" s="1369">
        <v>0.7468610742681322</v>
      </c>
      <c r="AC21" s="1369">
        <v>0.6871121883266816</v>
      </c>
      <c r="AD21" s="1379">
        <v>0.6836766273850482</v>
      </c>
      <c r="AE21" s="1380">
        <v>0.6501764726431808</v>
      </c>
      <c r="AF21" s="1369">
        <v>0.643674707916749</v>
      </c>
      <c r="AG21" s="1369">
        <v>0.635950611421748</v>
      </c>
      <c r="AH21" s="1369">
        <v>0.635950611421748</v>
      </c>
      <c r="AI21" s="1369">
        <v>0.6175080436905173</v>
      </c>
      <c r="AJ21" s="1369">
        <v>0.6236831241274224</v>
      </c>
      <c r="AK21" s="1369">
        <v>0.6268015397480595</v>
      </c>
      <c r="AL21" s="1369">
        <v>0.6550076090367222</v>
      </c>
      <c r="AM21" s="1369">
        <f t="array" ref="AM21:BC21">TRANSPOSE(ОТЧЁТ!EX160:EX176)</f>
        <v>0.6818033748609517</v>
      </c>
      <c r="AN21" s="1369">
        <v>0.7072593523939696</v>
      </c>
      <c r="AO21" s="1369">
        <v>0.7314425310503367</v>
      </c>
      <c r="AP21" s="1369">
        <v>0.7544165507738855</v>
      </c>
      <c r="AQ21" s="1369">
        <v>0.7762418695112567</v>
      </c>
      <c r="AR21" s="1369">
        <v>0.7969759223117594</v>
      </c>
      <c r="AS21" s="1369">
        <v>0.816673272472237</v>
      </c>
      <c r="AT21" s="1372">
        <v>0.8353857551246907</v>
      </c>
      <c r="AU21" s="1372">
        <v>0.8531626136445217</v>
      </c>
      <c r="AV21" s="1372">
        <v>0.8700506292383612</v>
      </c>
      <c r="AW21" s="1372">
        <v>0.8860942440525087</v>
      </c>
      <c r="AX21" s="1372">
        <v>0.9013356781259488</v>
      </c>
      <c r="AY21" s="1372">
        <v>0.9158150404957169</v>
      </c>
      <c r="AZ21" s="1372">
        <v>0.9295704347469966</v>
      </c>
      <c r="BA21" s="1372">
        <v>0.9426380592857123</v>
      </c>
      <c r="BB21" s="1372">
        <v>0.9550523025974922</v>
      </c>
      <c r="BC21" s="1372">
        <v>0.966845833743683</v>
      </c>
      <c r="BD21" s="287" t="str">
        <f t="shared" si="4"/>
        <v>Pnk</v>
      </c>
      <c r="BE21" t="s">
        <v>1029</v>
      </c>
      <c r="BG21" s="332">
        <v>2010</v>
      </c>
      <c r="BH21" s="1364">
        <v>17.674409856030426</v>
      </c>
      <c r="BI21" s="1365">
        <v>14.148307151553455</v>
      </c>
      <c r="BJ21" s="268">
        <v>16.8302129453818</v>
      </c>
      <c r="BK21" s="268">
        <v>18.69136533556666</v>
      </c>
      <c r="BL21" s="268"/>
      <c r="BM21" s="24"/>
      <c r="BN21" s="268">
        <v>8.121605375451491</v>
      </c>
      <c r="BO21" s="268">
        <v>12.664918040361862</v>
      </c>
      <c r="BP21" s="268"/>
      <c r="BQ21" s="268">
        <v>0</v>
      </c>
      <c r="BR21" s="268">
        <v>14.629133800462956</v>
      </c>
      <c r="BS21" s="268">
        <v>13.587422805401822</v>
      </c>
      <c r="BT21" s="268">
        <v>12.376778209553063</v>
      </c>
      <c r="BU21" s="409">
        <v>16.223531809175668</v>
      </c>
      <c r="BW21" s="1366">
        <f t="shared" si="2"/>
        <v>0.7402307653540039</v>
      </c>
      <c r="BX21" s="332">
        <v>2010</v>
      </c>
      <c r="BY21" s="232">
        <v>142.856536</v>
      </c>
      <c r="BZ21" s="1357">
        <v>75.478</v>
      </c>
      <c r="CA21" s="232">
        <v>5.544165583815838</v>
      </c>
      <c r="CB21" s="1357">
        <v>69.7150852939227</v>
      </c>
      <c r="CC21" s="265">
        <f t="shared" si="3"/>
        <v>0.7402307653540039</v>
      </c>
      <c r="CD21" s="224">
        <f>НАСТРОЙКА!IX20</f>
        <v>6586.371005507067</v>
      </c>
      <c r="CE21" s="224">
        <v>4875.434450311916</v>
      </c>
      <c r="CF21" s="268">
        <f t="shared" si="0"/>
        <v>1.7615978962115348</v>
      </c>
      <c r="CG21" s="1358">
        <v>1.939576290287902</v>
      </c>
      <c r="CI21" s="268">
        <v>1.226593365739503</v>
      </c>
      <c r="CJ21" s="265">
        <v>2.242898669322524</v>
      </c>
      <c r="CK21" s="1359">
        <v>0.6836766273850482</v>
      </c>
      <c r="CL21" s="232"/>
      <c r="CM21" s="268">
        <v>0</v>
      </c>
      <c r="CN21" s="1367">
        <v>3.2586384921866354</v>
      </c>
      <c r="CO21" s="265">
        <v>1.734336936426847</v>
      </c>
      <c r="CQ21" s="296"/>
    </row>
    <row r="22" ht="15.75" customHeight="1" spans="1:95" x14ac:dyDescent="0.25">
      <c r="A22" s="682" t="s">
        <v>1042</v>
      </c>
      <c r="E22" s="1335">
        <v>22</v>
      </c>
      <c r="F22" s="1348">
        <v>43939</v>
      </c>
      <c r="G22" s="1349" t="s">
        <v>962</v>
      </c>
      <c r="H22" s="187" t="s">
        <v>866</v>
      </c>
      <c r="I22" s="910" t="s">
        <v>1043</v>
      </c>
      <c r="J22" s="910"/>
      <c r="K22" s="910"/>
      <c r="L22" s="910"/>
      <c r="M22" s="910"/>
      <c r="N22" s="910"/>
      <c r="O22" s="1378">
        <f t="array" ref="O22:AL22">TRANSPOSE(ОТЧЁТ!$DM$413:$DM$436)</f>
        <v>1</v>
      </c>
      <c r="P22" s="1369">
        <v>1.1463921152743077</v>
      </c>
      <c r="Q22" s="1369">
        <v>1.2513079717780982</v>
      </c>
      <c r="R22" s="1369">
        <v>1.7757982734232498</v>
      </c>
      <c r="S22" s="1369">
        <v>4.3836468174313525</v>
      </c>
      <c r="T22" s="1369">
        <v>5.422670804728047</v>
      </c>
      <c r="U22" s="1369">
        <v>5.416139427100017</v>
      </c>
      <c r="V22" s="1369">
        <v>5.589991573495779</v>
      </c>
      <c r="W22" s="1369">
        <v>6.100949264694751</v>
      </c>
      <c r="X22" s="1369">
        <v>6.831459964645646</v>
      </c>
      <c r="Y22" s="1369">
        <v>8.02031164551573</v>
      </c>
      <c r="Z22" s="1369">
        <v>8.577771592643286</v>
      </c>
      <c r="AA22" s="1369">
        <v>8.561217930593617</v>
      </c>
      <c r="AB22" s="1369">
        <v>10.360928463828223</v>
      </c>
      <c r="AC22" s="1369">
        <v>10.685163024983835</v>
      </c>
      <c r="AD22" s="1379">
        <v>12.376778209553063</v>
      </c>
      <c r="AE22" s="1380">
        <v>14.886630426588821</v>
      </c>
      <c r="AF22" s="1369">
        <v>15.682710215951944</v>
      </c>
      <c r="AG22" s="1369">
        <v>15.596922733834738</v>
      </c>
      <c r="AH22" s="1369">
        <v>19.408072573294923</v>
      </c>
      <c r="AI22" s="1369">
        <v>25.392619710313024</v>
      </c>
      <c r="AJ22" s="1369">
        <v>24.686694352693262</v>
      </c>
      <c r="AK22" s="1369">
        <v>23.815961506525245</v>
      </c>
      <c r="AL22" s="1369">
        <v>28.98429850585516</v>
      </c>
      <c r="AM22" s="1369">
        <f t="array" ref="AM22:BC22">TRANSPOSE(ОТЧЁТ!EB437:EB453)</f>
        <v>28.28794120598946</v>
      </c>
      <c r="AN22" s="1369">
        <v>30.295292486376674</v>
      </c>
      <c r="AO22" s="1369">
        <v>32.50839100920102</v>
      </c>
      <c r="AP22" s="1369">
        <v>34.90839768276339</v>
      </c>
      <c r="AQ22" s="1369">
        <v>37.51247387012187</v>
      </c>
      <c r="AR22" s="1369">
        <v>40.33944013792836</v>
      </c>
      <c r="AS22" s="1369">
        <v>43.40994133299096</v>
      </c>
      <c r="AT22" s="1369">
        <v>46.746628329593726</v>
      </c>
      <c r="AU22" s="1369">
        <v>50.37435814384684</v>
      </c>
      <c r="AV22" s="1369">
        <v>54.32041428458438</v>
      </c>
      <c r="AW22" s="1369">
        <v>58.61474940129718</v>
      </c>
      <c r="AX22" s="1369">
        <v>63.29025250010019</v>
      </c>
      <c r="AY22" s="1369">
        <v>68.38304323078901</v>
      </c>
      <c r="AZ22" s="1369">
        <v>73.93279600384489</v>
      </c>
      <c r="BA22" s="1369">
        <v>79.98309697823396</v>
      </c>
      <c r="BB22" s="1369">
        <v>86.58183727169767</v>
      </c>
      <c r="BC22" s="1369">
        <v>93.78164608790115</v>
      </c>
      <c r="BD22" s="287" t="str">
        <f t="shared" si="4"/>
        <v>Dem</v>
      </c>
      <c r="BG22" s="332">
        <v>2011</v>
      </c>
      <c r="BH22" s="1364">
        <v>19.234566440524752</v>
      </c>
      <c r="BI22" s="1365">
        <v>15.766970202222982</v>
      </c>
      <c r="BJ22" s="268">
        <v>19.85424571376991</v>
      </c>
      <c r="BK22" s="268">
        <v>23.32851881806769</v>
      </c>
      <c r="BL22" s="268"/>
      <c r="BM22" s="24"/>
      <c r="BN22" s="268">
        <v>8.282874191876036</v>
      </c>
      <c r="BO22" s="268">
        <v>13.437478040823935</v>
      </c>
      <c r="BP22" s="268"/>
      <c r="BQ22" s="268">
        <v>0</v>
      </c>
      <c r="BR22" s="268">
        <v>17.36421630879255</v>
      </c>
      <c r="BS22" s="268">
        <v>14.262597604124318</v>
      </c>
      <c r="BT22" s="268">
        <v>14.886630426588821</v>
      </c>
      <c r="BU22" s="409">
        <v>18.09503717757504</v>
      </c>
      <c r="BW22" s="1366">
        <f t="shared" si="2"/>
        <v>0.7423660464079096</v>
      </c>
      <c r="BX22" s="332">
        <v>2011</v>
      </c>
      <c r="BY22" s="232">
        <v>142.865433</v>
      </c>
      <c r="BZ22" s="1357">
        <v>75.779</v>
      </c>
      <c r="CA22" s="232">
        <v>4.922399755454807</v>
      </c>
      <c r="CB22" s="1357">
        <v>71.76575210476639</v>
      </c>
      <c r="CC22" s="265">
        <f t="shared" si="3"/>
        <v>0.7423660464079096</v>
      </c>
      <c r="CD22" s="224">
        <f>НАСТРОЙКА!IX21</f>
        <v>6849.8258457273505</v>
      </c>
      <c r="CE22" s="224">
        <v>5085.078131675329</v>
      </c>
      <c r="CF22" s="268">
        <f t="shared" si="0"/>
        <v>1.837346605748631</v>
      </c>
      <c r="CG22" s="1358">
        <v>2.1490505296389957</v>
      </c>
      <c r="CI22" s="268">
        <v>1.243765672859856</v>
      </c>
      <c r="CJ22" s="265">
        <v>2.3954157788364556</v>
      </c>
      <c r="CK22" s="1359">
        <v>0.6501764726431808</v>
      </c>
      <c r="CL22" s="232"/>
      <c r="CM22" s="268">
        <v>0</v>
      </c>
      <c r="CN22" s="1367">
        <v>3.920142106100522</v>
      </c>
      <c r="CO22" s="265">
        <v>1.8089134246932008</v>
      </c>
      <c r="CQ22" s="296"/>
    </row>
    <row r="23" ht="18" customHeight="1" spans="1:95" x14ac:dyDescent="0.25">
      <c r="A23" s="1347" t="s">
        <v>1017</v>
      </c>
      <c r="B23" s="1360"/>
      <c r="C23" s="1361"/>
      <c r="E23" s="1335">
        <v>23</v>
      </c>
      <c r="F23" s="1348"/>
      <c r="G23" s="1349"/>
      <c r="H23" s="187"/>
      <c r="I23" s="910"/>
      <c r="J23" s="910"/>
      <c r="K23" s="910"/>
      <c r="L23" s="910"/>
      <c r="M23" s="910"/>
      <c r="N23" s="910"/>
      <c r="O23" s="1378"/>
      <c r="P23" s="1372"/>
      <c r="Q23" s="1372"/>
      <c r="R23" s="1372"/>
      <c r="S23" s="1372"/>
      <c r="T23" s="1372"/>
      <c r="U23" s="1372"/>
      <c r="V23" s="1372"/>
      <c r="W23" s="1372"/>
      <c r="X23" s="1372"/>
      <c r="Y23" s="1372"/>
      <c r="Z23" s="1372"/>
      <c r="AA23" s="1372"/>
      <c r="AB23" s="1372"/>
      <c r="AC23" s="1372"/>
      <c r="AD23" s="1372"/>
      <c r="AE23" s="1372"/>
      <c r="AF23" s="1372"/>
      <c r="AG23" s="1372"/>
      <c r="AH23" s="1372"/>
      <c r="AI23" s="1372"/>
      <c r="AJ23" s="1372"/>
      <c r="AK23" s="1372"/>
      <c r="AL23" s="1372"/>
      <c r="AM23" s="1372"/>
      <c r="AN23" s="1372"/>
      <c r="AO23" s="1372"/>
      <c r="AP23" s="1372"/>
      <c r="AQ23" s="1372"/>
      <c r="AR23" s="1372"/>
      <c r="AS23" s="1372"/>
      <c r="AT23" s="1372"/>
      <c r="AU23" s="1372"/>
      <c r="AV23" s="1372"/>
      <c r="AW23" s="1372"/>
      <c r="AX23" s="1372"/>
      <c r="AY23" s="1372"/>
      <c r="AZ23" s="1372"/>
      <c r="BA23" s="1372"/>
      <c r="BB23" s="1372"/>
      <c r="BC23" s="1372"/>
      <c r="BD23" s="287">
        <f t="shared" si="4"/>
        <v>0</v>
      </c>
      <c r="BE23" t="s">
        <v>1029</v>
      </c>
      <c r="BG23" s="332">
        <v>2012</v>
      </c>
      <c r="BH23" s="1364">
        <v>20.540168341333807</v>
      </c>
      <c r="BI23" s="1365">
        <v>16.974068796381736</v>
      </c>
      <c r="BJ23" s="268">
        <v>21.405203901528715</v>
      </c>
      <c r="BK23" s="268">
        <v>25.448132013167307</v>
      </c>
      <c r="BL23" s="268"/>
      <c r="BM23" s="24"/>
      <c r="BN23" s="268">
        <v>8.667019917064364</v>
      </c>
      <c r="BO23" s="268">
        <v>14.321664095910151</v>
      </c>
      <c r="BP23" s="268"/>
      <c r="BQ23" s="268">
        <v>0</v>
      </c>
      <c r="BR23" s="268">
        <v>18.5401251106608</v>
      </c>
      <c r="BS23" s="268">
        <v>15.820545673088896</v>
      </c>
      <c r="BT23" s="268">
        <v>15.682710215951944</v>
      </c>
      <c r="BU23" s="409">
        <v>19.23249446463563</v>
      </c>
      <c r="BW23" s="1366">
        <f t="shared" si="2"/>
        <v>0.7395190050027021</v>
      </c>
      <c r="BX23" s="332">
        <v>2012</v>
      </c>
      <c r="BY23" s="232">
        <v>143.056383</v>
      </c>
      <c r="BZ23" s="1357">
        <v>75.576</v>
      </c>
      <c r="CA23" s="232">
        <v>4.130659994510245</v>
      </c>
      <c r="CB23" s="1357">
        <v>73.84674636436351</v>
      </c>
      <c r="CC23" s="265">
        <f t="shared" si="3"/>
        <v>0.7395190050027021</v>
      </c>
      <c r="CD23" s="224">
        <f>НАСТРОЙКА!IX22</f>
        <v>7144.3683570936255</v>
      </c>
      <c r="CE23" s="224">
        <v>5283.396178810667</v>
      </c>
      <c r="CF23" s="268">
        <f t="shared" si="0"/>
        <v>1.9090031233728277</v>
      </c>
      <c r="CG23" s="1358">
        <v>2.295185965654447</v>
      </c>
      <c r="CI23" s="268">
        <v>1.2761035803542125</v>
      </c>
      <c r="CJ23" s="265">
        <v>2.5846536253645356</v>
      </c>
      <c r="CK23" s="1359">
        <v>0.643674707916749</v>
      </c>
      <c r="CL23" s="232"/>
      <c r="CM23" s="268">
        <v>0</v>
      </c>
      <c r="CN23" s="1367">
        <v>4.300395890392273</v>
      </c>
      <c r="CO23" s="265">
        <v>1.8750455190419224</v>
      </c>
      <c r="CQ23" s="296"/>
    </row>
    <row r="24" ht="18" customHeight="1" spans="1:95" x14ac:dyDescent="0.25">
      <c r="A24" s="682" t="s">
        <v>1044</v>
      </c>
      <c r="E24" s="1335">
        <v>24</v>
      </c>
      <c r="F24" s="1348">
        <v>43939</v>
      </c>
      <c r="G24" s="1349" t="s">
        <v>644</v>
      </c>
      <c r="H24" s="187" t="s">
        <v>866</v>
      </c>
      <c r="I24" s="910" t="s">
        <v>1045</v>
      </c>
      <c r="J24" s="910"/>
      <c r="K24" s="910"/>
      <c r="L24" s="910"/>
      <c r="M24" s="910"/>
      <c r="N24" s="910"/>
      <c r="O24" s="1376">
        <v>1</v>
      </c>
      <c r="P24" s="1372">
        <f>ОТЧЁТ!V189</f>
        <v>1.7194377618988257</v>
      </c>
      <c r="Q24" s="1372">
        <f>ОТЧЁТ!W189</f>
        <v>1.9680277801214476</v>
      </c>
      <c r="R24" s="1372">
        <f>ОТЧЁТ!X189</f>
        <v>2.2270348811115843</v>
      </c>
      <c r="S24" s="1372">
        <f>ОТЧЁТ!Y189</f>
        <v>3.493098424873764</v>
      </c>
      <c r="T24" s="1372">
        <f>ОТЧЁТ!Z189</f>
        <v>5.171262749607017</v>
      </c>
      <c r="U24" s="1372">
        <f>ОТЧЁТ!AA189</f>
        <v>6.070726846853919</v>
      </c>
      <c r="V24" s="1372">
        <f>ОТЧЁТ!AB189</f>
        <v>6.916750986271128</v>
      </c>
      <c r="W24" s="1372">
        <f>ОТЧЁТ!AC189</f>
        <v>7.6273689193439225</v>
      </c>
      <c r="X24" s="1372">
        <f>ОТЧЁТ!AD189</f>
        <v>8.79041331779647</v>
      </c>
      <c r="Y24" s="1372">
        <f>ОТЧЁТ!AE189</f>
        <v>10.054085870175701</v>
      </c>
      <c r="Z24" s="1372">
        <f>ОТЧЁТ!AF189</f>
        <v>11.28478682823815</v>
      </c>
      <c r="AA24" s="1372">
        <f>ОТЧЁТ!AG189</f>
        <v>13.059083510568804</v>
      </c>
      <c r="AB24" s="1372">
        <f>ОТЧЁТ!AH189</f>
        <v>15.593657080025292</v>
      </c>
      <c r="AC24" s="1372">
        <f>ОТЧЁТ!AI189</f>
        <v>16.373566297801105</v>
      </c>
      <c r="AD24" s="1372">
        <f>ОТЧЁТ!AJ189</f>
        <v>17.674409856030426</v>
      </c>
      <c r="AE24" s="1372">
        <f>ОТЧЁТ!AK189</f>
        <v>19.234566440524752</v>
      </c>
      <c r="AF24" s="1372">
        <f>ОТЧЁТ!AL189</f>
        <v>20.540168341333807</v>
      </c>
      <c r="AG24" s="1372">
        <f>ОТЧЁТ!AM189</f>
        <v>21.77622501158156</v>
      </c>
      <c r="AH24" s="1372">
        <f>ОТЧЁТ!AN189</f>
        <v>22.851453644141124</v>
      </c>
      <c r="AI24" s="1372">
        <f>ОТЧЁТ!AO189</f>
        <v>25.408791247612854</v>
      </c>
      <c r="AJ24" s="1372">
        <f>ОТЧЁТ!AP189</f>
        <v>27.019844336572895</v>
      </c>
      <c r="AK24" s="1372">
        <f>ОТЧЁТ!AQ189</f>
        <v>28.017232863734257</v>
      </c>
      <c r="AL24" s="1372">
        <f>ОТЧЁТ!AR189</f>
        <v>29.48966481725577</v>
      </c>
      <c r="AM24" s="1372">
        <f>1.661*AM14-7.124</f>
        <v>30.56982965875805</v>
      </c>
      <c r="AN24" s="1372">
        <f>1.661*AN14-7.124-0.42</f>
        <v>32.000596695003054</v>
      </c>
      <c r="AO24" s="1372">
        <f t="shared" ref="AO24:BC24" si="7">1.661*AO14-7.124</f>
        <v>34.39782652975321</v>
      </c>
      <c r="AP24" s="1372">
        <f t="shared" si="7"/>
        <v>36.473917856240874</v>
      </c>
      <c r="AQ24" s="1372">
        <f t="shared" si="7"/>
        <v>38.65381374905292</v>
      </c>
      <c r="AR24" s="1372">
        <f t="shared" si="7"/>
        <v>40.942704436505565</v>
      </c>
      <c r="AS24" s="1372">
        <f t="shared" si="7"/>
        <v>43.346039658330845</v>
      </c>
      <c r="AT24" s="1372">
        <f t="shared" si="7"/>
        <v>45.86954164124739</v>
      </c>
      <c r="AU24" s="1372">
        <f t="shared" si="7"/>
        <v>48.51921872330976</v>
      </c>
      <c r="AV24" s="1372">
        <f t="shared" si="7"/>
        <v>51.30137965947526</v>
      </c>
      <c r="AW24" s="1372">
        <f t="shared" si="7"/>
        <v>54.22264864244902</v>
      </c>
      <c r="AX24" s="1372">
        <f t="shared" si="7"/>
        <v>57.28998107457148</v>
      </c>
      <c r="AY24" s="1372">
        <f t="shared" si="7"/>
        <v>60.51068012830006</v>
      </c>
      <c r="AZ24" s="1372">
        <f t="shared" si="7"/>
        <v>63.89241413471506</v>
      </c>
      <c r="BA24" s="1372">
        <f t="shared" si="7"/>
        <v>67.44323484145083</v>
      </c>
      <c r="BB24" s="1372">
        <f t="shared" si="7"/>
        <v>71.17159658352338</v>
      </c>
      <c r="BC24" s="1372">
        <f t="shared" si="7"/>
        <v>75.08637641269955</v>
      </c>
      <c r="BD24" s="287" t="str">
        <f t="shared" si="4"/>
        <v>Dn</v>
      </c>
      <c r="BE24" t="s">
        <v>1029</v>
      </c>
      <c r="BG24" s="332">
        <v>2013</v>
      </c>
      <c r="BH24" s="1364">
        <v>21.77622501158156</v>
      </c>
      <c r="BI24" s="1365">
        <v>17.95315842273053</v>
      </c>
      <c r="BJ24" s="268">
        <v>22.832323118365768</v>
      </c>
      <c r="BK24" s="268">
        <v>26.82470761987901</v>
      </c>
      <c r="BL24" s="268"/>
      <c r="BM24" s="24"/>
      <c r="BN24" s="268">
        <v>9.0619465420278</v>
      </c>
      <c r="BO24" s="268">
        <v>15.245411430096356</v>
      </c>
      <c r="BP24" s="268"/>
      <c r="BQ24" s="268">
        <v>0</v>
      </c>
      <c r="BR24" s="268">
        <v>19.653563919076568</v>
      </c>
      <c r="BS24" s="268">
        <v>16.64363718116042</v>
      </c>
      <c r="BT24" s="268">
        <v>15.596922733834738</v>
      </c>
      <c r="BU24" s="409">
        <v>20.58724351980391</v>
      </c>
      <c r="BW24" s="1366">
        <f t="shared" si="2"/>
        <v>0.7253111470775782</v>
      </c>
      <c r="BX24" s="332">
        <v>2013</v>
      </c>
      <c r="BY24" s="232">
        <v>143.347059</v>
      </c>
      <c r="BZ24" s="1357">
        <v>75.529</v>
      </c>
      <c r="CA24" s="232">
        <v>4.137443347976</v>
      </c>
      <c r="CB24" s="1357">
        <v>75.56012344053151</v>
      </c>
      <c r="CC24" s="265">
        <f t="shared" si="3"/>
        <v>0.7253111470775782</v>
      </c>
      <c r="CD24" s="224">
        <f>НАСТРОЙКА!IX23</f>
        <v>7437.2874597344635</v>
      </c>
      <c r="CE24" s="224">
        <v>5394.347498565691</v>
      </c>
      <c r="CF24" s="268">
        <f t="shared" si="0"/>
        <v>1.9490921889636572</v>
      </c>
      <c r="CG24" s="1358">
        <v>2.313547453379683</v>
      </c>
      <c r="CI24" s="268">
        <v>1.2875885125774005</v>
      </c>
      <c r="CJ24" s="265">
        <v>2.7190556138834916</v>
      </c>
      <c r="CK24" s="1359">
        <v>0.635950611421748</v>
      </c>
      <c r="CL24" s="232"/>
      <c r="CM24" s="268">
        <v>0</v>
      </c>
      <c r="CN24" s="1367">
        <v>4.450909746556002</v>
      </c>
      <c r="CO24" s="265">
        <v>1.9085217286102594</v>
      </c>
      <c r="CQ24" s="296"/>
    </row>
    <row r="25" ht="18" customHeight="1" spans="1:95" x14ac:dyDescent="0.25">
      <c r="A25" s="682" t="s">
        <v>1046</v>
      </c>
      <c r="E25" s="1335">
        <v>25</v>
      </c>
      <c r="F25" s="1348">
        <v>43939</v>
      </c>
      <c r="G25" s="1349" t="s">
        <v>646</v>
      </c>
      <c r="H25" s="187" t="s">
        <v>866</v>
      </c>
      <c r="I25" s="910" t="s">
        <v>1047</v>
      </c>
      <c r="J25" s="910"/>
      <c r="K25" s="910"/>
      <c r="L25" s="910"/>
      <c r="M25" s="910"/>
      <c r="N25" s="910"/>
      <c r="O25" s="1376">
        <v>1</v>
      </c>
      <c r="P25" s="1381">
        <f>ОТЧЁТ!V190</f>
        <v>2.4661634872716665</v>
      </c>
      <c r="Q25" s="1381">
        <f>ОТЧЁТ!W190</f>
        <v>2.5165818894824628</v>
      </c>
      <c r="R25" s="1381">
        <f>ОТЧЁТ!X190</f>
        <v>2.6836249787031963</v>
      </c>
      <c r="S25" s="1381">
        <f>ОТЧЁТ!Y190</f>
        <v>2.701164323022275</v>
      </c>
      <c r="T25" s="1381">
        <f>ОТЧЁТ!Z190</f>
        <v>3.2947518370474893</v>
      </c>
      <c r="U25" s="1381">
        <f>ОТЧЁТ!AA190</f>
        <v>3.7846782806927575</v>
      </c>
      <c r="V25" s="1381">
        <f>ОТЧЁТ!AB190</f>
        <v>4.522803189792793</v>
      </c>
      <c r="W25" s="1381">
        <f>ОТЧЁТ!AC190</f>
        <v>5.542638112686384</v>
      </c>
      <c r="X25" s="1381">
        <f>ОТЧЁТ!AD190</f>
        <v>6.272852216104846</v>
      </c>
      <c r="Y25" s="1381">
        <f>ОТЧЁТ!AE190</f>
        <v>7.324439758120246</v>
      </c>
      <c r="Z25" s="1381">
        <f>ОТЧЁТ!AF190</f>
        <v>8.186196716537998</v>
      </c>
      <c r="AA25" s="1381">
        <f>ОТЧЁТ!AG190</f>
        <v>10.097240670067599</v>
      </c>
      <c r="AB25" s="1381">
        <f>ОТЧЁТ!AH190</f>
        <v>12.014838376677151</v>
      </c>
      <c r="AC25" s="1381">
        <f>ОТЧЁТ!AI190</f>
        <v>12.870829474853368</v>
      </c>
      <c r="AD25" s="1381">
        <f>ОТЧЁТ!AJ190</f>
        <v>14.148307151553455</v>
      </c>
      <c r="AE25" s="1381">
        <f>ОТЧЁТ!AK190</f>
        <v>15.766970202222982</v>
      </c>
      <c r="AF25" s="1381">
        <f>ОТЧЁТ!AL190</f>
        <v>16.974068796381736</v>
      </c>
      <c r="AG25" s="1381">
        <f>ОТЧЁТ!AM190</f>
        <v>17.95315842273053</v>
      </c>
      <c r="AH25" s="1381">
        <f>ОТЧЁТ!AN190</f>
        <v>19.115802786548628</v>
      </c>
      <c r="AI25" s="1381">
        <f>ОТЧЁТ!AO190</f>
        <v>20.193444864834213</v>
      </c>
      <c r="AJ25" s="1381">
        <f>ОТЧЁТ!AP190</f>
        <v>22.17789046888298</v>
      </c>
      <c r="AK25" s="1381">
        <f>ОТЧЁТ!AQ190</f>
        <v>22.675989872141365</v>
      </c>
      <c r="AL25" s="1381">
        <f>ОТЧЁТ!AR190</f>
        <v>23.085153319082956</v>
      </c>
      <c r="AM25" s="1381">
        <f>1.1042*AM14-0.3884</f>
        <v>24.669713611800503</v>
      </c>
      <c r="AN25" s="1381">
        <f t="shared" ref="AN25:BC25" si="8">1.1042*AN14-0.3884</f>
        <v>25.9000669901399</v>
      </c>
      <c r="AO25" s="1381">
        <f t="shared" si="8"/>
        <v>27.2144903396469</v>
      </c>
      <c r="AP25" s="1381">
        <f t="shared" si="8"/>
        <v>28.594634856629245</v>
      </c>
      <c r="AQ25" s="1381">
        <f t="shared" si="8"/>
        <v>30.04378659946071</v>
      </c>
      <c r="AR25" s="1381">
        <f t="shared" si="8"/>
        <v>31.565395929433745</v>
      </c>
      <c r="AS25" s="1381">
        <f t="shared" si="8"/>
        <v>33.16308572590544</v>
      </c>
      <c r="AT25" s="1381">
        <f t="shared" si="8"/>
        <v>34.84066001220071</v>
      </c>
      <c r="AU25" s="1381">
        <f t="shared" si="8"/>
        <v>36.60211301281075</v>
      </c>
      <c r="AV25" s="1381">
        <f t="shared" si="8"/>
        <v>38.45163866345129</v>
      </c>
      <c r="AW25" s="1381">
        <f t="shared" si="8"/>
        <v>40.393640596623854</v>
      </c>
      <c r="AX25" s="1381">
        <f t="shared" si="8"/>
        <v>42.432742626455045</v>
      </c>
      <c r="AY25" s="1381">
        <f t="shared" si="8"/>
        <v>44.573799757777806</v>
      </c>
      <c r="AZ25" s="1381">
        <f t="shared" si="8"/>
        <v>46.8219097456667</v>
      </c>
      <c r="BA25" s="1381">
        <f t="shared" si="8"/>
        <v>49.18242523295004</v>
      </c>
      <c r="BB25" s="1381">
        <f t="shared" si="8"/>
        <v>51.660966494597545</v>
      </c>
      <c r="BC25" s="1381">
        <f t="shared" si="8"/>
        <v>54.26343481932743</v>
      </c>
      <c r="BD25" s="287" t="str">
        <f t="shared" si="4"/>
        <v>Df</v>
      </c>
      <c r="BE25" t="s">
        <v>1029</v>
      </c>
      <c r="BG25" s="332">
        <v>2014</v>
      </c>
      <c r="BH25" s="1364">
        <v>22.851453644141124</v>
      </c>
      <c r="BI25" s="1365">
        <v>19.115802786548628</v>
      </c>
      <c r="BJ25" s="268">
        <v>24.43123573923766</v>
      </c>
      <c r="BK25" s="268">
        <v>28.78517263207585</v>
      </c>
      <c r="BL25" s="268"/>
      <c r="BM25" s="24"/>
      <c r="BN25" s="268">
        <v>10.713774916786434</v>
      </c>
      <c r="BO25" s="268">
        <v>17.31878738458946</v>
      </c>
      <c r="BP25" s="268"/>
      <c r="BQ25" s="268">
        <v>0</v>
      </c>
      <c r="BR25" s="268">
        <v>21.01627695270109</v>
      </c>
      <c r="BS25" s="268">
        <v>18.778754615584578</v>
      </c>
      <c r="BT25" s="268">
        <v>19.408072573294923</v>
      </c>
      <c r="BU25" s="409">
        <v>22.05840052773225</v>
      </c>
      <c r="BW25" s="1366">
        <f t="shared" si="2"/>
        <v>0.7050276145170674</v>
      </c>
      <c r="BX25" s="332">
        <v>2014</v>
      </c>
      <c r="BY25" s="232">
        <v>143.666931</v>
      </c>
      <c r="BZ25" s="1357">
        <v>75.428</v>
      </c>
      <c r="CA25" s="232">
        <v>3.889373856792</v>
      </c>
      <c r="CB25" s="1357">
        <v>76.00747797621544</v>
      </c>
      <c r="CC25" s="265">
        <f t="shared" si="3"/>
        <v>0.7050276145170674</v>
      </c>
      <c r="CD25" s="224">
        <f>НАСТРОЙКА!IX24</f>
        <v>7712.467095744638</v>
      </c>
      <c r="CE25" s="224">
        <v>5437.502278554217</v>
      </c>
      <c r="CF25" s="268">
        <f t="shared" si="0"/>
        <v>1.9646849264753665</v>
      </c>
      <c r="CG25" s="1358">
        <v>2.278844241578988</v>
      </c>
      <c r="CI25" s="268">
        <v>1.2605491538132751</v>
      </c>
      <c r="CJ25" s="265">
        <v>2.7734367261611617</v>
      </c>
      <c r="CK25" s="1359">
        <v>0.635950611421748</v>
      </c>
      <c r="CL25" s="232"/>
      <c r="CM25" s="268">
        <v>0</v>
      </c>
      <c r="CN25" s="1367">
        <v>4.125993335057414</v>
      </c>
      <c r="CO25" s="265">
        <v>1.9226180848563927</v>
      </c>
      <c r="CQ25" s="296"/>
    </row>
    <row r="26" ht="18" customHeight="1" spans="1:95" x14ac:dyDescent="0.25">
      <c r="A26" s="682" t="s">
        <v>1048</v>
      </c>
      <c r="E26" s="1335">
        <v>26</v>
      </c>
      <c r="F26" s="1348">
        <v>43939</v>
      </c>
      <c r="G26" s="1349" t="s">
        <v>648</v>
      </c>
      <c r="H26" s="187" t="s">
        <v>866</v>
      </c>
      <c r="I26" s="910" t="s">
        <v>1049</v>
      </c>
      <c r="J26" s="910"/>
      <c r="K26" s="910"/>
      <c r="L26" s="910"/>
      <c r="M26" s="910"/>
      <c r="N26" s="910"/>
      <c r="O26" s="1376">
        <v>1</v>
      </c>
      <c r="P26" s="1372">
        <f>ОТЧЁТ!V191</f>
        <v>1.695396731545807</v>
      </c>
      <c r="Q26" s="1372">
        <f>ОТЧЁТ!W191</f>
        <v>2.415292468742241</v>
      </c>
      <c r="R26" s="1372">
        <f>ОТЧЁТ!X191</f>
        <v>2.6727462335842294</v>
      </c>
      <c r="S26" s="1372">
        <f>ОТЧЁТ!Y191</f>
        <v>3.4893420575027583</v>
      </c>
      <c r="T26" s="1372">
        <f>ОТЧЁТ!Z191</f>
        <v>3.9448052793534916</v>
      </c>
      <c r="U26" s="1372">
        <f>ОТЧЁТ!AA191</f>
        <v>4.396024616222597</v>
      </c>
      <c r="V26" s="1372">
        <f>ОТЧЁТ!AB191</f>
        <v>5.884382361829743</v>
      </c>
      <c r="W26" s="1372">
        <f>ОТЧЁТ!AC191</f>
        <v>5.90091640449027</v>
      </c>
      <c r="X26" s="1372">
        <f>ОТЧЁТ!AD191</f>
        <v>5.736138604273994</v>
      </c>
      <c r="Y26" s="1372">
        <f>ОТЧЁТ!AE191</f>
        <v>7.718849506887088</v>
      </c>
      <c r="Z26" s="1372">
        <f>ОТЧЁТ!AF191</f>
        <v>7.333907061981483</v>
      </c>
      <c r="AA26" s="1372">
        <f>ОТЧЁТ!AG191</f>
        <v>7.941801279807624</v>
      </c>
      <c r="AB26" s="1372">
        <f>ОТЧЁТ!AH191</f>
        <v>9.313557709187231</v>
      </c>
      <c r="AC26" s="1372">
        <f>ОТЧЁТ!AI191</f>
        <v>10.66694831320229</v>
      </c>
      <c r="AD26" s="1372">
        <f>ОТЧЁТ!AJ191</f>
        <v>11.27644871677545</v>
      </c>
      <c r="AE26" s="1372">
        <f>ОТЧЁТ!AK191</f>
        <v>12.282914423380722</v>
      </c>
      <c r="AF26" s="1372">
        <f>ОТЧЁТ!AL191</f>
        <v>13.249096044334456</v>
      </c>
      <c r="AG26" s="1372">
        <f>ОТЧЁТ!AM191</f>
        <v>14.15863931501705</v>
      </c>
      <c r="AH26" s="1372">
        <f>ОТЧЁТ!AN191</f>
        <v>14.240158664898729</v>
      </c>
      <c r="AI26" s="1372">
        <f>ОТЧЁТ!AO191</f>
        <v>14.837823597492827</v>
      </c>
      <c r="AJ26" s="1372">
        <f>ОТЧЁТ!AP191</f>
        <v>15.707409284457475</v>
      </c>
      <c r="AK26" s="1372">
        <f>ОТЧЁТ!AQ191</f>
        <v>14.777985159687598</v>
      </c>
      <c r="AL26" s="1372">
        <f>ОТЧЁТ!AR191</f>
        <v>15.400454434924034</v>
      </c>
      <c r="AM26" s="1372">
        <f>0.1975*AM14+11.04</f>
        <v>15.521957469960693</v>
      </c>
      <c r="AN26" s="1372">
        <f t="shared" ref="AN26:BC26" si="9">0.1975*AN14+11.04</f>
        <v>15.742021581735763</v>
      </c>
      <c r="AO26" s="1372">
        <f t="shared" si="9"/>
        <v>15.977122660822552</v>
      </c>
      <c r="AP26" s="1372">
        <f t="shared" si="9"/>
        <v>16.22397879386368</v>
      </c>
      <c r="AQ26" s="1372">
        <f t="shared" si="9"/>
        <v>16.483177733556865</v>
      </c>
      <c r="AR26" s="1372">
        <f t="shared" si="9"/>
        <v>16.755336620234708</v>
      </c>
      <c r="AS26" s="1372">
        <f t="shared" si="9"/>
        <v>17.041103451246443</v>
      </c>
      <c r="AT26" s="1372">
        <f t="shared" si="9"/>
        <v>17.341158623808766</v>
      </c>
      <c r="AU26" s="1372">
        <f t="shared" si="9"/>
        <v>17.656216554999205</v>
      </c>
      <c r="AV26" s="1372">
        <f t="shared" si="9"/>
        <v>17.987027382749165</v>
      </c>
      <c r="AW26" s="1372">
        <f t="shared" si="9"/>
        <v>18.334378751886625</v>
      </c>
      <c r="AX26" s="1372">
        <f t="shared" si="9"/>
        <v>18.699097689480954</v>
      </c>
      <c r="AY26" s="1372">
        <f t="shared" si="9"/>
        <v>19.082052573955004</v>
      </c>
      <c r="AZ26" s="1372">
        <f t="shared" si="9"/>
        <v>19.484155202652754</v>
      </c>
      <c r="BA26" s="1372">
        <f t="shared" si="9"/>
        <v>19.906362962785394</v>
      </c>
      <c r="BB26" s="1372">
        <f t="shared" si="9"/>
        <v>20.349681110924664</v>
      </c>
      <c r="BC26" s="1372">
        <f t="shared" si="9"/>
        <v>20.815165166470898</v>
      </c>
      <c r="BD26" s="287" t="str">
        <f t="shared" si="4"/>
        <v>Dww</v>
      </c>
      <c r="BE26" t="s">
        <v>1029</v>
      </c>
      <c r="BG26" s="332">
        <v>2015</v>
      </c>
      <c r="BH26" s="1364">
        <v>25.408791247612854</v>
      </c>
      <c r="BI26" s="1365">
        <v>20.193444864834213</v>
      </c>
      <c r="BJ26" s="268">
        <v>27.196038400434425</v>
      </c>
      <c r="BK26" s="268">
        <v>30.966851255246702</v>
      </c>
      <c r="BL26" s="268"/>
      <c r="BM26" s="24"/>
      <c r="BN26" s="268">
        <v>15.00558323794657</v>
      </c>
      <c r="BO26" s="268">
        <v>19.5529109572015</v>
      </c>
      <c r="BP26" s="268"/>
      <c r="BQ26" s="268">
        <v>0</v>
      </c>
      <c r="BR26" s="268">
        <v>23.908625308988828</v>
      </c>
      <c r="BS26" s="268">
        <v>20.93213752543595</v>
      </c>
      <c r="BT26" s="268">
        <v>25.392619710313024</v>
      </c>
      <c r="BU26" s="409">
        <v>24.641576618684894</v>
      </c>
      <c r="BW26" s="1366">
        <f t="shared" si="2"/>
        <v>0.674285131325916</v>
      </c>
      <c r="BX26" s="332">
        <v>2015</v>
      </c>
      <c r="BY26" s="232">
        <v>146.267288</v>
      </c>
      <c r="BZ26" s="1357">
        <v>76.588</v>
      </c>
      <c r="CA26" s="232">
        <v>4.263926593338001</v>
      </c>
      <c r="CB26" s="1357">
        <v>74.20555775569582</v>
      </c>
      <c r="CC26" s="265">
        <f t="shared" si="3"/>
        <v>0.674285131325916</v>
      </c>
      <c r="CD26" s="224">
        <f>НАСТРОЙКА!IX25</f>
        <v>7959.266042808467</v>
      </c>
      <c r="CE26" s="224">
        <v>5366.814748933011</v>
      </c>
      <c r="CF26" s="268">
        <f t="shared" si="0"/>
        <v>1.9391440224311864</v>
      </c>
      <c r="CG26" s="1358">
        <v>2.04868097317951</v>
      </c>
      <c r="CI26" s="268">
        <v>1.2151693842759972</v>
      </c>
      <c r="CJ26" s="265">
        <v>2.5127336739020127</v>
      </c>
      <c r="CK26" s="1359">
        <v>0.6175080436905173</v>
      </c>
      <c r="CL26" s="232"/>
      <c r="CM26" s="268">
        <v>0</v>
      </c>
      <c r="CN26" s="1367">
        <v>3.090369007958003</v>
      </c>
      <c r="CO26" s="265">
        <v>1.8783978689046958</v>
      </c>
      <c r="CQ26" s="296"/>
    </row>
    <row r="27" ht="18" customHeight="1" spans="1:95" x14ac:dyDescent="0.25">
      <c r="A27" s="682" t="s">
        <v>1050</v>
      </c>
      <c r="B27" s="682"/>
      <c r="C27" s="682"/>
      <c r="D27" s="682"/>
      <c r="E27" s="1335">
        <v>27</v>
      </c>
      <c r="F27" s="1348">
        <v>43939</v>
      </c>
      <c r="G27" s="1349" t="s">
        <v>390</v>
      </c>
      <c r="H27" s="187" t="s">
        <v>866</v>
      </c>
      <c r="I27" s="910" t="s">
        <v>1051</v>
      </c>
      <c r="J27" s="910"/>
      <c r="K27" s="910"/>
      <c r="L27" s="910"/>
      <c r="M27" s="910"/>
      <c r="N27" s="910"/>
      <c r="O27" s="1376">
        <v>1</v>
      </c>
      <c r="P27" s="1366">
        <f>ОТЧЁТ!V188</f>
        <v>1.170751567490661</v>
      </c>
      <c r="Q27" s="1366">
        <f>ОТЧЁТ!W188</f>
        <v>1.4027022303089887</v>
      </c>
      <c r="R27" s="1366">
        <f>ОТЧЁТ!X188</f>
        <v>2.077665776266209</v>
      </c>
      <c r="S27" s="1366">
        <f>ОТЧЁТ!Y188</f>
        <v>4.894300618534394</v>
      </c>
      <c r="T27" s="1366">
        <f>ОТЧЁТ!Z188</f>
        <v>5.1416113994451775</v>
      </c>
      <c r="U27" s="1366">
        <f>ОТЧЁТ!AA188</f>
        <v>5.343385559062672</v>
      </c>
      <c r="V27" s="1366">
        <f>ОТЧЁТ!AB188</f>
        <v>5.696540648389541</v>
      </c>
      <c r="W27" s="1366">
        <f>ОТЧЁТ!AC188</f>
        <v>5.788123461724906</v>
      </c>
      <c r="X27" s="1366">
        <f>ОТЧЁТ!AD188</f>
        <v>5.617164966343532</v>
      </c>
      <c r="Y27" s="1366">
        <f>ОТЧЁТ!AE188</f>
        <v>5.933656338117276</v>
      </c>
      <c r="Z27" s="1366">
        <f>ОТЧЁТ!AF188</f>
        <v>5.949475526803209</v>
      </c>
      <c r="AA27" s="1366">
        <f>ОТЧЁТ!AG188</f>
        <v>5.972486590341229</v>
      </c>
      <c r="AB27" s="1366">
        <f>ОТЧЁТ!AH188</f>
        <v>6.61807370062663</v>
      </c>
      <c r="AC27" s="1366">
        <f>ОТЧЁТ!AI188</f>
        <v>8.30157321960723</v>
      </c>
      <c r="AD27" s="1366">
        <f>ОТЧЁТ!AJ188</f>
        <v>8.121605375451491</v>
      </c>
      <c r="AE27" s="1366">
        <f>ОТЧЁТ!AK188</f>
        <v>8.282874191876036</v>
      </c>
      <c r="AF27" s="1366">
        <f>ОТЧЁТ!AL188</f>
        <v>8.667019917064364</v>
      </c>
      <c r="AG27" s="1366">
        <f>ОТЧЁТ!AM188</f>
        <v>9.0619465420278</v>
      </c>
      <c r="AH27" s="1366">
        <f>ОТЧЁТ!AN188</f>
        <v>10.713774916786434</v>
      </c>
      <c r="AI27" s="1366">
        <f>ОТЧЁТ!AO188</f>
        <v>15.00558323794657</v>
      </c>
      <c r="AJ27" s="1366">
        <f>ОТЧЁТ!AP188</f>
        <v>16.052012422908835</v>
      </c>
      <c r="AK27" s="1366">
        <f>ОТЧЁТ!AQ188</f>
        <v>14.742627700481552</v>
      </c>
      <c r="AL27" s="1366">
        <f>ОТЧЁТ!AR188</f>
        <v>16.237654558609503</v>
      </c>
      <c r="AM27" s="268">
        <f>0.6044*AM28-2.3458</f>
        <v>18.438060398142703</v>
      </c>
      <c r="AN27" s="268">
        <f>0.6044*AN28-2.3458 +2</f>
        <v>19.799322318991504</v>
      </c>
      <c r="AO27" s="268">
        <f t="shared" ref="AO27:BC27" si="10">0.6044*AO28-2.3458</f>
        <v>20.147590934941082</v>
      </c>
      <c r="AP27" s="268">
        <f t="shared" si="10"/>
        <v>20.910602631688135</v>
      </c>
      <c r="AQ27" s="268">
        <f t="shared" si="10"/>
        <v>21.70194341327254</v>
      </c>
      <c r="AR27" s="268">
        <f t="shared" si="10"/>
        <v>22.52302973393617</v>
      </c>
      <c r="AS27" s="268">
        <f t="shared" si="10"/>
        <v>23.375348870632976</v>
      </c>
      <c r="AT27" s="268">
        <f t="shared" si="10"/>
        <v>24.260462464164625</v>
      </c>
      <c r="AU27" s="268">
        <f t="shared" si="10"/>
        <v>25.18001023737286</v>
      </c>
      <c r="AV27" s="268">
        <f t="shared" si="10"/>
        <v>26.1357138992415</v>
      </c>
      <c r="AW27" s="268">
        <f t="shared" si="10"/>
        <v>27.12938124420358</v>
      </c>
      <c r="AX27" s="268">
        <f t="shared" si="10"/>
        <v>28.16291045641375</v>
      </c>
      <c r="AY27" s="268">
        <f t="shared" si="10"/>
        <v>29.238294629234446</v>
      </c>
      <c r="AZ27" s="268">
        <f t="shared" si="10"/>
        <v>30.357626510696168</v>
      </c>
      <c r="BA27" s="268">
        <f t="shared" si="10"/>
        <v>31.523103486230976</v>
      </c>
      <c r="BB27" s="268">
        <f t="shared" si="10"/>
        <v>32.73703281054254</v>
      </c>
      <c r="BC27" s="268">
        <f t="shared" si="10"/>
        <v>34.00183710106966</v>
      </c>
      <c r="BD27" s="287" t="str">
        <f t="shared" si="4"/>
        <v>Dm</v>
      </c>
      <c r="BE27" t="s">
        <v>1029</v>
      </c>
      <c r="BG27" s="332">
        <v>2016</v>
      </c>
      <c r="BH27" s="1364">
        <v>27.019844336572895</v>
      </c>
      <c r="BI27" s="1365">
        <v>22.17789046888298</v>
      </c>
      <c r="BJ27" s="268">
        <v>28.328183799288354</v>
      </c>
      <c r="BK27" s="268">
        <v>31.991031785021747</v>
      </c>
      <c r="BL27" s="268"/>
      <c r="BM27" s="24"/>
      <c r="BN27" s="268">
        <v>16.052012422908835</v>
      </c>
      <c r="BO27" s="268">
        <v>20.60681285779466</v>
      </c>
      <c r="BP27" s="268"/>
      <c r="BQ27" s="268">
        <v>0</v>
      </c>
      <c r="BR27" s="268">
        <v>25.541020349632802</v>
      </c>
      <c r="BS27" s="268">
        <v>22.71379487635589</v>
      </c>
      <c r="BT27" s="268">
        <v>24.686694352693262</v>
      </c>
      <c r="BU27" s="409">
        <v>25.837490201740536</v>
      </c>
      <c r="BW27" s="1366">
        <f t="shared" si="2"/>
        <v>0.656762803562875</v>
      </c>
      <c r="BX27" s="332">
        <v>2016</v>
      </c>
      <c r="BY27" s="232">
        <v>146.54471</v>
      </c>
      <c r="BZ27" s="1357">
        <v>76.636</v>
      </c>
      <c r="CA27" s="232">
        <v>4.243</v>
      </c>
      <c r="CB27" s="1357">
        <v>75.0240565513269</v>
      </c>
      <c r="CC27" s="265">
        <f t="shared" si="3"/>
        <v>0.656762803562875</v>
      </c>
      <c r="CD27" s="224">
        <f>НАСТРОЙКА!IX26</f>
        <v>8269.677418477997</v>
      </c>
      <c r="CE27" s="224">
        <v>5431.2165259202075</v>
      </c>
      <c r="CF27" s="268">
        <f t="shared" si="0"/>
        <v>1.9624137507003607</v>
      </c>
      <c r="CG27" s="1358">
        <v>2.0445836112331506</v>
      </c>
      <c r="CI27" s="268">
        <v>1.233396925040137</v>
      </c>
      <c r="CJ27" s="265">
        <v>2.4649917340978744</v>
      </c>
      <c r="CK27" s="1359">
        <v>0.6236831241274224</v>
      </c>
      <c r="CL27" s="232"/>
      <c r="CM27" s="268">
        <v>0</v>
      </c>
      <c r="CN27" s="1367">
        <v>2.979115723671515</v>
      </c>
      <c r="CO27" s="265">
        <v>1.882154664642504</v>
      </c>
      <c r="CQ27" s="296"/>
    </row>
    <row r="28" ht="18" customHeight="1" spans="1:95" x14ac:dyDescent="0.25">
      <c r="A28" s="682" t="s">
        <v>1052</v>
      </c>
      <c r="B28" s="682"/>
      <c r="C28" s="682"/>
      <c r="D28" s="682"/>
      <c r="E28" s="1335">
        <v>28</v>
      </c>
      <c r="F28" s="1348">
        <v>43939</v>
      </c>
      <c r="G28" s="1349" t="s">
        <v>394</v>
      </c>
      <c r="H28" s="187" t="s">
        <v>866</v>
      </c>
      <c r="I28" s="910" t="s">
        <v>1053</v>
      </c>
      <c r="J28" s="910"/>
      <c r="K28" s="910"/>
      <c r="L28" s="910"/>
      <c r="M28" s="910"/>
      <c r="N28" s="910"/>
      <c r="O28" s="1382"/>
      <c r="P28" s="1366"/>
      <c r="Q28" s="1366"/>
      <c r="R28" s="1366"/>
      <c r="S28" s="1366"/>
      <c r="T28" s="1366"/>
      <c r="U28" s="1366"/>
      <c r="V28" s="1366"/>
      <c r="W28" s="1366"/>
      <c r="X28" s="1366"/>
      <c r="Y28" s="1366"/>
      <c r="Z28" s="1366"/>
      <c r="AA28" s="1366"/>
      <c r="AB28" s="1366"/>
      <c r="AC28" s="1366"/>
      <c r="AD28" s="1366"/>
      <c r="AE28" s="1366"/>
      <c r="AF28" s="1366"/>
      <c r="AG28" s="1366"/>
      <c r="AH28" s="1366"/>
      <c r="AI28" s="1366"/>
      <c r="AJ28" s="1366"/>
      <c r="AM28" s="268">
        <f>0.25*AM12+0.75*AM14</f>
        <v>34.38759165807859</v>
      </c>
      <c r="AN28" s="268">
        <f t="shared" ref="AN28:BC28" si="11">0.25*AN12+0.75*AN14</f>
        <v>33.33077815849024</v>
      </c>
      <c r="AO28" s="268">
        <f t="shared" si="11"/>
        <v>37.21606706641476</v>
      </c>
      <c r="AP28" s="268">
        <f t="shared" si="11"/>
        <v>38.478495419735495</v>
      </c>
      <c r="AQ28" s="268">
        <f t="shared" si="11"/>
        <v>39.78779519072227</v>
      </c>
      <c r="AR28" s="268">
        <f t="shared" si="11"/>
        <v>41.146309950258384</v>
      </c>
      <c r="AS28" s="268">
        <f t="shared" si="11"/>
        <v>42.5565004477713</v>
      </c>
      <c r="AT28" s="268">
        <f t="shared" si="11"/>
        <v>44.02095047015987</v>
      </c>
      <c r="AU28" s="268">
        <f t="shared" si="11"/>
        <v>45.54237299366786</v>
      </c>
      <c r="AV28" s="268">
        <f t="shared" si="11"/>
        <v>47.123616643351255</v>
      </c>
      <c r="AW28" s="268">
        <f t="shared" si="11"/>
        <v>48.76767247551882</v>
      </c>
      <c r="AX28" s="268">
        <f t="shared" si="11"/>
        <v>50.477681099294756</v>
      </c>
      <c r="AY28" s="268">
        <f t="shared" si="11"/>
        <v>52.2569401542595</v>
      </c>
      <c r="AZ28" s="268">
        <f t="shared" si="11"/>
        <v>54.10891216197248</v>
      </c>
      <c r="BA28" s="268">
        <f t="shared" si="11"/>
        <v>56.03723277007111</v>
      </c>
      <c r="BB28" s="268">
        <f t="shared" si="11"/>
        <v>58.04571940857467</v>
      </c>
      <c r="BC28" s="268">
        <f t="shared" si="11"/>
        <v>60.1383803790034</v>
      </c>
      <c r="BD28" s="287" t="str">
        <f t="shared" si="4"/>
        <v>FA</v>
      </c>
      <c r="BE28" t="s">
        <v>1029</v>
      </c>
      <c r="BG28" s="332">
        <v>2017</v>
      </c>
      <c r="BH28" s="1364">
        <v>28.017232863734257</v>
      </c>
      <c r="BI28" s="1365">
        <v>22.675989872141365</v>
      </c>
      <c r="BJ28" s="268">
        <v>29.877742312507845</v>
      </c>
      <c r="BK28" s="268">
        <v>33.649317794864295</v>
      </c>
      <c r="BL28" s="268"/>
      <c r="BM28" s="24"/>
      <c r="BN28" s="268">
        <v>14.742627700481552</v>
      </c>
      <c r="BO28" s="268">
        <v>21.124043860525305</v>
      </c>
      <c r="BP28" s="268"/>
      <c r="BQ28" s="268">
        <v>0</v>
      </c>
      <c r="BR28" s="268">
        <v>26.262932750374507</v>
      </c>
      <c r="BS28" s="268">
        <v>24.993896175246313</v>
      </c>
      <c r="BT28" s="268">
        <v>23.815961506525245</v>
      </c>
      <c r="BU28" s="409">
        <v>27.279512414925115</v>
      </c>
      <c r="BW28" s="1366">
        <f t="shared" si="2"/>
        <v>0.6485374505317407</v>
      </c>
      <c r="BX28" s="332">
        <v>2017</v>
      </c>
      <c r="BY28" s="232">
        <v>146.804372</v>
      </c>
      <c r="BZ28" s="1357">
        <v>76.109</v>
      </c>
      <c r="CA28" s="232">
        <v>3.967</v>
      </c>
      <c r="CB28" s="1357">
        <v>77.16721104305692</v>
      </c>
      <c r="CC28" s="265">
        <f t="shared" si="3"/>
        <v>0.6485374505317407</v>
      </c>
      <c r="CD28" s="224">
        <f>НАСТРОЙКА!IX27</f>
        <v>8583.92516038016</v>
      </c>
      <c r="CE28" s="224">
        <v>5566.996939068213</v>
      </c>
      <c r="CF28" s="268">
        <f t="shared" si="0"/>
        <v>2.0114740944678697</v>
      </c>
      <c r="CG28" s="1358">
        <v>2.142723624572342</v>
      </c>
      <c r="CI28" s="268">
        <v>1.2642318481661403</v>
      </c>
      <c r="CJ28" s="265">
        <v>2.546336461323104</v>
      </c>
      <c r="CK28" s="1359">
        <v>0.6268015397480595</v>
      </c>
      <c r="CL28" s="232"/>
      <c r="CM28" s="268">
        <v>0</v>
      </c>
      <c r="CN28" s="1367">
        <v>3.497481859590358</v>
      </c>
      <c r="CO28" s="265">
        <v>1.9160334486060695</v>
      </c>
      <c r="CQ28" s="296"/>
    </row>
    <row r="29" ht="18" customHeight="1" spans="1:95" x14ac:dyDescent="0.25">
      <c r="A29" s="1347" t="s">
        <v>1017</v>
      </c>
      <c r="B29" s="1360"/>
      <c r="C29" s="1361"/>
      <c r="E29" s="1335">
        <v>29</v>
      </c>
      <c r="F29" s="1348">
        <v>43939</v>
      </c>
      <c r="G29" s="1349" t="s">
        <v>480</v>
      </c>
      <c r="H29" s="187" t="s">
        <v>866</v>
      </c>
      <c r="I29" s="910" t="s">
        <v>1054</v>
      </c>
      <c r="J29" s="910"/>
      <c r="K29" s="910"/>
      <c r="L29" s="910"/>
      <c r="M29" s="910"/>
      <c r="N29" s="910"/>
      <c r="O29" s="1376">
        <v>0.039346290432521365</v>
      </c>
      <c r="P29" s="419">
        <v>0.04727824241680851</v>
      </c>
      <c r="Q29" s="419">
        <v>0.04958825251627314</v>
      </c>
      <c r="R29" s="419">
        <v>0.053861945523556415</v>
      </c>
      <c r="S29" s="419">
        <v>0.05965893639586271</v>
      </c>
      <c r="T29" s="419">
        <v>0.06639845630395663</v>
      </c>
      <c r="U29" s="419">
        <v>0.06892569944409233</v>
      </c>
      <c r="V29" s="419">
        <v>0.06584386483806699</v>
      </c>
      <c r="W29" s="419">
        <v>0.06825479702641113</v>
      </c>
      <c r="X29" s="419">
        <v>0.07352845782238589</v>
      </c>
      <c r="Y29" s="419">
        <v>0.08352376333588525</v>
      </c>
      <c r="Z29" s="419">
        <v>0.08523432370158822</v>
      </c>
      <c r="AA29" s="419">
        <v>0.08247387228514894</v>
      </c>
      <c r="AB29" s="419">
        <v>0.0851118671022953</v>
      </c>
      <c r="AC29" s="419">
        <v>0.07304977354972729</v>
      </c>
      <c r="AD29" s="419">
        <v>0.07639386457310132</v>
      </c>
      <c r="AE29" s="419">
        <v>0.0812042182400152</v>
      </c>
      <c r="AF29" s="419">
        <v>0.08106352276502601</v>
      </c>
      <c r="AG29" s="419">
        <v>0.07521949182823459</v>
      </c>
      <c r="AH29" s="419">
        <v>0.07747490494554175</v>
      </c>
      <c r="AI29" s="419">
        <v>0.05800963166321928</v>
      </c>
      <c r="AJ29" s="419">
        <v>0.05549924767559382</v>
      </c>
      <c r="AK29" s="419">
        <v>0.053783428415799264</v>
      </c>
      <c r="AL29" s="419">
        <v>0.0596993438406504</v>
      </c>
      <c r="AM29" s="419">
        <v>0.06265730155307597</v>
      </c>
      <c r="AN29" s="419">
        <v>0.06413628040928876</v>
      </c>
      <c r="AO29" s="419">
        <v>0.06487576983739515</v>
      </c>
      <c r="AP29" s="419">
        <v>0.06524551455144835</v>
      </c>
      <c r="AQ29" s="419">
        <v>0.06543038690847494</v>
      </c>
      <c r="AR29" s="419">
        <v>0.06552282308698823</v>
      </c>
      <c r="AS29" s="419">
        <v>0.06556904117624487</v>
      </c>
      <c r="AT29" s="419">
        <v>0.0655921502208732</v>
      </c>
      <c r="AU29" s="419">
        <v>0.06560370474318736</v>
      </c>
      <c r="AV29" s="419">
        <v>0.06560948200434444</v>
      </c>
      <c r="AW29" s="419">
        <v>0.06561237063492298</v>
      </c>
      <c r="AX29" s="419">
        <v>0.06561381495021225</v>
      </c>
      <c r="AY29" s="419">
        <v>0.06561453710785689</v>
      </c>
      <c r="AZ29" s="419">
        <v>0.0656148981866792</v>
      </c>
      <c r="BA29" s="419">
        <v>0.06561507872609036</v>
      </c>
      <c r="BB29" s="419">
        <v>0.06561516899579595</v>
      </c>
      <c r="BC29" s="419">
        <v>0.06561521413064875</v>
      </c>
      <c r="BD29" s="287" t="str">
        <f t="shared" si="4"/>
        <v>n1</v>
      </c>
      <c r="BE29" t="s">
        <v>1029</v>
      </c>
      <c r="BG29" s="332">
        <v>2018</v>
      </c>
      <c r="BH29" s="1364">
        <v>29.48966481725577</v>
      </c>
      <c r="BI29" s="1365">
        <v>23.085153319082956</v>
      </c>
      <c r="BJ29" s="268">
        <v>32.51465333840346</v>
      </c>
      <c r="BK29" s="268">
        <v>36.91744034444185</v>
      </c>
      <c r="BL29" s="268"/>
      <c r="BM29" s="24"/>
      <c r="BN29" s="268">
        <v>16.237654558609503</v>
      </c>
      <c r="BO29" s="268">
        <v>22.02392812898368</v>
      </c>
      <c r="BP29" s="268"/>
      <c r="BQ29" s="268">
        <v>0</v>
      </c>
      <c r="BR29" s="268">
        <v>27.120680464307846</v>
      </c>
      <c r="BS29" s="268">
        <v>27.181442967904612</v>
      </c>
      <c r="BT29" s="268">
        <v>28.98429850585516</v>
      </c>
      <c r="BU29" s="409">
        <v>29.75168622717218</v>
      </c>
      <c r="BW29" s="1366">
        <f t="shared" si="2"/>
        <v>0.6379567051775759</v>
      </c>
      <c r="BX29" s="332">
        <v>2018</v>
      </c>
      <c r="BY29" s="232">
        <v>146.880432</v>
      </c>
      <c r="BZ29" s="1357">
        <v>76.3</v>
      </c>
      <c r="CA29" s="232">
        <v>3.657</v>
      </c>
      <c r="CB29" s="1357">
        <v>78.86463585351076</v>
      </c>
      <c r="CC29" s="265">
        <f t="shared" si="3"/>
        <v>0.6379567051775759</v>
      </c>
      <c r="CD29" s="224">
        <f>НАСТРОЙКА!IX28</f>
        <v>8944.450017116129</v>
      </c>
      <c r="CE29" s="224">
        <v>5706.1718625449175</v>
      </c>
      <c r="CF29" s="268">
        <f t="shared" si="0"/>
        <v>2.0617609468295663</v>
      </c>
      <c r="CG29" s="1358">
        <v>2.2348607404289527</v>
      </c>
      <c r="CI29" s="268">
        <v>1.2680245437106386</v>
      </c>
      <c r="CJ29" s="265">
        <v>2.604902199933535</v>
      </c>
      <c r="CK29" s="1359">
        <v>0.6550076090367222</v>
      </c>
      <c r="CL29" s="232"/>
      <c r="CM29" s="268">
        <v>0</v>
      </c>
      <c r="CN29" s="1367">
        <v>3.5919138697992974</v>
      </c>
      <c r="CO29" s="265">
        <v>1.9696823851670402</v>
      </c>
      <c r="CQ29" s="296"/>
    </row>
    <row r="30" ht="18" customHeight="1" spans="1:95" x14ac:dyDescent="0.25">
      <c r="A30" s="1347" t="s">
        <v>1017</v>
      </c>
      <c r="B30" s="1360"/>
      <c r="C30" s="1361"/>
      <c r="E30" s="1335">
        <v>30</v>
      </c>
      <c r="F30" s="1348">
        <v>43939</v>
      </c>
      <c r="G30" s="1349" t="s">
        <v>483</v>
      </c>
      <c r="H30" s="187" t="s">
        <v>866</v>
      </c>
      <c r="I30" s="910" t="s">
        <v>1055</v>
      </c>
      <c r="J30" s="910"/>
      <c r="K30" s="910"/>
      <c r="L30" s="910"/>
      <c r="M30" s="910"/>
      <c r="N30" s="910"/>
      <c r="O30" s="1362">
        <v>0.05413642837764514</v>
      </c>
      <c r="P30" s="419">
        <v>0.06744382725080347</v>
      </c>
      <c r="Q30" s="419">
        <v>0.07337842274391265</v>
      </c>
      <c r="R30" s="419">
        <v>0.08044425149690274</v>
      </c>
      <c r="S30" s="419">
        <v>0.0792547653553883</v>
      </c>
      <c r="T30" s="419">
        <v>0.08725766032131918</v>
      </c>
      <c r="U30" s="419">
        <v>0.0775390856929812</v>
      </c>
      <c r="V30" s="419">
        <v>0.08544188057752926</v>
      </c>
      <c r="W30" s="419">
        <v>0.07993808753736403</v>
      </c>
      <c r="X30" s="419">
        <v>0.08644196204397055</v>
      </c>
      <c r="Y30" s="419">
        <v>0.10195514871018198</v>
      </c>
      <c r="Z30" s="419">
        <v>0.10383564125667144</v>
      </c>
      <c r="AA30" s="419">
        <v>0.09757961920258694</v>
      </c>
      <c r="AB30" s="419">
        <v>0.10182322919675864</v>
      </c>
      <c r="AC30" s="419">
        <v>0.08511143557685862</v>
      </c>
      <c r="AD30" s="419">
        <v>0.08949031890021944</v>
      </c>
      <c r="AE30" s="419">
        <v>0.07742687832977277</v>
      </c>
      <c r="AF30" s="419">
        <v>0.07748079174133626</v>
      </c>
      <c r="AG30" s="419">
        <v>0.07287041882190425</v>
      </c>
      <c r="AH30" s="419">
        <v>0.0737567232294903</v>
      </c>
      <c r="AI30" s="419">
        <v>0.05683924089777224</v>
      </c>
      <c r="AJ30" s="419">
        <v>0.054905885518075605</v>
      </c>
      <c r="AK30" s="419">
        <v>0.0538590011717765</v>
      </c>
      <c r="AL30" s="419">
        <v>0.059026548886211824</v>
      </c>
      <c r="AM30" s="419">
        <v>0.06264383228631655</v>
      </c>
      <c r="AN30" s="419">
        <v>0.06517593066638985</v>
      </c>
      <c r="AO30" s="419">
        <v>0.06694839953244117</v>
      </c>
      <c r="AP30" s="419">
        <v>0.06818912773867708</v>
      </c>
      <c r="AQ30" s="419">
        <v>0.06905763748304222</v>
      </c>
      <c r="AR30" s="419">
        <v>0.06966559430409783</v>
      </c>
      <c r="AS30" s="419">
        <v>0.07009116407883675</v>
      </c>
      <c r="AT30" s="419">
        <v>0.070389062921154</v>
      </c>
      <c r="AU30" s="419">
        <v>0.07059759211077607</v>
      </c>
      <c r="AV30" s="419">
        <v>0.07074356254351152</v>
      </c>
      <c r="AW30" s="419">
        <v>0.07084574184642634</v>
      </c>
      <c r="AX30" s="419">
        <v>0.0709172673584667</v>
      </c>
      <c r="AY30" s="419">
        <v>0.07096733521689497</v>
      </c>
      <c r="AZ30" s="419">
        <v>0.07100238271779474</v>
      </c>
      <c r="BA30" s="419">
        <v>0.07102691596842459</v>
      </c>
      <c r="BB30" s="419">
        <v>0.07104408924386547</v>
      </c>
      <c r="BC30" s="419">
        <v>0.0710561105366741</v>
      </c>
      <c r="BD30" s="287" t="str">
        <f t="shared" si="4"/>
        <v>n2</v>
      </c>
      <c r="BE30" t="s">
        <v>1029</v>
      </c>
      <c r="BG30" s="332">
        <v>2019</v>
      </c>
      <c r="BH30" s="1364">
        <v>30.56982965875805</v>
      </c>
      <c r="BI30" s="1365">
        <v>24.669713611800503</v>
      </c>
      <c r="BJ30" s="268">
        <v>31.980297493595838</v>
      </c>
      <c r="BK30" s="268">
        <v>36.46764777270234</v>
      </c>
      <c r="BL30" s="268"/>
      <c r="BM30" s="24"/>
      <c r="BN30" s="268">
        <v>18.438060398142703</v>
      </c>
      <c r="BO30" s="268">
        <v>22.693455544104783</v>
      </c>
      <c r="BP30" s="268"/>
      <c r="BQ30" s="268">
        <v>0</v>
      </c>
      <c r="BR30" s="268">
        <v>28.12440071334408</v>
      </c>
      <c r="BS30" s="268">
        <v>28.30469088773622</v>
      </c>
      <c r="BT30" s="268">
        <v>28.28794120598946</v>
      </c>
      <c r="BU30" s="409">
        <v>29.345271222159678</v>
      </c>
      <c r="BW30" s="1366">
        <f t="shared" si="2"/>
        <v>0.6383814847938489</v>
      </c>
      <c r="BX30" s="332">
        <v>2019</v>
      </c>
      <c r="BY30" s="232">
        <v>146.745098</v>
      </c>
      <c r="BZ30" s="1357">
        <v>75.9</v>
      </c>
      <c r="CA30" s="232">
        <v>2.710165438947044</v>
      </c>
      <c r="CB30" s="1357">
        <v>79.94097117410924</v>
      </c>
      <c r="CC30" s="265">
        <f t="shared" si="3"/>
        <v>0.6383814847938489</v>
      </c>
      <c r="CD30" s="224">
        <f>НАСТРОЙКА!IX29</f>
        <v>9315.47943646637</v>
      </c>
      <c r="CE30" s="224">
        <v>5946.829594217968</v>
      </c>
      <c r="CF30" s="268">
        <f t="shared" si="0"/>
        <v>2.1487156906873497</v>
      </c>
      <c r="CG30" s="1358">
        <v>2.352309276176718</v>
      </c>
      <c r="CI30" s="268">
        <v>1.3249159206294971</v>
      </c>
      <c r="CJ30" s="265">
        <v>2.721622066394527</v>
      </c>
      <c r="CK30" s="1359">
        <f>РЕЗУЛЬТАТЫ!VQ37</f>
        <v>0</v>
      </c>
      <c r="CL30" s="232"/>
      <c r="CM30" s="268">
        <v>0</v>
      </c>
      <c r="CN30" s="1367">
        <v>3.7594795354810144</v>
      </c>
      <c r="CO30" s="265">
        <v>2.036464169559801</v>
      </c>
      <c r="CQ30" s="296"/>
    </row>
    <row r="31" ht="18" customHeight="1" spans="1:95" x14ac:dyDescent="0.25">
      <c r="A31" s="1383" t="s">
        <v>1017</v>
      </c>
      <c r="B31" s="1384"/>
      <c r="C31" s="315"/>
      <c r="E31" s="1335">
        <v>31</v>
      </c>
      <c r="F31" s="1348">
        <v>43940</v>
      </c>
      <c r="G31" s="1349" t="s">
        <v>772</v>
      </c>
      <c r="H31" s="187" t="s">
        <v>866</v>
      </c>
      <c r="I31" s="910" t="s">
        <v>1056</v>
      </c>
      <c r="J31" s="910"/>
      <c r="K31" s="910"/>
      <c r="L31" s="910"/>
      <c r="M31" s="910"/>
      <c r="N31" s="910"/>
      <c r="O31" s="1362">
        <f t="array" ref="O31:AL31">TRANSPOSE(ОТЧЁТ!$EG$136:$EG$159)</f>
        <v>1</v>
      </c>
      <c r="P31" s="268">
        <v>1.006</v>
      </c>
      <c r="Q31" s="268">
        <v>0.997952</v>
      </c>
      <c r="R31" s="268">
        <v>1.00294176</v>
      </c>
      <c r="S31" s="268">
        <v>0.9889005753599999</v>
      </c>
      <c r="T31" s="268">
        <v>1.00472298456576</v>
      </c>
      <c r="U31" s="268">
        <v>1.0238127212725092</v>
      </c>
      <c r="V31" s="268">
        <v>1.0320032230426892</v>
      </c>
      <c r="W31" s="268">
        <v>1.0330352262657319</v>
      </c>
      <c r="X31" s="268">
        <v>0.9183683161502356</v>
      </c>
      <c r="Y31" s="268">
        <v>0.7503069142947425</v>
      </c>
      <c r="Z31" s="268">
        <v>0.7375516967517318</v>
      </c>
      <c r="AA31" s="268">
        <v>0.7574655925640286</v>
      </c>
      <c r="AB31" s="268">
        <v>0.7468610742681322</v>
      </c>
      <c r="AC31" s="268">
        <v>0.6871121883266816</v>
      </c>
      <c r="AD31" s="268">
        <v>0.6836766273850482</v>
      </c>
      <c r="AE31" s="268">
        <v>0.6501764726431808</v>
      </c>
      <c r="AF31" s="268">
        <v>0.643674707916749</v>
      </c>
      <c r="AG31" s="268">
        <v>0.635950611421748</v>
      </c>
      <c r="AH31" s="268">
        <v>0.635950611421748</v>
      </c>
      <c r="AI31" s="268">
        <v>0.6175080436905173</v>
      </c>
      <c r="AJ31" s="268">
        <v>0.6236831241274224</v>
      </c>
      <c r="AK31" s="268">
        <v>0.6268015397480595</v>
      </c>
      <c r="AL31" s="268">
        <v>0.6550076090367222</v>
      </c>
      <c r="AM31" s="419">
        <f t="array" ref="AM31:BC31">TRANSPOSE(ОТЧЁТ!$EH$160:$EH$176)</f>
        <v>0.6818033748609517</v>
      </c>
      <c r="AN31" s="419">
        <v>0.7072593523939696</v>
      </c>
      <c r="AO31" s="419">
        <v>0.7314425310503367</v>
      </c>
      <c r="AP31" s="419">
        <v>0.7544165507738855</v>
      </c>
      <c r="AQ31" s="419">
        <v>0.7762418695112567</v>
      </c>
      <c r="AR31" s="419">
        <v>0.7969759223117594</v>
      </c>
      <c r="AS31" s="419">
        <v>0.816673272472237</v>
      </c>
      <c r="AT31" s="419">
        <v>0.8353857551246907</v>
      </c>
      <c r="AU31" s="419">
        <v>0.8531626136445217</v>
      </c>
      <c r="AV31" s="419">
        <v>0.8700506292383612</v>
      </c>
      <c r="AW31" s="419">
        <v>0.8860942440525087</v>
      </c>
      <c r="AX31" s="419">
        <v>0.9013356781259488</v>
      </c>
      <c r="AY31" s="419">
        <v>0.9158150404957169</v>
      </c>
      <c r="AZ31" s="419">
        <v>0.9295704347469966</v>
      </c>
      <c r="BA31" s="419">
        <v>0.9426380592857123</v>
      </c>
      <c r="BB31" s="419">
        <v>0.9550523025974922</v>
      </c>
      <c r="BC31" s="419">
        <v>0.966845833743683</v>
      </c>
      <c r="BD31" s="287" t="str">
        <f t="shared" si="4"/>
        <v>Pnk</v>
      </c>
      <c r="BE31" t="s">
        <v>1029</v>
      </c>
      <c r="BG31" s="332">
        <v>2020</v>
      </c>
      <c r="BH31" s="1364">
        <v>32.000596695003054</v>
      </c>
      <c r="BI31" s="1365">
        <v>25.9000669901399</v>
      </c>
      <c r="BJ31" s="268">
        <v>33.32843885563077</v>
      </c>
      <c r="BK31" s="268">
        <v>37.99106022803509</v>
      </c>
      <c r="BL31" s="268"/>
      <c r="BM31" s="24"/>
      <c r="BN31" s="268">
        <v>19.799322318991504</v>
      </c>
      <c r="BO31" s="268">
        <v>23.807704211320324</v>
      </c>
      <c r="BP31" s="268"/>
      <c r="BQ31" s="268">
        <v>0</v>
      </c>
      <c r="BR31" s="268">
        <v>28.998911158369268</v>
      </c>
      <c r="BS31" s="268">
        <v>29.498051210324068</v>
      </c>
      <c r="BT31" s="268">
        <v>30.295292486376674</v>
      </c>
      <c r="BU31" s="409">
        <v>30.69806148249516</v>
      </c>
      <c r="BW31" s="1366">
        <f t="shared" si="2"/>
        <v>0.6297136808012292</v>
      </c>
      <c r="BX31" s="332">
        <v>2020</v>
      </c>
      <c r="BY31" s="232">
        <v>146.7</v>
      </c>
      <c r="BZ31" s="1357">
        <v>77.751</v>
      </c>
      <c r="CA31" s="232">
        <v>4.042269076565674</v>
      </c>
      <c r="CB31" s="1357">
        <v>80.0193699815814</v>
      </c>
      <c r="CC31" s="265">
        <f t="shared" si="3"/>
        <v>0.6297136808012292</v>
      </c>
      <c r="CD31" s="224">
        <f>НАСТРОЙКА!IX30</f>
        <v>9701.563465887435</v>
      </c>
      <c r="CE31" s="224">
        <v>6109.207239630708</v>
      </c>
      <c r="CF31" s="268">
        <f t="shared" si="0"/>
        <v>2.2073861787158706</v>
      </c>
      <c r="CG31" s="1358">
        <v>2.447190847731953</v>
      </c>
      <c r="CI31" s="268">
        <v>1.342524810257228</v>
      </c>
      <c r="CJ31" s="265">
        <v>2.82012494029242</v>
      </c>
      <c r="CK31" s="1359">
        <f>РЕЗУЛЬТАТЫ!VQ38</f>
        <v>0</v>
      </c>
      <c r="CL31" s="232"/>
      <c r="CM31" s="268">
        <v>0</v>
      </c>
      <c r="CN31" s="1367">
        <v>3.878647499036463</v>
      </c>
      <c r="CO31" s="265">
        <v>2.087624775401549</v>
      </c>
      <c r="CQ31" s="296"/>
    </row>
    <row r="32" ht="18" customHeight="1" spans="1:95" x14ac:dyDescent="0.25">
      <c r="A32" s="682"/>
      <c r="B32" s="682"/>
      <c r="C32" s="682"/>
      <c r="D32" s="683"/>
      <c r="E32" s="1335"/>
      <c r="F32" s="1348">
        <v>44340</v>
      </c>
      <c r="G32" s="1349" t="s">
        <v>960</v>
      </c>
      <c r="H32" s="187" t="s">
        <v>866</v>
      </c>
      <c r="I32" s="910" t="s">
        <v>1057</v>
      </c>
      <c r="J32" s="910"/>
      <c r="K32" s="910"/>
      <c r="L32" s="910"/>
      <c r="M32" s="910"/>
      <c r="N32" s="910"/>
      <c r="O32" s="1376">
        <f t="array" ref="O32:AL32">TRANSPOSE(ОТЧЁТ!EE413:EE436)</f>
        <v>1</v>
      </c>
      <c r="P32" s="419">
        <v>1.0551238685898738</v>
      </c>
      <c r="Q32" s="419">
        <v>1.0637144494078237</v>
      </c>
      <c r="R32" s="419">
        <v>0.8831435098620776</v>
      </c>
      <c r="S32" s="419">
        <v>0.9435169819309864</v>
      </c>
      <c r="T32" s="419">
        <v>1.2247490822844354</v>
      </c>
      <c r="U32" s="419">
        <v>1.3476545615734206</v>
      </c>
      <c r="V32" s="419">
        <v>1.4665088426814834</v>
      </c>
      <c r="W32" s="419">
        <v>1.6632756085335</v>
      </c>
      <c r="X32" s="419">
        <v>1.8635096058631688</v>
      </c>
      <c r="Y32" s="419">
        <v>2.018480610292013</v>
      </c>
      <c r="Z32" s="419">
        <v>2.2752161070197054</v>
      </c>
      <c r="AA32" s="419">
        <v>2.574224804669774</v>
      </c>
      <c r="AB32" s="419">
        <v>2.7497210051148255</v>
      </c>
      <c r="AC32" s="419">
        <v>1.8560505362598563</v>
      </c>
      <c r="AD32" s="1363">
        <v>2.330390730221253</v>
      </c>
      <c r="AE32" s="419">
        <v>2.683219177751119</v>
      </c>
      <c r="AF32" s="419">
        <v>2.7827564782033063</v>
      </c>
      <c r="AG32" s="419">
        <v>2.7806418221752773</v>
      </c>
      <c r="AH32" s="419">
        <v>2.5425932511944835</v>
      </c>
      <c r="AI32" s="419">
        <v>2.1845595087999583</v>
      </c>
      <c r="AJ32" s="419">
        <v>2.1739835580660896</v>
      </c>
      <c r="AK32" s="419">
        <v>2.459327825213312</v>
      </c>
      <c r="AL32" s="419">
        <v>2.5430346985333676</v>
      </c>
      <c r="AM32" s="419">
        <f t="array" ref="AM32:BC32">TRANSPOSE(ОТЧЁТ!EH437:EH453)</f>
        <v>2.593258822525401</v>
      </c>
      <c r="AN32" s="419">
        <v>2.6233932969206215</v>
      </c>
      <c r="AO32" s="419">
        <v>2.6414739815577537</v>
      </c>
      <c r="AP32" s="419">
        <v>2.652322392340033</v>
      </c>
      <c r="AQ32" s="419">
        <v>2.658831438809401</v>
      </c>
      <c r="AR32" s="419">
        <v>2.662736866691022</v>
      </c>
      <c r="AS32" s="419">
        <v>2.6650801234199943</v>
      </c>
      <c r="AT32" s="419">
        <v>2.6664860774573778</v>
      </c>
      <c r="AU32" s="419">
        <v>2.667329649879808</v>
      </c>
      <c r="AV32" s="419">
        <v>2.667835793333266</v>
      </c>
      <c r="AW32" s="419">
        <v>2.668139479405341</v>
      </c>
      <c r="AX32" s="419">
        <v>2.6683216910485856</v>
      </c>
      <c r="AY32" s="419">
        <v>2.6684310180345325</v>
      </c>
      <c r="AZ32" s="419">
        <v>2.668496614226101</v>
      </c>
      <c r="BA32" s="419">
        <v>2.6685359719410418</v>
      </c>
      <c r="BB32" s="419">
        <v>2.6685595865700065</v>
      </c>
      <c r="BC32" s="419">
        <v>2.6685737553473854</v>
      </c>
      <c r="BD32" s="287" t="str">
        <f t="shared" si="4"/>
        <v>Pem</v>
      </c>
      <c r="BE32" t="s">
        <v>1029</v>
      </c>
      <c r="BG32" s="332">
        <v>2021</v>
      </c>
      <c r="BH32" s="1364">
        <v>34.39782652975321</v>
      </c>
      <c r="BI32" s="1365">
        <v>27.2144903396469</v>
      </c>
      <c r="BJ32" s="268">
        <v>36.28570647252964</v>
      </c>
      <c r="BK32" s="268">
        <v>41.24565009169172</v>
      </c>
      <c r="BL32" s="268"/>
      <c r="BM32" s="24"/>
      <c r="BN32" s="268">
        <v>20.147590934941082</v>
      </c>
      <c r="BO32" s="268">
        <v>24.99808942188634</v>
      </c>
      <c r="BP32" s="268"/>
      <c r="BQ32" s="268">
        <v>0</v>
      </c>
      <c r="BR32" s="268">
        <v>31.029391716287734</v>
      </c>
      <c r="BS32" s="268">
        <v>30.77295377084027</v>
      </c>
      <c r="BT32" s="268">
        <v>32.50839100920102</v>
      </c>
      <c r="BU32" s="409">
        <v>33.588137281422256</v>
      </c>
      <c r="BW32" s="1366">
        <f t="shared" si="2"/>
        <v>0.6324024605762724</v>
      </c>
      <c r="BX32" s="332">
        <v>2021</v>
      </c>
      <c r="BY32" s="232">
        <v>146.64</v>
      </c>
      <c r="BZ32" s="1357">
        <v>77.7192</v>
      </c>
      <c r="CA32" s="232">
        <v>3.092908785889705</v>
      </c>
      <c r="CB32" s="1357">
        <v>80.0913817731545</v>
      </c>
      <c r="CC32" s="265">
        <f t="shared" si="3"/>
        <v>0.6324024605762724</v>
      </c>
      <c r="CD32" s="224">
        <f>НАСТРОЙКА!IX31</f>
        <v>10100.449024754149</v>
      </c>
      <c r="CE32" s="224">
        <v>6387.548816179733</v>
      </c>
      <c r="CF32" s="268">
        <f t="shared" si="0"/>
        <v>2.307956895166708</v>
      </c>
      <c r="CG32" s="1358">
        <v>2.6098332246737077</v>
      </c>
      <c r="CI32" s="268">
        <v>1.442031647242126</v>
      </c>
      <c r="CJ32" s="265">
        <v>2.9876106811441123</v>
      </c>
      <c r="CK32" s="1359">
        <f>РЕЗУЛЬТАТЫ!VQ39</f>
        <v>0</v>
      </c>
      <c r="CL32" s="232"/>
      <c r="CM32" s="268">
        <v>0</v>
      </c>
      <c r="CN32" s="1367">
        <v>4.072630735052377</v>
      </c>
      <c r="CO32" s="265">
        <v>2.178091665845489</v>
      </c>
      <c r="CQ32" s="296"/>
    </row>
    <row r="33" ht="18" customHeight="1" spans="1:95" x14ac:dyDescent="0.25">
      <c r="A33" s="915" t="s">
        <v>1058</v>
      </c>
      <c r="B33" s="1385"/>
      <c r="C33" s="1385"/>
      <c r="D33" s="31"/>
      <c r="E33" s="1335">
        <v>33</v>
      </c>
      <c r="F33" s="1348">
        <v>43940</v>
      </c>
      <c r="G33" s="1349" t="s">
        <v>1059</v>
      </c>
      <c r="H33" s="187" t="s">
        <v>56</v>
      </c>
      <c r="I33" s="910" t="s">
        <v>1060</v>
      </c>
      <c r="J33" s="910"/>
      <c r="K33" s="910"/>
      <c r="L33" s="910"/>
      <c r="M33" s="910"/>
      <c r="N33" s="287"/>
      <c r="O33" s="1386">
        <f t="array" ref="O33:BC33">TRANSPOSE(CD6:CD46)</f>
        <v>5306</v>
      </c>
      <c r="P33" s="1351">
        <v>5300.694</v>
      </c>
      <c r="Q33" s="1351">
        <v>5279.491224</v>
      </c>
      <c r="R33" s="1351">
        <v>5263.652750328</v>
      </c>
      <c r="S33" s="1351">
        <v>5274.180055828657</v>
      </c>
      <c r="T33" s="1351">
        <v>5300.5509561078</v>
      </c>
      <c r="U33" s="1351">
        <v>5348.25591471277</v>
      </c>
      <c r="V33" s="1351">
        <v>5401.7384738598985</v>
      </c>
      <c r="W33" s="1351">
        <v>5471.961074020076</v>
      </c>
      <c r="X33" s="1351">
        <v>5559.512451204397</v>
      </c>
      <c r="Y33" s="1351">
        <v>5665.143187777281</v>
      </c>
      <c r="Z33" s="1351">
        <v>5801.106624283936</v>
      </c>
      <c r="AA33" s="1351">
        <v>5980.940929636738</v>
      </c>
      <c r="AB33" s="1351">
        <v>6196.25480310366</v>
      </c>
      <c r="AC33" s="1351">
        <v>6394.534956802978</v>
      </c>
      <c r="AD33" s="1351">
        <v>6586.371005507067</v>
      </c>
      <c r="AE33" s="1351">
        <v>6849.8258457273505</v>
      </c>
      <c r="AF33" s="1351">
        <v>7144.3683570936255</v>
      </c>
      <c r="AG33" s="1351">
        <v>7437.2874597344635</v>
      </c>
      <c r="AH33" s="1351">
        <v>7712.467095744638</v>
      </c>
      <c r="AI33" s="1351">
        <v>7959.266042808467</v>
      </c>
      <c r="AJ33" s="1351">
        <v>8269.677418477997</v>
      </c>
      <c r="AK33" s="1351">
        <v>8583.92516038016</v>
      </c>
      <c r="AL33" s="1351">
        <v>8944.450017116129</v>
      </c>
      <c r="AM33" s="1351">
        <v>9315.47943646637</v>
      </c>
      <c r="AN33" s="1351">
        <v>9701.563465887435</v>
      </c>
      <c r="AO33" s="1351">
        <v>10100.449024754149</v>
      </c>
      <c r="AP33" s="1351">
        <v>10526.2325363394</v>
      </c>
      <c r="AQ33" s="1351">
        <v>10976.127338183813</v>
      </c>
      <c r="AR33" s="1351">
        <v>11450.376438115263</v>
      </c>
      <c r="AS33" s="1351">
        <v>11948.374451382973</v>
      </c>
      <c r="AT33" s="1351">
        <v>12470.493165184831</v>
      </c>
      <c r="AU33" s="1351">
        <v>13017.144068658055</v>
      </c>
      <c r="AV33" s="1351">
        <v>13588.769822736602</v>
      </c>
      <c r="AW33" s="1351">
        <v>14185.83670455504</v>
      </c>
      <c r="AX33" s="1351">
        <v>14808.82788562779</v>
      </c>
      <c r="AY33" s="1351">
        <v>15458.237424001558</v>
      </c>
      <c r="AZ33" s="1351">
        <v>16134.564868588497</v>
      </c>
      <c r="BA33" s="1351">
        <v>16838.3103893536</v>
      </c>
      <c r="BB33" s="1351">
        <v>17569.97036030794</v>
      </c>
      <c r="BC33" s="1351">
        <v>18330.033333654035</v>
      </c>
      <c r="BD33" s="287" t="str">
        <f t="shared" si="4"/>
        <v>^FSt</v>
      </c>
      <c r="BE33" t="s">
        <v>1029</v>
      </c>
      <c r="BG33" s="332">
        <v>2022</v>
      </c>
      <c r="BH33" s="1364">
        <v>36.473917856240874</v>
      </c>
      <c r="BI33" s="1365">
        <v>28.594634856629245</v>
      </c>
      <c r="BJ33" s="268">
        <v>38.753581796906595</v>
      </c>
      <c r="BK33" s="268">
        <v>43.95725606721825</v>
      </c>
      <c r="BL33" s="268"/>
      <c r="BM33" s="24"/>
      <c r="BN33" s="268">
        <v>20.910602631688135</v>
      </c>
      <c r="BO33" s="268">
        <v>26.24799389298066</v>
      </c>
      <c r="BP33" s="268"/>
      <c r="BQ33" s="268">
        <v>0</v>
      </c>
      <c r="BR33" s="268">
        <v>32.60489630210212</v>
      </c>
      <c r="BS33" s="268">
        <v>32.111601459382285</v>
      </c>
      <c r="BT33" s="268">
        <v>34.90839768276339</v>
      </c>
      <c r="BU33" s="409">
        <v>35.99604338768981</v>
      </c>
      <c r="BW33" s="1366">
        <f t="shared" si="2"/>
        <v>0.6281964264244853</v>
      </c>
      <c r="BX33" s="332">
        <v>2022</v>
      </c>
      <c r="BY33" s="232">
        <v>146.55999999999997</v>
      </c>
      <c r="BZ33" s="1357">
        <v>77.67679999999999</v>
      </c>
      <c r="CA33" s="232">
        <v>2.3211689748205657</v>
      </c>
      <c r="CB33" s="1357">
        <v>81.91582001025247</v>
      </c>
      <c r="CC33" s="265">
        <f t="shared" si="3"/>
        <v>0.6281964264244853</v>
      </c>
      <c r="CD33" s="224">
        <f>НАСТРОЙКА!IX32</f>
        <v>10526.2325363394</v>
      </c>
      <c r="CE33" s="224">
        <v>6612.541663041557</v>
      </c>
      <c r="CF33" s="268">
        <f t="shared" si="0"/>
        <v>2.3892515838213932</v>
      </c>
      <c r="CG33" s="1358">
        <v>2.7413025217230254</v>
      </c>
      <c r="CI33" s="268">
        <v>1.5056835404483333</v>
      </c>
      <c r="CJ33" s="265">
        <v>3.1318358804286244</v>
      </c>
      <c r="CK33" s="1359">
        <f>РЕЗУЛЬТАТЫ!VQ40</f>
        <v>0</v>
      </c>
      <c r="CL33" s="232"/>
      <c r="CM33" s="268">
        <v>0</v>
      </c>
      <c r="CN33" s="1367">
        <v>4.233960130056751</v>
      </c>
      <c r="CO33" s="265">
        <v>2.2500009512133055</v>
      </c>
      <c r="CQ33" s="296"/>
    </row>
    <row r="34" ht="18" customHeight="1" spans="5:95" x14ac:dyDescent="0.25">
      <c r="E34" s="1335">
        <v>34</v>
      </c>
      <c r="F34" s="1348"/>
      <c r="G34" s="1349"/>
      <c r="H34" s="187"/>
      <c r="I34" s="910"/>
      <c r="J34" s="910"/>
      <c r="K34" s="910"/>
      <c r="L34" s="910"/>
      <c r="M34" s="910"/>
      <c r="N34" s="910"/>
      <c r="O34" s="1362"/>
      <c r="P34" s="419"/>
      <c r="Q34" s="419"/>
      <c r="R34" s="419"/>
      <c r="S34" s="419"/>
      <c r="T34" s="419"/>
      <c r="U34" s="419"/>
      <c r="V34" s="419"/>
      <c r="W34" s="419"/>
      <c r="X34" s="419"/>
      <c r="Y34" s="419"/>
      <c r="Z34" s="419"/>
      <c r="AA34" s="419"/>
      <c r="AB34" s="419"/>
      <c r="AC34" s="419"/>
      <c r="AD34" s="419"/>
      <c r="AE34" s="419"/>
      <c r="AF34" s="419"/>
      <c r="AG34" s="419"/>
      <c r="AH34" s="419"/>
      <c r="AI34" s="419"/>
      <c r="AJ34" s="419"/>
      <c r="AK34" s="419"/>
      <c r="AL34" s="419"/>
      <c r="AM34" s="419"/>
      <c r="AN34" s="419"/>
      <c r="AO34" s="419"/>
      <c r="AP34" s="419"/>
      <c r="AQ34" s="419"/>
      <c r="AR34" s="419"/>
      <c r="AS34" s="419"/>
      <c r="AT34" s="419"/>
      <c r="AU34" s="419"/>
      <c r="AV34" s="419"/>
      <c r="AW34" s="419"/>
      <c r="AX34" s="419"/>
      <c r="AY34" s="419"/>
      <c r="AZ34" s="419"/>
      <c r="BA34" s="419"/>
      <c r="BB34" s="419"/>
      <c r="BC34" s="419"/>
      <c r="BD34" s="287">
        <f t="shared" si="4"/>
        <v>0</v>
      </c>
      <c r="BG34" s="332">
        <v>2023</v>
      </c>
      <c r="BH34" s="1364">
        <v>38.65381374905292</v>
      </c>
      <c r="BI34" s="1365">
        <v>30.04378659946071</v>
      </c>
      <c r="BJ34" s="268">
        <v>41.37765791453212</v>
      </c>
      <c r="BK34" s="268">
        <v>46.83387043601107</v>
      </c>
      <c r="BL34" s="268"/>
      <c r="BM34" s="24"/>
      <c r="BN34" s="268">
        <v>21.70194341327254</v>
      </c>
      <c r="BO34" s="268">
        <v>27.560393587629694</v>
      </c>
      <c r="BP34" s="268"/>
      <c r="BQ34" s="268">
        <v>0</v>
      </c>
      <c r="BR34" s="268">
        <v>34.259176117207225</v>
      </c>
      <c r="BS34" s="268">
        <v>33.5171815323514</v>
      </c>
      <c r="BT34" s="268">
        <v>37.51247387012187</v>
      </c>
      <c r="BU34" s="409">
        <v>38.550476947177835</v>
      </c>
      <c r="BW34" s="1366">
        <f t="shared" si="2"/>
        <v>0.6226811324471899</v>
      </c>
      <c r="BX34" s="332">
        <v>2023</v>
      </c>
      <c r="BY34" s="232">
        <v>146.43999999999997</v>
      </c>
      <c r="BZ34" s="1357">
        <v>77.61319999999999</v>
      </c>
      <c r="CA34" s="232">
        <v>1.5415610800227313</v>
      </c>
      <c r="CB34" s="1357">
        <v>82.89689973122265</v>
      </c>
      <c r="CC34" s="265">
        <f t="shared" si="3"/>
        <v>0.6226811324471899</v>
      </c>
      <c r="CD34" s="224">
        <f>НАСТРОЙКА!IX33</f>
        <v>10976.127338183813</v>
      </c>
      <c r="CE34" s="224">
        <v>6834.6274008248565</v>
      </c>
      <c r="CF34" s="268">
        <f t="shared" si="0"/>
        <v>2.469495872293494</v>
      </c>
      <c r="CG34" s="1358">
        <v>2.8710731177143747</v>
      </c>
      <c r="CI34" s="268">
        <v>1.5695274698488424</v>
      </c>
      <c r="CJ34" s="265">
        <v>3.276816912164585</v>
      </c>
      <c r="CK34" s="1359">
        <f>РЕЗУЛЬТАТЫ!VQ41</f>
        <v>0</v>
      </c>
      <c r="CL34" s="232"/>
      <c r="CM34" s="268">
        <v>0</v>
      </c>
      <c r="CN34" s="1367">
        <v>4.394636763568665</v>
      </c>
      <c r="CO34" s="265">
        <v>2.3205957758083766</v>
      </c>
      <c r="CQ34" s="296"/>
    </row>
    <row r="35" ht="18" customHeight="1" spans="5:95" x14ac:dyDescent="0.25">
      <c r="E35" s="1335">
        <v>35</v>
      </c>
      <c r="F35" s="1348"/>
      <c r="G35" s="1349"/>
      <c r="H35" s="187"/>
      <c r="I35" s="910"/>
      <c r="J35" s="910"/>
      <c r="K35" s="910"/>
      <c r="L35" s="910"/>
      <c r="M35" s="910"/>
      <c r="N35" s="910"/>
      <c r="O35" s="1362"/>
      <c r="P35" s="419"/>
      <c r="Q35" s="419"/>
      <c r="R35" s="419"/>
      <c r="S35" s="419"/>
      <c r="T35" s="419"/>
      <c r="U35" s="419"/>
      <c r="V35" s="419"/>
      <c r="W35" s="419"/>
      <c r="X35" s="419"/>
      <c r="Y35" s="419"/>
      <c r="Z35" s="419"/>
      <c r="AA35" s="419"/>
      <c r="AB35" s="419"/>
      <c r="AC35" s="419"/>
      <c r="AD35" s="419"/>
      <c r="AE35" s="419"/>
      <c r="AF35" s="419"/>
      <c r="AG35" s="419"/>
      <c r="AH35" s="419"/>
      <c r="AI35" s="419"/>
      <c r="AJ35" s="419"/>
      <c r="AK35" s="419"/>
      <c r="AL35" s="419"/>
      <c r="AM35" s="419"/>
      <c r="AN35" s="419"/>
      <c r="AO35" s="419"/>
      <c r="AP35" s="419"/>
      <c r="AQ35" s="419"/>
      <c r="AR35" s="419"/>
      <c r="AS35" s="419"/>
      <c r="AT35" s="419"/>
      <c r="AU35" s="419"/>
      <c r="AV35" s="419"/>
      <c r="AW35" s="419"/>
      <c r="AX35" s="419"/>
      <c r="AY35" s="419"/>
      <c r="AZ35" s="419"/>
      <c r="BA35" s="419"/>
      <c r="BB35" s="419"/>
      <c r="BC35" s="419"/>
      <c r="BD35" s="287">
        <f t="shared" si="4"/>
        <v>0</v>
      </c>
      <c r="BG35" s="332">
        <v>2024</v>
      </c>
      <c r="BH35" s="1364">
        <v>40.942704436505565</v>
      </c>
      <c r="BI35" s="1365">
        <v>31.565395929433745</v>
      </c>
      <c r="BJ35" s="268">
        <v>44.16378316137025</v>
      </c>
      <c r="BK35" s="268">
        <v>49.88470596403679</v>
      </c>
      <c r="BL35" s="268"/>
      <c r="BM35" s="24"/>
      <c r="BN35" s="268">
        <v>22.52302973393617</v>
      </c>
      <c r="BO35" s="268">
        <v>28.938413267011178</v>
      </c>
      <c r="BP35" s="268"/>
      <c r="BQ35" s="268">
        <v>0</v>
      </c>
      <c r="BR35" s="268">
        <v>35.99616992306759</v>
      </c>
      <c r="BS35" s="268">
        <v>34.99304060896897</v>
      </c>
      <c r="BT35" s="268">
        <v>40.33944013792836</v>
      </c>
      <c r="BU35" s="409">
        <v>41.25961889606467</v>
      </c>
      <c r="BW35" s="1366">
        <f t="shared" si="2"/>
        <v>0.6164947311910577</v>
      </c>
      <c r="BX35" s="332">
        <v>2024</v>
      </c>
      <c r="BY35" s="232">
        <v>146.31999999999996</v>
      </c>
      <c r="BZ35" s="1357">
        <v>77.54959999999998</v>
      </c>
      <c r="CA35" s="232">
        <v>0.757039971475578</v>
      </c>
      <c r="CB35" s="1357">
        <v>83.89855076436079</v>
      </c>
      <c r="CC35" s="265">
        <f t="shared" si="3"/>
        <v>0.6164947311910577</v>
      </c>
      <c r="CD35" s="224">
        <f>НАСТРОЙКА!IX34</f>
        <v>11450.376438115263</v>
      </c>
      <c r="CE35" s="224">
        <v>7059.09674425229</v>
      </c>
      <c r="CF35" s="268">
        <f t="shared" si="0"/>
        <v>2.550601408051534</v>
      </c>
      <c r="CG35" s="1358">
        <v>3.0022365178008243</v>
      </c>
      <c r="CI35" s="268">
        <v>1.6347565687736516</v>
      </c>
      <c r="CJ35" s="265">
        <v>3.4250255201235156</v>
      </c>
      <c r="CK35" s="1359">
        <f>РЕЗУЛЬТАТЫ!VQ42</f>
        <v>0</v>
      </c>
      <c r="CL35" s="232"/>
      <c r="CM35" s="268">
        <v>0</v>
      </c>
      <c r="CN35" s="1367">
        <v>4.558053268608086</v>
      </c>
      <c r="CO35" s="265">
        <v>2.3916750188928955</v>
      </c>
      <c r="CQ35" s="296"/>
    </row>
    <row r="36" ht="18" customHeight="1" spans="5:95" x14ac:dyDescent="0.25">
      <c r="E36" s="1335">
        <v>36</v>
      </c>
      <c r="F36" s="1348"/>
      <c r="G36" s="1349"/>
      <c r="H36" s="187"/>
      <c r="I36" s="910"/>
      <c r="J36" s="910"/>
      <c r="K36" s="910"/>
      <c r="L36" s="910"/>
      <c r="M36" s="910"/>
      <c r="N36" s="910"/>
      <c r="O36" s="1362"/>
      <c r="P36" s="419"/>
      <c r="Q36" s="419"/>
      <c r="R36" s="419"/>
      <c r="S36" s="419"/>
      <c r="T36" s="419"/>
      <c r="U36" s="419"/>
      <c r="V36" s="419"/>
      <c r="W36" s="419"/>
      <c r="X36" s="419"/>
      <c r="Y36" s="419"/>
      <c r="Z36" s="419"/>
      <c r="AA36" s="419"/>
      <c r="AB36" s="419"/>
      <c r="AC36" s="419"/>
      <c r="AD36" s="1363"/>
      <c r="AE36" s="419"/>
      <c r="AF36" s="419"/>
      <c r="AG36" s="419"/>
      <c r="AH36" s="419"/>
      <c r="AI36" s="419"/>
      <c r="AJ36" s="419"/>
      <c r="AK36" s="419"/>
      <c r="AL36" s="419"/>
      <c r="AM36" s="419"/>
      <c r="AN36" s="419"/>
      <c r="AO36" s="419"/>
      <c r="AP36" s="419"/>
      <c r="AQ36" s="419"/>
      <c r="AR36" s="419"/>
      <c r="AS36" s="419"/>
      <c r="AT36" s="419"/>
      <c r="AU36" s="419"/>
      <c r="AV36" s="419"/>
      <c r="AW36" s="419"/>
      <c r="AX36" s="419"/>
      <c r="AY36" s="419"/>
      <c r="AZ36" s="419"/>
      <c r="BA36" s="419"/>
      <c r="BB36" s="419"/>
      <c r="BC36" s="419"/>
      <c r="BD36" s="287">
        <f t="shared" si="4"/>
        <v>0</v>
      </c>
      <c r="BE36" t="s">
        <v>1029</v>
      </c>
      <c r="BG36" s="332">
        <v>2025</v>
      </c>
      <c r="BH36" s="1364">
        <v>43.346039658330845</v>
      </c>
      <c r="BI36" s="1365">
        <v>33.16308572590544</v>
      </c>
      <c r="BJ36" s="268">
        <v>47.11927477937799</v>
      </c>
      <c r="BK36" s="268">
        <v>53.11928908381671</v>
      </c>
      <c r="BL36" s="268"/>
      <c r="BM36" s="24"/>
      <c r="BN36" s="268">
        <v>23.375348870632976</v>
      </c>
      <c r="BO36" s="268">
        <v>30.38533393036174</v>
      </c>
      <c r="BP36" s="268"/>
      <c r="BQ36" s="268">
        <v>0</v>
      </c>
      <c r="BR36" s="268">
        <v>37.82001341922097</v>
      </c>
      <c r="BS36" s="268">
        <v>36.54269263941742</v>
      </c>
      <c r="BT36" s="268">
        <v>43.40994133299096</v>
      </c>
      <c r="BU36" s="409">
        <v>44.13192870642924</v>
      </c>
      <c r="BW36" s="1366">
        <f t="shared" si="2"/>
        <v>0.6100750717867982</v>
      </c>
      <c r="BX36" s="332">
        <v>2025</v>
      </c>
      <c r="BY36" s="232">
        <v>146.15999999999997</v>
      </c>
      <c r="BZ36" s="1357">
        <v>77.46479999999998</v>
      </c>
      <c r="CA36" s="232">
        <v>-0.06539111922477048</v>
      </c>
      <c r="CB36" s="1357">
        <v>84.91977961666092</v>
      </c>
      <c r="CC36" s="265">
        <f t="shared" si="3"/>
        <v>0.6100750717867982</v>
      </c>
      <c r="CD36" s="224">
        <f>НАСТРОЙКА!IX35</f>
        <v>11948.374451382973</v>
      </c>
      <c r="CE36" s="224">
        <v>7289.405401163013</v>
      </c>
      <c r="CF36" s="268">
        <f t="shared" si="0"/>
        <v>2.633816811648495</v>
      </c>
      <c r="CG36" s="1358">
        <v>3.136811983868953</v>
      </c>
      <c r="CI36" s="268">
        <v>1.7021685764197234</v>
      </c>
      <c r="CJ36" s="265">
        <v>3.5781337236652386</v>
      </c>
      <c r="CK36" s="1359">
        <f>РЕЗУЛЬТАТЫ!VQ43</f>
        <v>0</v>
      </c>
      <c r="CL36" s="232"/>
      <c r="CM36" s="268">
        <v>0</v>
      </c>
      <c r="CN36" s="1367">
        <v>4.72646966685831</v>
      </c>
      <c r="CO36" s="265">
        <v>2.4644017832794307</v>
      </c>
      <c r="CQ36" s="296"/>
    </row>
    <row r="37" ht="18" customHeight="1" spans="5:95" x14ac:dyDescent="0.25">
      <c r="E37" s="1335">
        <v>37</v>
      </c>
      <c r="F37" s="1348"/>
      <c r="G37" s="1349"/>
      <c r="H37" s="187"/>
      <c r="I37" s="910"/>
      <c r="J37" s="910"/>
      <c r="K37" s="910"/>
      <c r="L37" s="910"/>
      <c r="M37" s="910"/>
      <c r="N37" s="910"/>
      <c r="O37" s="1362"/>
      <c r="P37" s="419"/>
      <c r="Q37" s="419"/>
      <c r="R37" s="419"/>
      <c r="S37" s="419"/>
      <c r="T37" s="419"/>
      <c r="U37" s="419"/>
      <c r="V37" s="419"/>
      <c r="W37" s="419"/>
      <c r="X37" s="419"/>
      <c r="Y37" s="419"/>
      <c r="Z37" s="419"/>
      <c r="AA37" s="419"/>
      <c r="AB37" s="419"/>
      <c r="AC37" s="419"/>
      <c r="AD37" s="1363"/>
      <c r="AE37" s="419"/>
      <c r="AF37" s="419"/>
      <c r="AG37" s="419"/>
      <c r="AH37" s="419"/>
      <c r="AI37" s="419"/>
      <c r="AJ37" s="419"/>
      <c r="AK37" s="419"/>
      <c r="AL37" s="419"/>
      <c r="AM37" s="419"/>
      <c r="AN37" s="419"/>
      <c r="AO37" s="419"/>
      <c r="AP37" s="419"/>
      <c r="AQ37" s="419"/>
      <c r="AR37" s="419"/>
      <c r="AS37" s="419"/>
      <c r="AT37" s="419"/>
      <c r="AU37" s="419"/>
      <c r="AV37" s="419"/>
      <c r="AW37" s="419"/>
      <c r="AX37" s="419"/>
      <c r="AY37" s="419"/>
      <c r="AZ37" s="419"/>
      <c r="BA37" s="419"/>
      <c r="BB37" s="419"/>
      <c r="BC37" s="419"/>
      <c r="BD37" s="287">
        <f t="shared" si="4"/>
        <v>0</v>
      </c>
      <c r="BE37" t="s">
        <v>1029</v>
      </c>
      <c r="BG37" s="332">
        <v>2026</v>
      </c>
      <c r="BH37" s="1364">
        <v>45.86954164124739</v>
      </c>
      <c r="BI37" s="1365">
        <v>34.84066001220071</v>
      </c>
      <c r="BJ37" s="268">
        <v>50.252435090880134</v>
      </c>
      <c r="BK37" s="268">
        <v>56.547534530807</v>
      </c>
      <c r="BL37" s="268"/>
      <c r="BM37" s="24"/>
      <c r="BN37" s="268">
        <v>24.260462464164625</v>
      </c>
      <c r="BO37" s="268">
        <v>31.904600626879827</v>
      </c>
      <c r="BP37" s="268"/>
      <c r="BQ37" s="268">
        <v>0</v>
      </c>
      <c r="BR37" s="268">
        <v>39.735049090182024</v>
      </c>
      <c r="BS37" s="268">
        <v>38.16982727138829</v>
      </c>
      <c r="BT37" s="268">
        <v>46.746628329593726</v>
      </c>
      <c r="BU37" s="409">
        <v>47.17621066335662</v>
      </c>
      <c r="BW37" s="1366">
        <f t="shared" si="2"/>
        <v>0.603656387780898</v>
      </c>
      <c r="BX37" s="332">
        <v>2026</v>
      </c>
      <c r="BY37" s="232">
        <v>145.99999999999997</v>
      </c>
      <c r="BZ37" s="1357">
        <v>77.38</v>
      </c>
      <c r="CA37" s="232">
        <v>-0.9124076980468914</v>
      </c>
      <c r="CB37" s="1357">
        <v>85.9595949391839</v>
      </c>
      <c r="CC37" s="265">
        <f t="shared" si="3"/>
        <v>0.603656387780898</v>
      </c>
      <c r="CD37" s="224">
        <f>НАСТРОЙКА!IX36</f>
        <v>12470.493165184831</v>
      </c>
      <c r="CE37" s="224">
        <v>7527.8928579418525</v>
      </c>
      <c r="CF37" s="268">
        <f t="shared" si="0"/>
        <v>2.719987389145966</v>
      </c>
      <c r="CG37" s="1358">
        <v>3.2761665399586812</v>
      </c>
      <c r="CI37" s="268">
        <v>1.7723199006893267</v>
      </c>
      <c r="CJ37" s="265">
        <v>3.7373233083186994</v>
      </c>
      <c r="CK37" s="1359">
        <f>РЕЗУЛЬТАТЫ!VQ44</f>
        <v>0</v>
      </c>
      <c r="CL37" s="232"/>
      <c r="CM37" s="268">
        <v>0</v>
      </c>
      <c r="CN37" s="1367">
        <v>4.9014565702932025</v>
      </c>
      <c r="CO37" s="265">
        <v>2.539552554767217</v>
      </c>
      <c r="CQ37" s="296"/>
    </row>
    <row r="38" ht="18" customHeight="1" spans="5:95" x14ac:dyDescent="0.25">
      <c r="E38" s="1335">
        <v>38</v>
      </c>
      <c r="F38" s="1387"/>
      <c r="G38" s="1349"/>
      <c r="H38" s="187"/>
      <c r="I38" s="910"/>
      <c r="J38" s="910"/>
      <c r="K38" s="910"/>
      <c r="L38" s="910"/>
      <c r="M38" s="910"/>
      <c r="N38" s="910"/>
      <c r="O38" s="1371"/>
      <c r="P38" s="419"/>
      <c r="Q38" s="419"/>
      <c r="R38" s="419"/>
      <c r="S38" s="419"/>
      <c r="T38" s="419"/>
      <c r="U38" s="419"/>
      <c r="V38" s="419"/>
      <c r="W38" s="419"/>
      <c r="X38" s="419"/>
      <c r="Y38" s="419"/>
      <c r="Z38" s="419"/>
      <c r="AA38" s="419"/>
      <c r="AB38" s="419"/>
      <c r="AC38" s="419"/>
      <c r="AD38" s="1363"/>
      <c r="AE38" s="419"/>
      <c r="AF38" s="419"/>
      <c r="AG38" s="419"/>
      <c r="AH38" s="419"/>
      <c r="AI38" s="419"/>
      <c r="AJ38" s="419"/>
      <c r="AK38" s="419"/>
      <c r="AL38" s="419"/>
      <c r="AM38" s="419"/>
      <c r="AN38" s="419"/>
      <c r="AO38" s="419"/>
      <c r="AP38" s="419"/>
      <c r="AQ38" s="419"/>
      <c r="AR38" s="419"/>
      <c r="AS38" s="419"/>
      <c r="AT38" s="419"/>
      <c r="AU38" s="419"/>
      <c r="AV38" s="419"/>
      <c r="AW38" s="419"/>
      <c r="AX38" s="419"/>
      <c r="AY38" s="419"/>
      <c r="AZ38" s="419"/>
      <c r="BA38" s="419"/>
      <c r="BB38" s="419"/>
      <c r="BC38" s="419"/>
      <c r="BD38" s="287">
        <f>G38</f>
        <v>0</v>
      </c>
      <c r="BE38" t="s">
        <v>1029</v>
      </c>
      <c r="BG38" s="332">
        <v>2027</v>
      </c>
      <c r="BH38" s="1364">
        <v>48.51921872330976</v>
      </c>
      <c r="BI38" s="1365">
        <v>36.60211301281075</v>
      </c>
      <c r="BJ38" s="268">
        <v>53.57230599888103</v>
      </c>
      <c r="BK38" s="268">
        <v>60.17979933151892</v>
      </c>
      <c r="BL38" s="268"/>
      <c r="BM38" s="24"/>
      <c r="BN38" s="268">
        <v>25.18001023737286</v>
      </c>
      <c r="BO38" s="268">
        <v>33.49983065822382</v>
      </c>
      <c r="BP38" s="268"/>
      <c r="BQ38" s="268">
        <v>0</v>
      </c>
      <c r="BR38" s="268">
        <v>41.74583654469112</v>
      </c>
      <c r="BS38" s="268">
        <v>39.87831863495771</v>
      </c>
      <c r="BT38" s="268">
        <v>50.37435814384684</v>
      </c>
      <c r="BU38" s="409">
        <v>50.40166180638881</v>
      </c>
      <c r="BW38" s="1366">
        <f t="shared" si="2"/>
        <v>0.5973832629095168</v>
      </c>
      <c r="BX38" s="332">
        <v>2027</v>
      </c>
      <c r="BY38" s="232">
        <v>145.83999999999997</v>
      </c>
      <c r="BZ38" s="1357">
        <v>77.2952</v>
      </c>
      <c r="CA38" s="232">
        <v>-1.7895129729460848</v>
      </c>
      <c r="CB38" s="1357">
        <v>87.01700617028455</v>
      </c>
      <c r="CC38" s="265">
        <f t="shared" si="3"/>
        <v>0.5973832629095168</v>
      </c>
      <c r="CD38" s="224">
        <f>НАСТРОЙКА!IX37</f>
        <v>13017.144068658055</v>
      </c>
      <c r="CE38" s="224">
        <v>7776.223997498215</v>
      </c>
      <c r="CF38" s="268">
        <f t="shared" si="0"/>
        <v>2.8097146980585723</v>
      </c>
      <c r="CG38" s="1358">
        <v>3.4212730213793145</v>
      </c>
      <c r="CI38" s="268">
        <v>1.8456209985557013</v>
      </c>
      <c r="CJ38" s="265">
        <v>3.90347853135344</v>
      </c>
      <c r="CK38" s="1359">
        <f>РЕЗУЛЬТАТЫ!VQ45</f>
        <v>0</v>
      </c>
      <c r="CL38" s="232"/>
      <c r="CM38" s="268">
        <v>0</v>
      </c>
      <c r="CN38" s="1367">
        <v>5.08416882714889</v>
      </c>
      <c r="CO38" s="265">
        <v>2.617669922346035</v>
      </c>
      <c r="CQ38" s="296"/>
    </row>
    <row r="39" ht="18" customHeight="1" spans="5:95" x14ac:dyDescent="0.25">
      <c r="E39" s="1335">
        <v>39</v>
      </c>
      <c r="F39" s="1348"/>
      <c r="G39" s="1349"/>
      <c r="H39" s="187"/>
      <c r="I39" s="910"/>
      <c r="J39" s="910"/>
      <c r="K39" s="910"/>
      <c r="L39" s="910"/>
      <c r="M39" s="910"/>
      <c r="N39" s="910"/>
      <c r="O39" s="1362"/>
      <c r="P39" s="419"/>
      <c r="Q39" s="419"/>
      <c r="R39" s="419"/>
      <c r="S39" s="419"/>
      <c r="T39" s="419"/>
      <c r="U39" s="419"/>
      <c r="V39" s="419"/>
      <c r="W39" s="419"/>
      <c r="X39" s="419"/>
      <c r="Y39" s="419"/>
      <c r="Z39" s="419"/>
      <c r="AA39" s="419"/>
      <c r="AB39" s="419"/>
      <c r="AC39" s="419"/>
      <c r="AD39" s="1363"/>
      <c r="AE39" s="419"/>
      <c r="AF39" s="419"/>
      <c r="AG39" s="419"/>
      <c r="AH39" s="419"/>
      <c r="AI39" s="419"/>
      <c r="AJ39" s="419"/>
      <c r="AK39" s="419"/>
      <c r="AL39" s="419"/>
      <c r="AM39" s="419"/>
      <c r="AN39" s="419"/>
      <c r="AO39" s="419"/>
      <c r="AP39" s="419"/>
      <c r="AQ39" s="419"/>
      <c r="AR39" s="419"/>
      <c r="AS39" s="419"/>
      <c r="AT39" s="265"/>
      <c r="AU39" s="265"/>
      <c r="AV39" s="265"/>
      <c r="AW39" s="265"/>
      <c r="AX39" s="265"/>
      <c r="AY39" s="265"/>
      <c r="AZ39" s="265"/>
      <c r="BA39" s="265"/>
      <c r="BB39" s="265"/>
      <c r="BC39" s="265"/>
      <c r="BD39" s="287">
        <f t="shared" si="4"/>
        <v>0</v>
      </c>
      <c r="BG39" s="332">
        <v>2028</v>
      </c>
      <c r="BH39" s="1364">
        <v>51.30137965947526</v>
      </c>
      <c r="BI39" s="1365">
        <v>38.45163866345129</v>
      </c>
      <c r="BJ39" s="268">
        <v>57.08855039167373</v>
      </c>
      <c r="BK39" s="268">
        <v>64.02692557712955</v>
      </c>
      <c r="BL39" s="268"/>
      <c r="BM39" s="24"/>
      <c r="BN39" s="268">
        <v>26.1357138992415</v>
      </c>
      <c r="BO39" s="268">
        <v>35.174822191135014</v>
      </c>
      <c r="BP39" s="268"/>
      <c r="BQ39" s="268">
        <v>0</v>
      </c>
      <c r="BR39" s="268">
        <v>43.85716337192569</v>
      </c>
      <c r="BS39" s="268">
        <v>41.6722345667056</v>
      </c>
      <c r="BT39" s="268">
        <v>54.32041428458438</v>
      </c>
      <c r="BU39" s="409">
        <v>53.81790991249104</v>
      </c>
      <c r="BW39" s="1366">
        <f t="shared" si="2"/>
        <v>0.5913457101038042</v>
      </c>
      <c r="BX39" s="332">
        <v>2028</v>
      </c>
      <c r="BY39" s="232">
        <v>145.67999999999998</v>
      </c>
      <c r="BZ39" s="1357">
        <v>77.21039999999999</v>
      </c>
      <c r="CA39" s="232">
        <v>-2.7007881812319994</v>
      </c>
      <c r="CB39" s="1357">
        <v>88.09102250992701</v>
      </c>
      <c r="CC39" s="265">
        <f t="shared" si="3"/>
        <v>0.5913457101038042</v>
      </c>
      <c r="CD39" s="224">
        <f>НАСТРОЙКА!IX38</f>
        <v>13588.769822736602</v>
      </c>
      <c r="CE39" s="224">
        <v>8035.660740263319</v>
      </c>
      <c r="CF39" s="268">
        <f t="shared" si="0"/>
        <v>2.903454697008972</v>
      </c>
      <c r="CG39" s="1358">
        <v>3.5728688017600136</v>
      </c>
      <c r="CI39" s="268">
        <v>1.9223955088928635</v>
      </c>
      <c r="CJ39" s="265">
        <v>4.077306260656329</v>
      </c>
      <c r="CK39" s="1359">
        <f>РЕЗУЛЬТАТЫ!VQ46</f>
        <v>0</v>
      </c>
      <c r="CL39" s="232"/>
      <c r="CM39" s="268">
        <v>0</v>
      </c>
      <c r="CN39" s="1367">
        <v>5.275514739074813</v>
      </c>
      <c r="CO39" s="265">
        <v>2.6991562757578107</v>
      </c>
      <c r="CQ39" s="296"/>
    </row>
    <row r="40" ht="18.5" customHeight="1" spans="5:95" x14ac:dyDescent="0.25">
      <c r="E40" s="1335">
        <v>40</v>
      </c>
      <c r="F40" s="1348"/>
      <c r="G40" s="1349"/>
      <c r="H40" s="187"/>
      <c r="I40" s="910"/>
      <c r="J40" s="910"/>
      <c r="K40" s="910"/>
      <c r="L40" s="910"/>
      <c r="M40" s="910"/>
      <c r="N40" s="910"/>
      <c r="O40" s="1362"/>
      <c r="P40" s="419"/>
      <c r="Q40" s="419"/>
      <c r="R40" s="419"/>
      <c r="S40" s="419"/>
      <c r="T40" s="419"/>
      <c r="U40" s="419"/>
      <c r="V40" s="419"/>
      <c r="W40" s="419"/>
      <c r="X40" s="419"/>
      <c r="Y40" s="419"/>
      <c r="Z40" s="419"/>
      <c r="AA40" s="419"/>
      <c r="AB40" s="419"/>
      <c r="AC40" s="419"/>
      <c r="AD40" s="1363"/>
      <c r="AE40" s="419"/>
      <c r="AF40" s="419"/>
      <c r="AG40" s="419"/>
      <c r="AH40" s="419"/>
      <c r="AI40" s="419"/>
      <c r="AJ40" s="419"/>
      <c r="AK40" s="419"/>
      <c r="AL40" s="419"/>
      <c r="AM40" s="419"/>
      <c r="AN40" s="419"/>
      <c r="AO40" s="419"/>
      <c r="AP40" s="419"/>
      <c r="AQ40" s="419"/>
      <c r="AR40" s="419"/>
      <c r="AS40" s="419"/>
      <c r="AT40" s="265"/>
      <c r="AU40" s="265"/>
      <c r="AV40" s="265"/>
      <c r="AW40" s="265"/>
      <c r="AX40" s="265"/>
      <c r="AY40" s="265"/>
      <c r="AZ40" s="265"/>
      <c r="BA40" s="265"/>
      <c r="BB40" s="265"/>
      <c r="BC40" s="265"/>
      <c r="BD40" s="287">
        <f t="shared" si="4"/>
        <v>0</v>
      </c>
      <c r="BG40" s="332">
        <v>2029</v>
      </c>
      <c r="BH40" s="1364">
        <v>54.22264864244902</v>
      </c>
      <c r="BI40" s="1365">
        <v>40.393640596623854</v>
      </c>
      <c r="BJ40" s="268">
        <v>60.81140142212709</v>
      </c>
      <c r="BK40" s="268">
        <v>68.10027728731072</v>
      </c>
      <c r="BL40" s="268"/>
      <c r="BM40" s="24"/>
      <c r="BN40" s="268">
        <v>27.12938124420358</v>
      </c>
      <c r="BO40" s="268">
        <v>36.933563300691766</v>
      </c>
      <c r="BP40" s="268"/>
      <c r="BQ40" s="268">
        <v>0</v>
      </c>
      <c r="BR40" s="268">
        <v>46.07405654052197</v>
      </c>
      <c r="BS40" s="268">
        <v>43.55584629504088</v>
      </c>
      <c r="BT40" s="268">
        <v>58.61474940129718</v>
      </c>
      <c r="BU40" s="409">
        <v>57.43504623113192</v>
      </c>
      <c r="BW40" s="1366">
        <f t="shared" si="2"/>
        <v>0.5856002424023217</v>
      </c>
      <c r="BX40" s="332">
        <v>2029</v>
      </c>
      <c r="BY40" s="232">
        <v>145.49999999999997</v>
      </c>
      <c r="BZ40" s="1357">
        <v>77.115</v>
      </c>
      <c r="CA40" s="232">
        <v>-3.660076420358351</v>
      </c>
      <c r="CB40" s="1357">
        <v>89.18065218920745</v>
      </c>
      <c r="CC40" s="265">
        <f t="shared" si="3"/>
        <v>0.5856002424023217</v>
      </c>
      <c r="CD40" s="224">
        <f>НАСТРОЙКА!IX39</f>
        <v>14185.83670455504</v>
      </c>
      <c r="CE40" s="224">
        <v>8307.229412867184</v>
      </c>
      <c r="CF40" s="268">
        <f t="shared" si="0"/>
        <v>3.001578219581472</v>
      </c>
      <c r="CG40" s="1358">
        <v>3.731553591013659</v>
      </c>
      <c r="CI40" s="268">
        <v>2.002916988458954</v>
      </c>
      <c r="CJ40" s="265">
        <v>4.2594110227937145</v>
      </c>
      <c r="CK40" s="1359">
        <f>РЕЗУЛЬТАТЫ!VQ47</f>
        <v>0</v>
      </c>
      <c r="CL40" s="232"/>
      <c r="CM40" s="268">
        <v>0</v>
      </c>
      <c r="CN40" s="1367">
        <v>5.476260946420598</v>
      </c>
      <c r="CO40" s="265">
        <v>2.7843313683147004</v>
      </c>
      <c r="CQ40" s="296"/>
    </row>
    <row r="41" ht="18.5" customHeight="1" spans="1:95" x14ac:dyDescent="0.25">
      <c r="A41" s="1347" t="s">
        <v>1017</v>
      </c>
      <c r="E41" s="1335">
        <v>41</v>
      </c>
      <c r="F41" s="1348">
        <v>43940</v>
      </c>
      <c r="G41" s="1349" t="s">
        <v>1061</v>
      </c>
      <c r="H41" s="187" t="s">
        <v>866</v>
      </c>
      <c r="I41" s="910" t="s">
        <v>1062</v>
      </c>
      <c r="J41" s="910"/>
      <c r="K41" s="910"/>
      <c r="L41" s="910"/>
      <c r="M41" s="910"/>
      <c r="N41" s="910"/>
      <c r="O41" s="1368">
        <v>0.5216020542781756</v>
      </c>
      <c r="P41" s="419">
        <v>0.5075047014598465</v>
      </c>
      <c r="Q41" s="419">
        <v>0.5166764731729763</v>
      </c>
      <c r="R41" s="419">
        <v>0.4918013771726725</v>
      </c>
      <c r="S41" s="419">
        <v>0.5192872824837201</v>
      </c>
      <c r="T41" s="419">
        <v>0.5652739174499402</v>
      </c>
      <c r="U41" s="419">
        <v>0.587683190688788</v>
      </c>
      <c r="V41" s="419">
        <v>0.6074665852268265</v>
      </c>
      <c r="W41" s="419">
        <v>0.6452458496585047</v>
      </c>
      <c r="X41" s="419">
        <v>0.6858912575110089</v>
      </c>
      <c r="Y41" s="419">
        <v>0.7114691454260414</v>
      </c>
      <c r="Z41" s="419">
        <v>0.7566307611024992</v>
      </c>
      <c r="AA41" s="419">
        <v>0.7984619477007946</v>
      </c>
      <c r="AB41" s="1388">
        <v>0.8092519740210756</v>
      </c>
      <c r="AC41" s="419">
        <v>0.7261311317282132</v>
      </c>
      <c r="AD41" s="1363">
        <v>0.7402307653540036</v>
      </c>
      <c r="AE41" s="419">
        <v>0.7423660464079095</v>
      </c>
      <c r="AF41" s="419">
        <v>0.7395190050027017</v>
      </c>
      <c r="AG41" s="419">
        <v>0.7253111470775779</v>
      </c>
      <c r="AH41" s="419">
        <v>0.7050276145170672</v>
      </c>
      <c r="AI41" s="419">
        <v>0.6742851313259158</v>
      </c>
      <c r="AJ41" s="419">
        <v>0.6567628035628748</v>
      </c>
      <c r="AK41" s="419">
        <v>0.6485374505317406</v>
      </c>
      <c r="AL41" s="419">
        <v>0.6379567051775759</v>
      </c>
      <c r="AM41" s="419"/>
      <c r="AN41" s="419"/>
      <c r="AO41" s="419"/>
      <c r="AP41" s="419"/>
      <c r="AQ41" s="419"/>
      <c r="AR41" s="419"/>
      <c r="AS41" s="419"/>
      <c r="AT41" s="265"/>
      <c r="AU41" s="265"/>
      <c r="AV41" s="265"/>
      <c r="AW41" s="265"/>
      <c r="AX41" s="265"/>
      <c r="AY41" s="265"/>
      <c r="AZ41" s="265"/>
      <c r="BA41" s="265"/>
      <c r="BB41" s="265"/>
      <c r="BC41" s="265"/>
      <c r="BD41" s="287" t="str">
        <f t="shared" si="4"/>
        <v>^fOS</v>
      </c>
      <c r="BG41" s="332">
        <v>2030</v>
      </c>
      <c r="BH41" s="1364">
        <v>57.28998107457148</v>
      </c>
      <c r="BI41" s="1365">
        <v>42.432742626455045</v>
      </c>
      <c r="BJ41" s="268">
        <v>64.75164840828636</v>
      </c>
      <c r="BK41" s="268">
        <v>72.41177448191641</v>
      </c>
      <c r="BL41" s="268"/>
      <c r="BM41" s="24"/>
      <c r="BN41" s="268">
        <v>28.16291045641375</v>
      </c>
      <c r="BO41" s="268">
        <v>38.780241465726355</v>
      </c>
      <c r="BP41" s="268"/>
      <c r="BQ41" s="268">
        <v>0</v>
      </c>
      <c r="BR41" s="268">
        <v>48.40179436754807</v>
      </c>
      <c r="BS41" s="268">
        <v>45.53363860979292</v>
      </c>
      <c r="BT41" s="268">
        <v>63.29025250010019</v>
      </c>
      <c r="BU41" s="409">
        <v>61.26365573994178</v>
      </c>
      <c r="BW41" s="1366">
        <f t="shared" si="2"/>
        <v>0.5801825912411898</v>
      </c>
      <c r="BX41" s="332">
        <v>2030</v>
      </c>
      <c r="BY41" s="232">
        <v>145.31999999999996</v>
      </c>
      <c r="BZ41" s="1357">
        <v>77.01959999999998</v>
      </c>
      <c r="CA41" s="232">
        <v>-4.659542040078733</v>
      </c>
      <c r="CB41" s="1357">
        <v>90.28490200272066</v>
      </c>
      <c r="CC41" s="265">
        <f t="shared" si="3"/>
        <v>0.5801825912411898</v>
      </c>
      <c r="CD41" s="224">
        <f>НАСТРОЙКА!IX40</f>
        <v>14808.82788562779</v>
      </c>
      <c r="CE41" s="224">
        <v>8591.82413592832</v>
      </c>
      <c r="CF41" s="268">
        <f t="shared" si="0"/>
        <v>3.104408330523755</v>
      </c>
      <c r="CG41" s="1358">
        <v>3.897849847568744</v>
      </c>
      <c r="CI41" s="268">
        <v>2.087431806337864</v>
      </c>
      <c r="CJ41" s="265">
        <v>4.450342035559935</v>
      </c>
      <c r="CK41" s="1359">
        <f>РЕЗУЛЬТАТЫ!VQ48</f>
        <v>0</v>
      </c>
      <c r="CL41" s="232"/>
      <c r="CM41" s="268">
        <v>0</v>
      </c>
      <c r="CN41" s="1367">
        <v>5.687097678113633</v>
      </c>
      <c r="CO41" s="265">
        <v>2.8734677511818374</v>
      </c>
      <c r="CQ41" s="296"/>
    </row>
    <row r="42" ht="18.5" customHeight="1" spans="5:95" x14ac:dyDescent="0.25">
      <c r="E42" s="1335">
        <v>42</v>
      </c>
      <c r="G42" s="1349"/>
      <c r="H42" s="622"/>
      <c r="I42" s="910"/>
      <c r="J42" s="910"/>
      <c r="K42" s="910"/>
      <c r="L42" s="910"/>
      <c r="M42" s="910"/>
      <c r="N42" s="910"/>
      <c r="O42" s="1368"/>
      <c r="AD42" s="15"/>
      <c r="BD42" s="287">
        <f t="shared" si="4"/>
        <v>0</v>
      </c>
      <c r="BG42" s="332">
        <v>2031</v>
      </c>
      <c r="BH42" s="1389">
        <v>60.51068012830006</v>
      </c>
      <c r="BI42" s="1365">
        <v>44.573799757777806</v>
      </c>
      <c r="BJ42" s="1364">
        <v>68.92064284299862</v>
      </c>
      <c r="BK42" s="268">
        <v>76.97392634247012</v>
      </c>
      <c r="BL42" s="24"/>
      <c r="BM42" s="24"/>
      <c r="BN42" s="268">
        <v>29.238294629234446</v>
      </c>
      <c r="BO42" s="268">
        <v>40.719253539012676</v>
      </c>
      <c r="BP42" s="24"/>
      <c r="BQ42" s="268">
        <v>0</v>
      </c>
      <c r="BR42" s="268">
        <v>50.84591908592548</v>
      </c>
      <c r="BS42" s="268">
        <v>47.61032054028257</v>
      </c>
      <c r="BT42" s="268">
        <v>68.38304323078901</v>
      </c>
      <c r="BU42" s="409">
        <v>65.31484659211347</v>
      </c>
      <c r="BW42" s="1366">
        <f t="shared" si="2"/>
        <v>0.5751154355361439</v>
      </c>
      <c r="BX42" s="332">
        <v>2031</v>
      </c>
      <c r="BY42" s="1357">
        <v>145.13999999999996</v>
      </c>
      <c r="BZ42" s="1357">
        <v>76.92419999999998</v>
      </c>
      <c r="CA42" s="232">
        <v>-5.701692563147617</v>
      </c>
      <c r="CB42" s="1357">
        <v>91.40277707436756</v>
      </c>
      <c r="CC42" s="265">
        <f t="shared" si="3"/>
        <v>0.5751154355361439</v>
      </c>
      <c r="CD42" s="224">
        <f>НАСТРОЙКА!IX41</f>
        <v>15458.237424001558</v>
      </c>
      <c r="CE42" s="224">
        <v>8890.270948725774</v>
      </c>
      <c r="CF42" s="268">
        <f t="shared" si="0"/>
        <v>3.21224349535125</v>
      </c>
      <c r="CG42" s="1358">
        <v>4.0722402481186215</v>
      </c>
      <c r="CI42" s="268">
        <v>2.1761734838733555</v>
      </c>
      <c r="CJ42" s="265">
        <v>4.650622838499589</v>
      </c>
      <c r="CK42" s="1359">
        <f>РЕЗУЛЬТАТЫ!VQ49</f>
        <v>0</v>
      </c>
      <c r="CM42">
        <v>0</v>
      </c>
      <c r="CN42" s="1367">
        <v>5.908679583360757</v>
      </c>
      <c r="CO42" s="265">
        <v>2.966812653656985</v>
      </c>
      <c r="CQ42" s="1390"/>
    </row>
    <row r="43" ht="21.5" customHeight="1" spans="5:95" x14ac:dyDescent="0.25">
      <c r="E43" s="1335">
        <v>43</v>
      </c>
      <c r="F43" s="1391" t="s">
        <v>1011</v>
      </c>
      <c r="G43" s="1392"/>
      <c r="H43" s="1393"/>
      <c r="I43" s="1394" t="s">
        <v>1063</v>
      </c>
      <c r="J43" s="1395"/>
      <c r="K43" s="1395"/>
      <c r="L43" s="1395"/>
      <c r="M43" s="1395"/>
      <c r="N43" s="1100"/>
      <c r="O43" s="1396">
        <v>1995</v>
      </c>
      <c r="P43" s="1397">
        <v>1996</v>
      </c>
      <c r="Q43" s="1398">
        <v>1997</v>
      </c>
      <c r="R43" s="1398">
        <v>1998</v>
      </c>
      <c r="S43" s="1398">
        <v>1999</v>
      </c>
      <c r="T43" s="1398">
        <v>2000</v>
      </c>
      <c r="U43" s="1398">
        <v>2001</v>
      </c>
      <c r="V43" s="1398">
        <v>2002</v>
      </c>
      <c r="W43" s="1398">
        <v>2003</v>
      </c>
      <c r="X43" s="1398">
        <v>2004</v>
      </c>
      <c r="Y43" s="1398">
        <v>2005</v>
      </c>
      <c r="Z43" s="1398">
        <v>2006</v>
      </c>
      <c r="AA43" s="1398">
        <v>2007</v>
      </c>
      <c r="AB43" s="1398">
        <v>2008</v>
      </c>
      <c r="AC43" s="1398">
        <v>2009</v>
      </c>
      <c r="AD43" s="1398">
        <v>2010</v>
      </c>
      <c r="AE43" s="1398">
        <v>2011</v>
      </c>
      <c r="AF43" s="1398">
        <v>2012</v>
      </c>
      <c r="AG43" s="1398">
        <v>2013</v>
      </c>
      <c r="AH43" s="1398">
        <v>2014</v>
      </c>
      <c r="AI43" s="1398">
        <v>2015</v>
      </c>
      <c r="AJ43" s="1398">
        <v>2016</v>
      </c>
      <c r="AK43" s="1398">
        <v>2017</v>
      </c>
      <c r="AL43" s="1343">
        <v>2018</v>
      </c>
      <c r="AM43" s="1398">
        <v>2019</v>
      </c>
      <c r="AN43" s="1398">
        <v>2020</v>
      </c>
      <c r="AO43" s="1398">
        <v>2021</v>
      </c>
      <c r="AP43" s="1398">
        <v>2022</v>
      </c>
      <c r="AQ43" s="1398">
        <v>2023</v>
      </c>
      <c r="AR43" s="1398">
        <v>2024</v>
      </c>
      <c r="AS43" s="1398">
        <v>2025</v>
      </c>
      <c r="AT43" s="1398">
        <v>2026</v>
      </c>
      <c r="AU43" s="1398">
        <v>2027</v>
      </c>
      <c r="AV43" s="1398">
        <v>2028</v>
      </c>
      <c r="AW43" s="1398">
        <v>2029</v>
      </c>
      <c r="AX43" s="1398">
        <v>2030</v>
      </c>
      <c r="AY43" s="1398">
        <v>2031</v>
      </c>
      <c r="AZ43" s="1398">
        <v>2032</v>
      </c>
      <c r="BA43" s="1398">
        <v>2033</v>
      </c>
      <c r="BB43" s="1398">
        <v>2034</v>
      </c>
      <c r="BC43" s="1398">
        <v>2035</v>
      </c>
      <c r="BD43" s="1399">
        <f t="shared" si="4"/>
        <v>0</v>
      </c>
      <c r="BG43" s="332">
        <v>2032</v>
      </c>
      <c r="BH43" s="1389">
        <v>63.89241413471506</v>
      </c>
      <c r="BI43" s="1365">
        <v>46.8219097456667</v>
      </c>
      <c r="BJ43" s="1364">
        <v>73.33031581793487</v>
      </c>
      <c r="BK43" s="268">
        <v>81.79986462066579</v>
      </c>
      <c r="BL43" s="24"/>
      <c r="BM43" s="24"/>
      <c r="BN43" s="268">
        <v>30.357626510696168</v>
      </c>
      <c r="BO43" s="268">
        <v>42.755216215963316</v>
      </c>
      <c r="BP43" s="24"/>
      <c r="BQ43" s="268">
        <v>0</v>
      </c>
      <c r="BR43" s="268">
        <v>53.41225004022176</v>
      </c>
      <c r="BS43" s="268">
        <v>49.79083656729671</v>
      </c>
      <c r="BT43" s="268">
        <v>73.93279600384489</v>
      </c>
      <c r="BU43" s="409">
        <v>69.60027978315122</v>
      </c>
      <c r="BW43" s="1366">
        <f t="shared" si="2"/>
        <v>0.5704131419688584</v>
      </c>
      <c r="BX43" s="332">
        <v>2032</v>
      </c>
      <c r="BY43" s="1357">
        <v>144.95999999999995</v>
      </c>
      <c r="BZ43" s="1357">
        <v>76.82879999999997</v>
      </c>
      <c r="CA43" s="232">
        <v>-6.788916397469933</v>
      </c>
      <c r="CB43" s="1357">
        <v>92.53328082969713</v>
      </c>
      <c r="CC43" s="265">
        <f t="shared" si="3"/>
        <v>0.5704131419688584</v>
      </c>
      <c r="CD43" s="224">
        <f>НАСТРОЙКА!IX42</f>
        <v>16134.564868588497</v>
      </c>
      <c r="CE43" s="224">
        <v>9203.367840991928</v>
      </c>
      <c r="CF43" s="268">
        <f t="shared" si="0"/>
        <v>3.3253720446831236</v>
      </c>
      <c r="CG43" s="1358">
        <v>4.255191079261428</v>
      </c>
      <c r="CI43" s="268">
        <v>2.269371748988845</v>
      </c>
      <c r="CJ43" s="265">
        <v>4.860770119686973</v>
      </c>
      <c r="CK43" s="1359">
        <f>РЕЗУЛЬТАТЫ!VQ50</f>
        <v>0</v>
      </c>
      <c r="CM43">
        <v>0</v>
      </c>
      <c r="CN43" s="1367">
        <v>6.141651525665542</v>
      </c>
      <c r="CO43" s="265">
        <v>3.0646015609049457</v>
      </c>
      <c r="CQ43" s="1390"/>
    </row>
    <row r="44" ht="18" customHeight="1" spans="1:95" x14ac:dyDescent="0.25">
      <c r="A44" s="682" t="s">
        <v>1064</v>
      </c>
      <c r="B44" s="682"/>
      <c r="C44" s="682"/>
      <c r="D44" s="682"/>
      <c r="E44" s="1335">
        <v>44</v>
      </c>
      <c r="F44" s="1348">
        <v>43939</v>
      </c>
      <c r="G44" s="1400" t="s">
        <v>115</v>
      </c>
      <c r="H44" s="187" t="s">
        <v>56</v>
      </c>
      <c r="I44" s="910" t="s">
        <v>1065</v>
      </c>
      <c r="J44" s="910"/>
      <c r="K44" s="910"/>
      <c r="L44" s="910"/>
      <c r="M44" s="910"/>
      <c r="N44" s="910"/>
      <c r="O44" s="1401"/>
      <c r="P44" s="689" t="s">
        <v>1064</v>
      </c>
      <c r="Q44" s="689"/>
      <c r="R44" s="689"/>
      <c r="S44" s="689"/>
      <c r="T44" s="630"/>
      <c r="U44" s="630"/>
      <c r="V44" s="630"/>
      <c r="W44" s="630"/>
      <c r="X44" s="630"/>
      <c r="Y44" s="630"/>
      <c r="Z44" s="630"/>
      <c r="AA44" s="1402"/>
      <c r="AB44" s="1403"/>
      <c r="AC44" s="419"/>
      <c r="AD44" s="1363"/>
      <c r="AE44" s="419"/>
      <c r="AF44" s="419"/>
      <c r="AG44" s="419"/>
      <c r="AH44" s="419"/>
      <c r="AI44" s="419"/>
      <c r="AJ44" s="419"/>
      <c r="AK44" s="419"/>
      <c r="AL44" s="419"/>
      <c r="AM44" s="419"/>
      <c r="AN44" s="419"/>
      <c r="AO44" s="419"/>
      <c r="AP44" s="419"/>
      <c r="AQ44" s="419"/>
      <c r="AR44" s="419"/>
      <c r="AS44" s="419"/>
      <c r="AT44" s="419"/>
      <c r="AU44" s="419"/>
      <c r="AV44" s="419"/>
      <c r="AW44" s="419"/>
      <c r="AX44" s="419"/>
      <c r="AY44" s="419"/>
      <c r="AZ44" s="419"/>
      <c r="BA44" s="419"/>
      <c r="BB44" s="419"/>
      <c r="BC44" s="419"/>
      <c r="BD44" s="287"/>
      <c r="BG44" s="332">
        <v>2033</v>
      </c>
      <c r="BH44" s="1389">
        <v>67.44323484145083</v>
      </c>
      <c r="BI44" s="1365">
        <v>49.18242523295004</v>
      </c>
      <c r="BJ44" s="1364">
        <v>77.99320230797152</v>
      </c>
      <c r="BK44" s="268">
        <v>86.9033780188935</v>
      </c>
      <c r="BL44" s="24"/>
      <c r="BM44" s="24"/>
      <c r="BN44" s="268">
        <v>31.523103486230976</v>
      </c>
      <c r="BO44" s="268">
        <v>44.892977026761486</v>
      </c>
      <c r="BP44" s="24"/>
      <c r="BQ44" s="268">
        <v>0</v>
      </c>
      <c r="BR44" s="268">
        <v>56.10689754223285</v>
      </c>
      <c r="BS44" s="268">
        <v>52.08037839566155</v>
      </c>
      <c r="BT44" s="268">
        <v>79.98309697823396</v>
      </c>
      <c r="BU44" s="409">
        <v>74.13219968077743</v>
      </c>
      <c r="BW44" s="1366">
        <f t="shared" si="2"/>
        <v>0.566084707207533</v>
      </c>
      <c r="BX44" s="332">
        <v>2033</v>
      </c>
      <c r="BY44" s="1357">
        <v>144.75999999999996</v>
      </c>
      <c r="BZ44" s="1357">
        <v>76.72279999999998</v>
      </c>
      <c r="CA44" s="232">
        <v>-7.934168974552179</v>
      </c>
      <c r="CB44" s="1357">
        <v>93.67541515002577</v>
      </c>
      <c r="CC44" s="265">
        <f t="shared" si="3"/>
        <v>0.566084707207533</v>
      </c>
      <c r="CD44" s="224">
        <f>НАСТРОЙКА!IX43</f>
        <v>16838.3103893536</v>
      </c>
      <c r="CE44" s="224">
        <v>9531.910006626793</v>
      </c>
      <c r="CF44" s="268">
        <f t="shared" si="0"/>
        <v>3.444081298944994</v>
      </c>
      <c r="CG44" s="1358">
        <v>4.447166993916185</v>
      </c>
      <c r="CI44" s="268">
        <v>2.367258327015262</v>
      </c>
      <c r="CJ44" s="265">
        <v>5.08130584178749</v>
      </c>
      <c r="CK44" s="1359">
        <f>РЕЗУЛЬТАТЫ!VQ51</f>
        <v>0</v>
      </c>
      <c r="CM44">
        <v>0</v>
      </c>
      <c r="CN44" s="1367">
        <v>6.386665124425428</v>
      </c>
      <c r="CO44" s="265">
        <v>3.167066706781321</v>
      </c>
      <c r="CQ44" s="1390"/>
    </row>
    <row r="45" ht="18" customHeight="1" spans="1:95" x14ac:dyDescent="0.25">
      <c r="A45" s="682" t="s">
        <v>1066</v>
      </c>
      <c r="E45" s="1335">
        <v>45</v>
      </c>
      <c r="F45" s="1348">
        <v>43939</v>
      </c>
      <c r="G45" s="1216" t="s">
        <v>324</v>
      </c>
      <c r="H45" s="187" t="s">
        <v>56</v>
      </c>
      <c r="I45" s="910" t="s">
        <v>1067</v>
      </c>
      <c r="J45" s="910"/>
      <c r="K45" s="910"/>
      <c r="L45" s="910"/>
      <c r="M45" s="910"/>
      <c r="N45" s="910"/>
      <c r="O45" s="1401"/>
      <c r="P45" s="1404" t="s">
        <v>1066</v>
      </c>
      <c r="Q45" s="1123"/>
      <c r="R45" s="1123"/>
      <c r="S45" s="1123"/>
      <c r="T45" s="1405"/>
      <c r="U45" s="1405"/>
      <c r="V45" s="1405"/>
      <c r="W45" s="1405"/>
      <c r="X45" s="1405"/>
      <c r="Y45" s="1405"/>
      <c r="Z45" s="1405"/>
      <c r="AA45" s="1406"/>
      <c r="AB45" s="1407"/>
      <c r="AC45" s="419"/>
      <c r="AD45" s="1363"/>
      <c r="AE45" s="419"/>
      <c r="AF45" s="419"/>
      <c r="AG45" s="419"/>
      <c r="AH45" s="419"/>
      <c r="AI45" s="419"/>
      <c r="AJ45" s="419"/>
      <c r="AK45" s="419"/>
      <c r="AL45" s="419"/>
      <c r="AM45" s="419"/>
      <c r="AN45" s="419"/>
      <c r="AO45" s="419"/>
      <c r="AP45" s="419"/>
      <c r="AQ45" s="419"/>
      <c r="AR45" s="419"/>
      <c r="AS45" s="419"/>
      <c r="AT45" s="419"/>
      <c r="AU45" s="419"/>
      <c r="AV45" s="419"/>
      <c r="AW45" s="419"/>
      <c r="AX45" s="419"/>
      <c r="AY45" s="419"/>
      <c r="AZ45" s="419"/>
      <c r="BA45" s="419"/>
      <c r="BB45" s="419"/>
      <c r="BC45" s="419"/>
      <c r="BD45" s="287"/>
      <c r="BG45" s="332">
        <v>2034</v>
      </c>
      <c r="BH45" s="1389">
        <v>71.17159658352338</v>
      </c>
      <c r="BI45" s="1365">
        <v>51.660966494597545</v>
      </c>
      <c r="BJ45" s="1364">
        <v>82.9224699522332</v>
      </c>
      <c r="BK45" s="268">
        <v>92.29894800939647</v>
      </c>
      <c r="BL45" s="24"/>
      <c r="BM45" s="24"/>
      <c r="BN45" s="268">
        <v>32.73703281054254</v>
      </c>
      <c r="BO45" s="268">
        <v>47.13762587809956</v>
      </c>
      <c r="BP45" s="24"/>
      <c r="BQ45" s="268">
        <v>0</v>
      </c>
      <c r="BR45" s="268">
        <v>58.9362774193445</v>
      </c>
      <c r="BS45" s="268">
        <v>54.48439731544463</v>
      </c>
      <c r="BT45" s="268">
        <v>86.58183727169767</v>
      </c>
      <c r="BU45" s="409">
        <v>78.92346583234406</v>
      </c>
      <c r="BW45" s="1366">
        <f t="shared" si="2"/>
        <v>0.5621356120196713</v>
      </c>
      <c r="BX45" s="332">
        <v>2034</v>
      </c>
      <c r="BY45" s="1357">
        <v>144.57999999999996</v>
      </c>
      <c r="BZ45" s="1357">
        <v>76.62739999999998</v>
      </c>
      <c r="CA45" s="232">
        <v>-9.118627319293623</v>
      </c>
      <c r="CB45" s="1357">
        <v>94.82818068544212</v>
      </c>
      <c r="CC45" s="265">
        <f t="shared" si="3"/>
        <v>0.5621356120196713</v>
      </c>
      <c r="CD45" s="224">
        <f>НАСТРОЙКА!IX44</f>
        <v>17569.97036030794</v>
      </c>
      <c r="CE45" s="224">
        <v>9876.70604165919</v>
      </c>
      <c r="CF45" s="268">
        <f t="shared" si="0"/>
        <v>3.568663421035937</v>
      </c>
      <c r="CG45" s="1358">
        <v>4.64864047622178</v>
      </c>
      <c r="CI45" s="268">
        <v>2.470070719579961</v>
      </c>
      <c r="CJ45" s="265">
        <v>5.312765219553965</v>
      </c>
      <c r="CK45" s="1359">
        <f>РЕЗУЛЬТАТЫ!VQ52</f>
        <v>0</v>
      </c>
      <c r="CM45">
        <v>0</v>
      </c>
      <c r="CN45" s="1367">
        <v>6.644389614049055</v>
      </c>
      <c r="CO45" s="265">
        <v>3.2744424541430575</v>
      </c>
      <c r="CQ45" s="1390"/>
    </row>
    <row r="46" ht="18" customHeight="1" spans="1:95" x14ac:dyDescent="0.25">
      <c r="A46" s="682" t="s">
        <v>1068</v>
      </c>
      <c r="B46" s="682"/>
      <c r="C46" s="682"/>
      <c r="D46" s="682"/>
      <c r="E46" s="1335">
        <v>46</v>
      </c>
      <c r="F46" s="1348">
        <v>43939</v>
      </c>
      <c r="G46" s="1216" t="s">
        <v>324</v>
      </c>
      <c r="H46" s="187" t="s">
        <v>56</v>
      </c>
      <c r="I46" s="910" t="s">
        <v>1069</v>
      </c>
      <c r="J46" s="910"/>
      <c r="K46" s="910"/>
      <c r="L46" s="910"/>
      <c r="M46" s="910"/>
      <c r="N46" s="910"/>
      <c r="O46" s="1401"/>
      <c r="P46" s="1404" t="s">
        <v>1068</v>
      </c>
      <c r="Q46" s="1408"/>
      <c r="R46" s="1408"/>
      <c r="S46" s="1408"/>
      <c r="T46" s="1405"/>
      <c r="U46" s="1405"/>
      <c r="V46" s="1405"/>
      <c r="W46" s="1405"/>
      <c r="X46" s="1405"/>
      <c r="Y46" s="1405"/>
      <c r="Z46" s="1405"/>
      <c r="AA46" s="1406"/>
      <c r="AB46" s="1407"/>
      <c r="AC46" s="419"/>
      <c r="AD46" s="1363"/>
      <c r="AE46" s="419"/>
      <c r="AF46" s="419"/>
      <c r="AG46" s="419"/>
      <c r="AH46" s="419"/>
      <c r="AI46" s="419"/>
      <c r="AJ46" s="419"/>
      <c r="AK46" s="419"/>
      <c r="AL46" s="419"/>
      <c r="AM46" s="419"/>
      <c r="AN46" s="419"/>
      <c r="AO46" s="419"/>
      <c r="AP46" s="419"/>
      <c r="AQ46" s="419"/>
      <c r="AR46" s="419"/>
      <c r="AS46" s="419"/>
      <c r="AT46" s="419"/>
      <c r="AU46" s="419"/>
      <c r="AV46" s="419"/>
      <c r="AW46" s="419"/>
      <c r="AX46" s="419"/>
      <c r="AY46" s="419"/>
      <c r="AZ46" s="419"/>
      <c r="BA46" s="419"/>
      <c r="BB46" s="419"/>
      <c r="BC46" s="419"/>
      <c r="BD46" s="287"/>
      <c r="BG46" s="1409">
        <v>2035</v>
      </c>
      <c r="BH46" s="1410">
        <v>75.08637641269955</v>
      </c>
      <c r="BI46" s="1411">
        <v>54.26343481932743</v>
      </c>
      <c r="BJ46" s="1412">
        <v>88.13195112595096</v>
      </c>
      <c r="BK46" s="1413">
        <v>98.00178640531021</v>
      </c>
      <c r="BL46" s="692"/>
      <c r="BM46" s="692"/>
      <c r="BN46" s="1413">
        <v>34.00183710106966</v>
      </c>
      <c r="BO46" s="1413">
        <v>49.494507172004546</v>
      </c>
      <c r="BP46" s="692"/>
      <c r="BQ46" s="1413">
        <v>0</v>
      </c>
      <c r="BR46" s="1413">
        <v>61.90712629031173</v>
      </c>
      <c r="BS46" s="1413">
        <v>57.00861718121687</v>
      </c>
      <c r="BT46" s="1413">
        <v>93.78164608790115</v>
      </c>
      <c r="BU46" s="1414">
        <v>83.98758632791548</v>
      </c>
      <c r="BW46" s="1366">
        <f t="shared" si="2"/>
        <v>0.5585690117140252</v>
      </c>
      <c r="BX46" s="332">
        <v>2035</v>
      </c>
      <c r="BY46" s="1357">
        <v>144.39999999999995</v>
      </c>
      <c r="BZ46" s="1357">
        <v>76.53199999999998</v>
      </c>
      <c r="CA46" s="232">
        <v>-10.355325320444564</v>
      </c>
      <c r="CB46" s="1357">
        <v>95.99057730545317</v>
      </c>
      <c r="CC46" s="265">
        <f t="shared" si="3"/>
        <v>0.5585690117140252</v>
      </c>
      <c r="CD46" s="224">
        <f>НАСТРОЙКА!IX45</f>
        <v>18330.033333654035</v>
      </c>
      <c r="CE46" s="224">
        <v>10238.588603864275</v>
      </c>
      <c r="CF46" s="268">
        <f t="shared" si="0"/>
        <v>3.699419267874434</v>
      </c>
      <c r="CG46" s="1358">
        <v>4.860098070234654</v>
      </c>
      <c r="CI46" s="268">
        <v>2.578054746661583</v>
      </c>
      <c r="CJ46" s="265">
        <v>5.5557021368904556</v>
      </c>
      <c r="CK46" s="1359">
        <f>РЕЗУЛЬТАТЫ!VQ53</f>
        <v>0</v>
      </c>
      <c r="CM46">
        <v>0</v>
      </c>
      <c r="CN46" s="1367">
        <v>6.915519225011411</v>
      </c>
      <c r="CO46" s="265">
        <v>3.386968772340574</v>
      </c>
      <c r="CQ46" s="1390"/>
    </row>
    <row r="47" ht="17.5" customHeight="1" spans="1:95" x14ac:dyDescent="0.25">
      <c r="A47" s="682" t="s">
        <v>1070</v>
      </c>
      <c r="E47" s="1335">
        <v>47</v>
      </c>
      <c r="F47" s="1348">
        <v>43939</v>
      </c>
      <c r="G47" s="1216" t="s">
        <v>327</v>
      </c>
      <c r="H47" s="187" t="s">
        <v>56</v>
      </c>
      <c r="I47" s="910" t="s">
        <v>1071</v>
      </c>
      <c r="J47" s="910"/>
      <c r="K47" s="910"/>
      <c r="L47" s="910"/>
      <c r="M47" s="910"/>
      <c r="N47" s="910"/>
      <c r="O47" s="1401"/>
      <c r="P47" s="682" t="s">
        <v>1070</v>
      </c>
      <c r="T47" s="1405"/>
      <c r="U47" s="1405"/>
      <c r="V47" s="1405"/>
      <c r="W47" s="1405"/>
      <c r="X47" s="1405"/>
      <c r="Y47" s="1405"/>
      <c r="Z47" s="1405"/>
      <c r="AA47" s="1406"/>
      <c r="AB47" s="1407"/>
      <c r="AC47" s="419"/>
      <c r="AD47" s="1363"/>
      <c r="AE47" s="419"/>
      <c r="AF47" s="419"/>
      <c r="AG47" s="419"/>
      <c r="AH47" s="419"/>
      <c r="AI47" s="419"/>
      <c r="AJ47" s="419"/>
      <c r="AK47" s="419"/>
      <c r="AL47" s="419"/>
      <c r="AM47" s="419"/>
      <c r="AN47" s="419"/>
      <c r="AO47" s="419"/>
      <c r="AP47" s="419"/>
      <c r="AQ47" s="419"/>
      <c r="AR47" s="419"/>
      <c r="AS47" s="419"/>
      <c r="AT47" s="419"/>
      <c r="AU47" s="419"/>
      <c r="AV47" s="419"/>
      <c r="AW47" s="419"/>
      <c r="AX47" s="419"/>
      <c r="AY47" s="419"/>
      <c r="AZ47" s="419"/>
      <c r="BA47" s="419"/>
      <c r="BB47" s="419"/>
      <c r="BC47" s="419"/>
      <c r="BD47" s="287"/>
      <c r="CQ47" s="1390"/>
    </row>
    <row r="48" ht="17.5" customHeight="1" spans="1:56" x14ac:dyDescent="0.25">
      <c r="A48" s="1405" t="s">
        <v>1072</v>
      </c>
      <c r="B48" s="1405"/>
      <c r="C48" s="1405"/>
      <c r="E48" s="1335">
        <v>48</v>
      </c>
      <c r="F48" s="1348" t="s">
        <v>1073</v>
      </c>
      <c r="G48" s="1216" t="s">
        <v>336</v>
      </c>
      <c r="H48" s="187" t="s">
        <v>56</v>
      </c>
      <c r="I48" s="910" t="s">
        <v>1074</v>
      </c>
      <c r="J48" s="910"/>
      <c r="K48" s="910"/>
      <c r="L48" s="910"/>
      <c r="M48" s="910"/>
      <c r="N48" s="910"/>
      <c r="O48" s="1362"/>
      <c r="P48" s="1405" t="s">
        <v>1072</v>
      </c>
      <c r="Q48" s="1405"/>
      <c r="R48" s="1405"/>
      <c r="S48" s="1405"/>
      <c r="T48" s="1405"/>
      <c r="U48" s="1405"/>
      <c r="V48" s="1405"/>
      <c r="W48" s="1405"/>
      <c r="X48" s="1405"/>
      <c r="Y48" s="1405"/>
      <c r="Z48" s="1405"/>
      <c r="AA48" s="1415"/>
      <c r="AB48" s="1416"/>
      <c r="AC48" s="419"/>
      <c r="AD48" s="1363"/>
      <c r="AE48" s="419"/>
      <c r="AF48" s="419"/>
      <c r="AG48" s="419"/>
      <c r="AH48" s="419"/>
      <c r="AI48" s="419"/>
      <c r="AJ48" s="419"/>
      <c r="AK48" s="419"/>
      <c r="AL48" s="419"/>
      <c r="AM48" s="419"/>
      <c r="AN48" s="419"/>
      <c r="AO48" s="419"/>
      <c r="AP48" s="419"/>
      <c r="AQ48" s="419"/>
      <c r="AR48" s="419"/>
      <c r="AS48" s="419"/>
      <c r="AT48" s="419"/>
      <c r="AU48" s="419"/>
      <c r="AV48" s="419"/>
      <c r="AW48" s="419"/>
      <c r="AX48" s="419"/>
      <c r="AY48" s="419"/>
      <c r="AZ48" s="419"/>
      <c r="BA48" s="419"/>
      <c r="BB48" s="419"/>
      <c r="BC48" s="419"/>
      <c r="BD48" s="287"/>
    </row>
    <row r="49" ht="15.75" customHeight="1" spans="1:71" x14ac:dyDescent="0.25">
      <c r="A49" s="682" t="s">
        <v>1075</v>
      </c>
      <c r="B49" s="682"/>
      <c r="C49" s="682"/>
      <c r="D49" s="683"/>
      <c r="E49" s="1417">
        <v>49</v>
      </c>
      <c r="F49" s="1348">
        <v>43939</v>
      </c>
      <c r="G49" s="1216" t="s">
        <v>1076</v>
      </c>
      <c r="H49" s="187" t="s">
        <v>56</v>
      </c>
      <c r="I49" s="910" t="s">
        <v>1077</v>
      </c>
      <c r="J49" s="910"/>
      <c r="K49" s="910"/>
      <c r="L49" s="910"/>
      <c r="M49" s="910"/>
      <c r="N49" s="910"/>
      <c r="O49" s="1362"/>
      <c r="P49" s="682" t="s">
        <v>1075</v>
      </c>
      <c r="Q49" s="682"/>
      <c r="R49" s="682"/>
      <c r="S49" s="682"/>
      <c r="T49" s="1405"/>
      <c r="U49" s="1405"/>
      <c r="V49" s="1405"/>
      <c r="W49" s="1405"/>
      <c r="X49" s="1405"/>
      <c r="Y49" s="1405"/>
      <c r="Z49" s="1405"/>
      <c r="AA49" s="1406"/>
      <c r="AB49" s="1407"/>
      <c r="AC49" s="419"/>
      <c r="AD49" s="1363"/>
      <c r="AE49" s="419"/>
      <c r="AF49" s="419"/>
      <c r="AG49" s="419"/>
      <c r="AH49" s="419"/>
      <c r="AI49" s="419"/>
      <c r="AJ49" s="419"/>
      <c r="AK49" s="419"/>
      <c r="AL49" s="419"/>
      <c r="AM49" s="419"/>
      <c r="AN49" s="419"/>
      <c r="AO49" s="419"/>
      <c r="AP49" s="419"/>
      <c r="AQ49" s="419"/>
      <c r="AR49" s="419"/>
      <c r="AS49" s="419"/>
      <c r="AT49" s="419"/>
      <c r="AU49" s="419"/>
      <c r="AV49" s="419"/>
      <c r="AW49" s="419"/>
      <c r="AX49" s="419"/>
      <c r="AY49" s="419"/>
      <c r="AZ49" s="419"/>
      <c r="BA49" s="419"/>
      <c r="BB49" s="419"/>
      <c r="BC49" s="419"/>
      <c r="BD49" s="287"/>
      <c r="BJ49" s="15"/>
      <c r="BK49" s="1418" t="s">
        <v>1078</v>
      </c>
      <c r="BL49" s="15"/>
      <c r="BM49" s="15"/>
      <c r="BN49" s="15"/>
      <c r="BO49" s="15"/>
      <c r="BP49" s="15"/>
      <c r="BQ49" s="15"/>
      <c r="BR49" s="15"/>
      <c r="BS49" s="15"/>
    </row>
    <row r="50" ht="18" customHeight="1" spans="1:56" x14ac:dyDescent="0.25">
      <c r="A50" s="682" t="s">
        <v>1079</v>
      </c>
      <c r="B50" s="20"/>
      <c r="C50" s="272"/>
      <c r="D50" s="685"/>
      <c r="E50" s="1417">
        <v>50</v>
      </c>
      <c r="F50" s="1348">
        <v>43939</v>
      </c>
      <c r="G50" s="1216" t="s">
        <v>368</v>
      </c>
      <c r="H50" s="187" t="s">
        <v>56</v>
      </c>
      <c r="I50" s="910" t="s">
        <v>1080</v>
      </c>
      <c r="J50" s="910"/>
      <c r="K50" s="910"/>
      <c r="L50" s="910"/>
      <c r="M50" s="910"/>
      <c r="N50" s="910"/>
      <c r="O50" s="1362"/>
      <c r="P50" s="688" t="s">
        <v>1079</v>
      </c>
      <c r="Q50" s="1419"/>
      <c r="R50" s="1361"/>
      <c r="S50" s="1405"/>
      <c r="T50" s="1405"/>
      <c r="U50" s="1405"/>
      <c r="V50" s="1405"/>
      <c r="W50" s="1405"/>
      <c r="X50" s="1405"/>
      <c r="Y50" s="1405"/>
      <c r="Z50" s="1405"/>
      <c r="AA50" s="1406"/>
      <c r="AB50" s="1407"/>
      <c r="AC50" s="419"/>
      <c r="AD50" s="1363"/>
      <c r="AE50" s="419"/>
      <c r="AF50" s="419"/>
      <c r="AG50" s="419"/>
      <c r="AH50" s="419"/>
      <c r="AI50" s="419"/>
      <c r="AJ50" s="419"/>
      <c r="AK50" s="419"/>
      <c r="AL50" s="419"/>
      <c r="AM50" s="419"/>
      <c r="AN50" s="419"/>
      <c r="AO50" s="419"/>
      <c r="AP50" s="419"/>
      <c r="AQ50" s="419"/>
      <c r="AR50" s="419"/>
      <c r="AS50" s="419"/>
      <c r="AT50" s="419"/>
      <c r="AU50" s="419"/>
      <c r="AV50" s="419"/>
      <c r="AW50" s="419"/>
      <c r="AX50" s="419"/>
      <c r="AY50" s="419"/>
      <c r="AZ50" s="419"/>
      <c r="BA50" s="419"/>
      <c r="BB50" s="419"/>
      <c r="BC50" s="419"/>
      <c r="BD50" s="287"/>
    </row>
    <row r="51" ht="15.75" customHeight="1" spans="1:74" x14ac:dyDescent="0.25">
      <c r="A51" s="24"/>
      <c r="B51" s="24"/>
      <c r="C51" s="24"/>
      <c r="D51" s="685"/>
      <c r="E51" s="1417">
        <v>51</v>
      </c>
      <c r="G51" s="1216"/>
      <c r="H51" s="187"/>
      <c r="I51" s="910"/>
      <c r="J51" s="910"/>
      <c r="K51" s="910"/>
      <c r="L51" s="910"/>
      <c r="M51" s="910"/>
      <c r="N51" s="910"/>
      <c r="O51" s="1362"/>
      <c r="P51" s="1347"/>
      <c r="Q51" s="1360"/>
      <c r="R51" s="1361"/>
      <c r="S51" s="1123"/>
      <c r="V51" s="1405"/>
      <c r="W51" s="1405"/>
      <c r="X51" s="1405"/>
      <c r="Y51" s="1405"/>
      <c r="Z51" s="1405"/>
      <c r="AB51" s="1407"/>
      <c r="AC51" s="419"/>
      <c r="AD51" s="1363"/>
      <c r="AE51" s="419"/>
      <c r="AF51" s="419"/>
      <c r="AG51" s="419"/>
      <c r="AH51" s="419"/>
      <c r="AI51" s="419"/>
      <c r="AJ51" s="419"/>
      <c r="AK51" s="419"/>
      <c r="AL51" s="419"/>
      <c r="AM51" s="419"/>
      <c r="AN51" s="419"/>
      <c r="AO51" s="419"/>
      <c r="AP51" s="419"/>
      <c r="AQ51" s="419"/>
      <c r="AR51" s="419"/>
      <c r="AS51" s="419"/>
      <c r="AT51" s="419"/>
      <c r="AU51" s="419"/>
      <c r="AV51" s="419"/>
      <c r="AW51" s="419"/>
      <c r="AX51" s="419"/>
      <c r="AY51" s="419"/>
      <c r="AZ51" s="419"/>
      <c r="BA51" s="419"/>
      <c r="BB51" s="419"/>
      <c r="BC51" s="419"/>
      <c r="BD51" s="287"/>
      <c r="BH51" s="1420" t="s">
        <v>1081</v>
      </c>
      <c r="BI51" s="1420"/>
      <c r="BJ51" s="1420"/>
      <c r="BK51" s="1420"/>
      <c r="BL51" s="1420"/>
      <c r="BO51" s="1420" t="s">
        <v>1082</v>
      </c>
      <c r="BP51" s="1421"/>
      <c r="BQ51" s="1421"/>
      <c r="BR51" s="1421"/>
      <c r="BS51" s="1421"/>
      <c r="BT51" s="1421"/>
      <c r="BU51" s="1421"/>
      <c r="BV51" s="1421"/>
    </row>
    <row r="52" ht="17.5" customHeight="1" spans="1:74" x14ac:dyDescent="0.25">
      <c r="A52" s="682" t="s">
        <v>1083</v>
      </c>
      <c r="B52" s="24"/>
      <c r="C52" s="24"/>
      <c r="D52" s="685"/>
      <c r="E52" s="1417">
        <v>52</v>
      </c>
      <c r="F52" s="1348">
        <v>43939</v>
      </c>
      <c r="G52" s="1216" t="s">
        <v>795</v>
      </c>
      <c r="H52" s="187" t="s">
        <v>58</v>
      </c>
      <c r="I52" s="910" t="s">
        <v>1084</v>
      </c>
      <c r="J52" s="910"/>
      <c r="K52" s="910"/>
      <c r="L52" s="910"/>
      <c r="M52" s="910"/>
      <c r="N52" s="910"/>
      <c r="O52" s="1362"/>
      <c r="P52" s="682" t="s">
        <v>1083</v>
      </c>
      <c r="T52" s="1405"/>
      <c r="U52" s="1405"/>
      <c r="V52" s="1405"/>
      <c r="W52" s="1405"/>
      <c r="X52" s="1405"/>
      <c r="Y52" s="1405"/>
      <c r="Z52" s="1405"/>
      <c r="AA52" s="1406"/>
      <c r="AB52" s="1407"/>
      <c r="AC52" s="419"/>
      <c r="AD52" s="1363"/>
      <c r="AE52" s="419"/>
      <c r="AF52" s="419"/>
      <c r="AG52" s="419"/>
      <c r="AH52" s="419"/>
      <c r="AI52" s="419"/>
      <c r="AJ52" s="419"/>
      <c r="AK52" s="419"/>
      <c r="AL52" s="419"/>
      <c r="AM52" s="419"/>
      <c r="AN52" s="419"/>
      <c r="AO52" s="419"/>
      <c r="AP52" s="419"/>
      <c r="AQ52" s="419"/>
      <c r="AR52" s="419"/>
      <c r="AS52" s="419"/>
      <c r="AT52" s="419"/>
      <c r="AU52" s="419"/>
      <c r="AV52" s="419"/>
      <c r="AW52" s="419"/>
      <c r="AX52" s="419"/>
      <c r="AY52" s="419"/>
      <c r="AZ52" s="419"/>
      <c r="BA52" s="419"/>
      <c r="BB52" s="419"/>
      <c r="BC52" s="419"/>
      <c r="BD52" s="287"/>
      <c r="BH52" s="1420" t="s">
        <v>1085</v>
      </c>
      <c r="BI52" s="1420"/>
      <c r="BJ52" s="1420"/>
      <c r="BK52" s="1420"/>
      <c r="BL52" s="1420"/>
      <c r="BO52" s="1420" t="s">
        <v>1086</v>
      </c>
      <c r="BP52" s="1421"/>
      <c r="BQ52" s="1421"/>
      <c r="BR52" s="1421"/>
      <c r="BS52" s="1421"/>
      <c r="BT52" s="1421"/>
      <c r="BU52" s="1421"/>
      <c r="BV52" s="1421"/>
    </row>
    <row r="53" ht="17.5" customHeight="1" spans="1:72" x14ac:dyDescent="0.25">
      <c r="A53" s="682" t="s">
        <v>1087</v>
      </c>
      <c r="B53" s="682"/>
      <c r="C53" s="682"/>
      <c r="D53" s="685"/>
      <c r="E53" s="1417">
        <v>53</v>
      </c>
      <c r="F53" s="1348">
        <v>43939</v>
      </c>
      <c r="G53" s="1422" t="s">
        <v>365</v>
      </c>
      <c r="H53" s="187" t="s">
        <v>56</v>
      </c>
      <c r="I53" s="910" t="s">
        <v>1088</v>
      </c>
      <c r="J53" s="910"/>
      <c r="K53" s="910"/>
      <c r="L53" s="910"/>
      <c r="M53" s="910"/>
      <c r="N53" s="287"/>
      <c r="O53" s="1362"/>
      <c r="P53" s="1404" t="s">
        <v>1087</v>
      </c>
      <c r="Q53" s="1408"/>
      <c r="R53" s="1408"/>
      <c r="S53" s="1405"/>
      <c r="T53" s="1405"/>
      <c r="U53" s="1405"/>
      <c r="V53" s="1405"/>
      <c r="W53" s="1405"/>
      <c r="X53" s="1405"/>
      <c r="Y53" s="1405"/>
      <c r="Z53" s="1405"/>
      <c r="AA53" s="1406"/>
      <c r="AB53" s="1407"/>
      <c r="AC53" s="419"/>
      <c r="AD53" s="1363"/>
      <c r="AE53" s="419"/>
      <c r="AF53" s="419"/>
      <c r="AG53" s="419"/>
      <c r="AH53" s="419"/>
      <c r="AI53" s="419"/>
      <c r="AJ53" s="419"/>
      <c r="AK53" s="419"/>
      <c r="AL53" s="419"/>
      <c r="AM53" s="419"/>
      <c r="AN53" s="419"/>
      <c r="AO53" s="419"/>
      <c r="AP53" s="419"/>
      <c r="AQ53" s="419"/>
      <c r="AR53" s="419"/>
      <c r="AS53" s="419"/>
      <c r="AT53" s="419"/>
      <c r="AU53" s="419"/>
      <c r="AV53" s="419"/>
      <c r="AW53" s="419"/>
      <c r="AX53" s="419"/>
      <c r="AY53" s="419"/>
      <c r="AZ53" s="419"/>
      <c r="BA53" s="419"/>
      <c r="BB53" s="419"/>
      <c r="BC53" s="419"/>
      <c r="BD53" s="287"/>
      <c r="BH53" s="1420" t="s">
        <v>1089</v>
      </c>
      <c r="BI53" s="1420"/>
      <c r="BJ53" s="1420"/>
      <c r="BK53" s="1420"/>
      <c r="BM53" s="1420"/>
      <c r="BO53" s="1420" t="s">
        <v>1090</v>
      </c>
      <c r="BP53" s="1420"/>
      <c r="BQ53" s="1420"/>
      <c r="BR53" s="1420"/>
      <c r="BS53" s="1421"/>
      <c r="BT53" s="1420"/>
    </row>
    <row r="54" ht="17.5" customHeight="1" spans="1:71" x14ac:dyDescent="0.25">
      <c r="A54" s="1422" t="s">
        <v>1091</v>
      </c>
      <c r="D54" s="685"/>
      <c r="E54" s="1417">
        <v>54</v>
      </c>
      <c r="F54" s="1348">
        <v>43939</v>
      </c>
      <c r="G54" s="1422" t="s">
        <v>1092</v>
      </c>
      <c r="H54" s="187" t="s">
        <v>56</v>
      </c>
      <c r="I54" s="910" t="s">
        <v>1093</v>
      </c>
      <c r="J54" s="910"/>
      <c r="K54" s="910"/>
      <c r="L54" s="910"/>
      <c r="M54" s="910"/>
      <c r="N54" s="287"/>
      <c r="O54" s="1362"/>
      <c r="P54" s="1423" t="s">
        <v>1091</v>
      </c>
      <c r="Q54" s="1123"/>
      <c r="R54" s="1123"/>
      <c r="S54" s="1123"/>
      <c r="T54" s="1405"/>
      <c r="U54" s="1405"/>
      <c r="V54" s="1405"/>
      <c r="W54" s="1405"/>
      <c r="X54" s="1405"/>
      <c r="Y54" s="1405"/>
      <c r="Z54" s="1405"/>
      <c r="AA54" s="1406"/>
      <c r="AB54" s="1407"/>
      <c r="AC54" s="419"/>
      <c r="AD54" s="1363"/>
      <c r="AE54" s="419"/>
      <c r="AF54" s="419"/>
      <c r="AG54" s="419"/>
      <c r="AH54" s="419"/>
      <c r="AI54" s="419"/>
      <c r="AJ54" s="419"/>
      <c r="AK54" s="419"/>
      <c r="AL54" s="419"/>
      <c r="AM54" s="419"/>
      <c r="AN54" s="419"/>
      <c r="AO54" s="419"/>
      <c r="AP54" s="419"/>
      <c r="AQ54" s="419"/>
      <c r="AR54" s="419"/>
      <c r="AS54" s="419"/>
      <c r="AT54" s="419"/>
      <c r="AU54" s="419"/>
      <c r="AV54" s="419"/>
      <c r="AW54" s="419"/>
      <c r="AX54" s="419"/>
      <c r="AY54" s="419"/>
      <c r="AZ54" s="419"/>
      <c r="BA54" s="419"/>
      <c r="BB54" s="419"/>
      <c r="BC54" s="419"/>
      <c r="BD54" s="287"/>
      <c r="BE54" s="1420"/>
      <c r="BF54" s="1420"/>
      <c r="BG54" s="1420"/>
      <c r="BM54" s="1420"/>
      <c r="BO54" s="1420" t="s">
        <v>1094</v>
      </c>
      <c r="BP54" s="1420"/>
      <c r="BQ54" s="1420"/>
      <c r="BR54" s="1420"/>
      <c r="BS54" s="1421"/>
    </row>
    <row r="55" ht="17.5" customHeight="1" spans="5:72" x14ac:dyDescent="0.25">
      <c r="E55" s="1335">
        <v>55</v>
      </c>
      <c r="F55" s="1348">
        <v>43939</v>
      </c>
      <c r="G55" s="1422" t="s">
        <v>1092</v>
      </c>
      <c r="H55" s="187" t="s">
        <v>56</v>
      </c>
      <c r="I55" s="910" t="s">
        <v>1093</v>
      </c>
      <c r="J55" s="910"/>
      <c r="K55" s="910"/>
      <c r="L55" s="910"/>
      <c r="M55" s="910"/>
      <c r="N55" s="287"/>
      <c r="O55" s="1362"/>
      <c r="P55" s="1423" t="s">
        <v>1058</v>
      </c>
      <c r="Q55" s="1123"/>
      <c r="R55" s="1123"/>
      <c r="T55" s="1405"/>
      <c r="U55" s="1405"/>
      <c r="V55" s="1405"/>
      <c r="W55" s="1405"/>
      <c r="X55" s="1405"/>
      <c r="Y55" s="1405"/>
      <c r="Z55" s="1405"/>
      <c r="AA55" s="1406"/>
      <c r="AB55" s="1407"/>
      <c r="AD55" s="15"/>
      <c r="BD55" s="287"/>
      <c r="BH55" s="1420" t="s">
        <v>1095</v>
      </c>
      <c r="BI55" s="1420"/>
      <c r="BJ55" s="1420"/>
      <c r="BK55" s="1420"/>
      <c r="BO55" s="682"/>
      <c r="BS55" s="1420"/>
      <c r="BT55" s="1420"/>
    </row>
    <row r="56" ht="17.5" customHeight="1" spans="1:72" x14ac:dyDescent="0.25">
      <c r="A56" s="164" t="s">
        <v>1096</v>
      </c>
      <c r="B56" s="114"/>
      <c r="C56" s="164"/>
      <c r="D56" s="31"/>
      <c r="E56" s="1335">
        <v>56</v>
      </c>
      <c r="F56" s="1348">
        <v>43939</v>
      </c>
      <c r="G56" s="1422" t="s">
        <v>862</v>
      </c>
      <c r="H56" s="187" t="s">
        <v>56</v>
      </c>
      <c r="I56" s="910" t="s">
        <v>1097</v>
      </c>
      <c r="J56" s="910"/>
      <c r="K56" s="910"/>
      <c r="L56" s="910"/>
      <c r="M56" s="910"/>
      <c r="N56" s="287"/>
      <c r="O56" s="1362"/>
      <c r="P56" s="1361" t="s">
        <v>1096</v>
      </c>
      <c r="Q56" s="1419"/>
      <c r="R56" s="1361"/>
      <c r="S56" s="1405"/>
      <c r="T56" s="1424"/>
      <c r="U56" s="1406"/>
      <c r="V56" s="1405"/>
      <c r="W56" s="1405"/>
      <c r="X56" s="1405"/>
      <c r="Y56" s="1406"/>
      <c r="Z56" s="1425"/>
      <c r="AA56" s="1406"/>
      <c r="AB56" s="1407"/>
      <c r="AC56" s="419"/>
      <c r="AD56" s="1363"/>
      <c r="AE56" s="419"/>
      <c r="AF56" s="419"/>
      <c r="AG56" s="419"/>
      <c r="AH56" s="419"/>
      <c r="AI56" s="419"/>
      <c r="AJ56" s="419"/>
      <c r="AK56" s="419"/>
      <c r="AL56" s="419"/>
      <c r="AM56" s="419"/>
      <c r="AN56" s="419"/>
      <c r="AO56" s="419"/>
      <c r="AP56" s="419"/>
      <c r="AQ56" s="419"/>
      <c r="AR56" s="419"/>
      <c r="AS56" s="419"/>
      <c r="AT56" s="419"/>
      <c r="AU56" s="419"/>
      <c r="AV56" s="419"/>
      <c r="AW56" s="419"/>
      <c r="AX56" s="419"/>
      <c r="AY56" s="419"/>
      <c r="AZ56" s="419"/>
      <c r="BA56" s="419"/>
      <c r="BB56" s="419"/>
      <c r="BC56" s="419"/>
      <c r="BD56" s="287"/>
      <c r="BH56" s="1420" t="s">
        <v>1098</v>
      </c>
      <c r="BI56" s="1420"/>
      <c r="BJ56" s="1420"/>
      <c r="BO56" s="682"/>
      <c r="BS56" s="1420"/>
      <c r="BT56" s="1420"/>
    </row>
    <row r="57" ht="17.5" customHeight="1" spans="1:71" x14ac:dyDescent="0.25">
      <c r="A57" s="24"/>
      <c r="B57" s="24"/>
      <c r="C57" s="24"/>
      <c r="E57" s="1335">
        <v>57</v>
      </c>
      <c r="F57" s="1348">
        <v>43939</v>
      </c>
      <c r="G57" s="1422" t="s">
        <v>652</v>
      </c>
      <c r="H57" s="187" t="s">
        <v>56</v>
      </c>
      <c r="I57" s="910" t="s">
        <v>1099</v>
      </c>
      <c r="J57" s="910"/>
      <c r="K57" s="910"/>
      <c r="L57" s="910"/>
      <c r="M57" s="910"/>
      <c r="N57" s="287"/>
      <c r="O57" s="1362"/>
      <c r="P57" s="1404" t="s">
        <v>1100</v>
      </c>
      <c r="Q57" s="1123"/>
      <c r="R57" s="1123"/>
      <c r="S57" s="1419"/>
      <c r="T57" s="1424"/>
      <c r="U57" s="1406"/>
      <c r="V57" s="1405"/>
      <c r="W57" s="1405"/>
      <c r="X57" s="1405"/>
      <c r="AA57" s="1406"/>
      <c r="AB57" s="1407"/>
      <c r="AC57" s="419"/>
      <c r="AD57" s="1363"/>
      <c r="AE57" s="419"/>
      <c r="AF57" s="419"/>
      <c r="AG57" s="419"/>
      <c r="AH57" s="419"/>
      <c r="AI57" s="419"/>
      <c r="AJ57" s="419"/>
      <c r="AK57" s="419"/>
      <c r="AL57" s="419"/>
      <c r="AM57" s="419"/>
      <c r="AN57" s="419"/>
      <c r="AO57" s="419"/>
      <c r="AP57" s="419"/>
      <c r="AQ57" s="419"/>
      <c r="AR57" s="419"/>
      <c r="AS57" s="419"/>
      <c r="AT57" s="419"/>
      <c r="AU57" s="419"/>
      <c r="AV57" s="419"/>
      <c r="AW57" s="419"/>
      <c r="AX57" s="419"/>
      <c r="AY57" s="419"/>
      <c r="AZ57" s="419"/>
      <c r="BA57" s="419"/>
      <c r="BB57" s="419"/>
      <c r="BC57" s="419"/>
      <c r="BD57" s="287"/>
      <c r="BH57" s="1420" t="s">
        <v>1101</v>
      </c>
      <c r="BI57" s="1420"/>
      <c r="BJ57" s="1420"/>
      <c r="BK57" s="1420"/>
      <c r="BL57" s="1421"/>
      <c r="BO57" s="1420" t="s">
        <v>1094</v>
      </c>
      <c r="BP57" s="1420"/>
      <c r="BQ57" s="1420"/>
      <c r="BR57" s="1420"/>
      <c r="BS57" s="1421"/>
    </row>
    <row r="58" ht="18" customHeight="1" spans="1:71" x14ac:dyDescent="0.25">
      <c r="A58" s="682" t="s">
        <v>1102</v>
      </c>
      <c r="B58" s="24"/>
      <c r="C58" s="24"/>
      <c r="E58" s="1335">
        <v>58</v>
      </c>
      <c r="F58" s="1348">
        <v>43939</v>
      </c>
      <c r="G58" s="1422" t="s">
        <v>351</v>
      </c>
      <c r="H58" s="187" t="s">
        <v>56</v>
      </c>
      <c r="I58" s="910" t="s">
        <v>1103</v>
      </c>
      <c r="J58" s="910"/>
      <c r="K58" s="910"/>
      <c r="L58" s="910"/>
      <c r="M58" s="910"/>
      <c r="N58" s="287"/>
      <c r="O58" s="1362"/>
      <c r="P58" s="1404" t="s">
        <v>1102</v>
      </c>
      <c r="Q58" s="1123"/>
      <c r="R58" s="1123"/>
      <c r="S58" s="1419"/>
      <c r="T58" s="1424"/>
      <c r="U58" s="1406"/>
      <c r="V58" s="1405"/>
      <c r="W58" s="1405"/>
      <c r="X58" s="1405"/>
      <c r="Y58" s="1408"/>
      <c r="Z58" s="1426"/>
      <c r="AA58" s="1425"/>
      <c r="AB58" s="1427"/>
      <c r="AC58" s="419"/>
      <c r="AD58" s="1363"/>
      <c r="AE58" s="419"/>
      <c r="AF58" s="419"/>
      <c r="AG58" s="419"/>
      <c r="AH58" s="419"/>
      <c r="AI58" s="419"/>
      <c r="AJ58" s="419"/>
      <c r="AK58" s="419"/>
      <c r="AL58" s="419"/>
      <c r="AM58" s="419"/>
      <c r="AN58" s="419"/>
      <c r="AO58" s="419"/>
      <c r="AP58" s="419"/>
      <c r="AQ58" s="419"/>
      <c r="AR58" s="419"/>
      <c r="AS58" s="419"/>
      <c r="AT58" s="419"/>
      <c r="AU58" s="419"/>
      <c r="AV58" s="419"/>
      <c r="AW58" s="419"/>
      <c r="AX58" s="419"/>
      <c r="AY58" s="419"/>
      <c r="AZ58" s="419"/>
      <c r="BA58" s="419"/>
      <c r="BB58" s="419"/>
      <c r="BC58" s="419"/>
      <c r="BD58" s="287"/>
      <c r="BH58" s="1420" t="s">
        <v>1104</v>
      </c>
      <c r="BI58" s="1420"/>
      <c r="BJ58" s="1420"/>
      <c r="BK58" s="1420"/>
      <c r="BL58" s="1421"/>
      <c r="BO58" s="1420" t="s">
        <v>1105</v>
      </c>
      <c r="BP58" s="1420"/>
      <c r="BQ58" s="1420"/>
      <c r="BR58" s="1420"/>
      <c r="BS58" s="1421"/>
    </row>
    <row r="59" ht="18" customHeight="1" spans="1:71" x14ac:dyDescent="0.25">
      <c r="A59" s="24"/>
      <c r="B59" s="24"/>
      <c r="C59" s="24"/>
      <c r="E59" s="1335">
        <v>59</v>
      </c>
      <c r="F59" s="1348"/>
      <c r="G59" s="1422"/>
      <c r="H59" s="187"/>
      <c r="I59" s="910"/>
      <c r="J59" s="910"/>
      <c r="K59" s="910"/>
      <c r="L59" s="910"/>
      <c r="M59" s="910"/>
      <c r="N59" s="287"/>
      <c r="O59" s="1362"/>
      <c r="P59" s="1404"/>
      <c r="Q59" s="1123"/>
      <c r="R59" s="1123"/>
      <c r="S59" s="1419"/>
      <c r="T59" s="1424"/>
      <c r="U59" s="1406"/>
      <c r="V59" s="1405"/>
      <c r="W59" s="1405"/>
      <c r="X59" s="1405"/>
      <c r="Y59" s="1408"/>
      <c r="Z59" s="1426"/>
      <c r="AA59" s="1425"/>
      <c r="AB59" s="1416"/>
      <c r="AC59" s="419"/>
      <c r="AD59" s="1363"/>
      <c r="AE59" s="419"/>
      <c r="AF59" s="419"/>
      <c r="AG59" s="419"/>
      <c r="AH59" s="419"/>
      <c r="AI59" s="419"/>
      <c r="AJ59" s="419"/>
      <c r="AK59" s="419"/>
      <c r="AL59" s="419"/>
      <c r="AM59" s="419"/>
      <c r="AN59" s="419"/>
      <c r="AO59" s="419"/>
      <c r="AP59" s="419"/>
      <c r="AQ59" s="419"/>
      <c r="AR59" s="419"/>
      <c r="AS59" s="419"/>
      <c r="AT59" s="419"/>
      <c r="AU59" s="419"/>
      <c r="AV59" s="419"/>
      <c r="AW59" s="419"/>
      <c r="AX59" s="419"/>
      <c r="AY59" s="419"/>
      <c r="AZ59" s="419"/>
      <c r="BA59" s="419"/>
      <c r="BB59" s="419"/>
      <c r="BC59" s="419"/>
      <c r="BD59" s="287"/>
      <c r="BH59" s="1420" t="s">
        <v>1106</v>
      </c>
      <c r="BI59" s="1420"/>
      <c r="BJ59" s="1420"/>
      <c r="BK59" s="1420"/>
      <c r="BL59" s="1421"/>
      <c r="BO59" s="1420" t="s">
        <v>1107</v>
      </c>
      <c r="BP59" s="1420"/>
      <c r="BQ59" s="1420"/>
      <c r="BR59" s="1420"/>
      <c r="BS59" s="1421"/>
    </row>
    <row r="60" ht="18" customHeight="1" spans="1:71" x14ac:dyDescent="0.25">
      <c r="A60" s="24"/>
      <c r="B60" s="24"/>
      <c r="C60" s="24"/>
      <c r="E60" s="1335">
        <v>60</v>
      </c>
      <c r="F60" s="1348">
        <v>43939</v>
      </c>
      <c r="G60" s="1422" t="s">
        <v>351</v>
      </c>
      <c r="H60" s="187" t="s">
        <v>56</v>
      </c>
      <c r="I60" s="910" t="s">
        <v>1108</v>
      </c>
      <c r="J60" s="910"/>
      <c r="K60" s="910"/>
      <c r="L60" s="910"/>
      <c r="M60" s="287"/>
      <c r="N60" s="287"/>
      <c r="O60" s="1362"/>
      <c r="P60" s="1428" t="s">
        <v>1109</v>
      </c>
      <c r="Q60" s="1419"/>
      <c r="R60" s="1361"/>
      <c r="S60" s="1405"/>
      <c r="T60" s="1405"/>
      <c r="U60" s="1405"/>
      <c r="V60" s="1405"/>
      <c r="W60" s="1405"/>
      <c r="X60" s="1405"/>
      <c r="Y60" s="1408"/>
      <c r="Z60" s="1426"/>
      <c r="AA60" s="1425"/>
      <c r="AB60" s="1427"/>
      <c r="AD60" s="1363"/>
      <c r="BD60" s="287"/>
      <c r="BH60" s="1420" t="s">
        <v>1110</v>
      </c>
      <c r="BI60" s="1420"/>
      <c r="BJ60" s="1420"/>
      <c r="BK60" s="1420"/>
      <c r="BL60" s="1421"/>
      <c r="BO60" s="1420" t="s">
        <v>1111</v>
      </c>
      <c r="BP60" s="1420"/>
      <c r="BQ60" s="1420"/>
      <c r="BR60" s="1420"/>
      <c r="BS60" s="1421"/>
    </row>
    <row r="61" ht="18" customHeight="1" spans="1:67" x14ac:dyDescent="0.25">
      <c r="A61" s="682" t="s">
        <v>1112</v>
      </c>
      <c r="B61" s="682"/>
      <c r="C61" s="682"/>
      <c r="E61" s="1335">
        <v>61</v>
      </c>
      <c r="F61" s="1348">
        <v>43939</v>
      </c>
      <c r="G61" s="1422" t="s">
        <v>24</v>
      </c>
      <c r="H61" s="187" t="s">
        <v>56</v>
      </c>
      <c r="I61" s="910" t="s">
        <v>1113</v>
      </c>
      <c r="J61" s="910"/>
      <c r="K61" s="910"/>
      <c r="L61" s="910"/>
      <c r="M61" s="910"/>
      <c r="N61" s="910"/>
      <c r="O61" s="1401"/>
      <c r="P61" s="682" t="s">
        <v>1112</v>
      </c>
      <c r="Q61" s="682"/>
      <c r="R61" s="1123"/>
      <c r="S61" s="1419"/>
      <c r="T61" s="1424"/>
      <c r="U61" s="1406"/>
      <c r="V61" s="1405"/>
      <c r="W61" s="1405"/>
      <c r="X61" s="1405"/>
      <c r="Y61" s="1408"/>
      <c r="Z61" s="1426"/>
      <c r="AA61" s="1425"/>
      <c r="AB61" s="1427"/>
      <c r="AD61" s="1363"/>
      <c r="BD61" s="287"/>
      <c r="BO61" s="682"/>
    </row>
    <row r="62" ht="19.75" customHeight="1" spans="1:72" x14ac:dyDescent="0.25">
      <c r="A62" s="682" t="s">
        <v>1114</v>
      </c>
      <c r="E62" s="1335">
        <v>21</v>
      </c>
      <c r="F62" s="1348">
        <v>43940</v>
      </c>
      <c r="G62" s="1216" t="s">
        <v>650</v>
      </c>
      <c r="H62" s="187" t="s">
        <v>866</v>
      </c>
      <c r="I62" s="910" t="s">
        <v>1115</v>
      </c>
      <c r="J62" s="910"/>
      <c r="K62" s="910"/>
      <c r="L62" s="910"/>
      <c r="M62" s="910"/>
      <c r="N62" s="910"/>
      <c r="O62" s="1401"/>
      <c r="P62" s="682" t="s">
        <v>1114</v>
      </c>
      <c r="T62" s="1424"/>
      <c r="U62" s="1406"/>
      <c r="V62" s="1405"/>
      <c r="W62" s="1405"/>
      <c r="X62" s="1405"/>
      <c r="Y62" s="1408"/>
      <c r="Z62" s="1426"/>
      <c r="AA62" s="1425"/>
      <c r="AB62" s="1427"/>
      <c r="AD62" s="1363"/>
      <c r="BD62" s="287"/>
      <c r="BH62" s="1420" t="s">
        <v>1116</v>
      </c>
      <c r="BI62" s="1420"/>
      <c r="BJ62" s="1420"/>
      <c r="BK62" s="1420"/>
      <c r="BL62" s="1421"/>
      <c r="BO62" s="1420" t="s">
        <v>1046</v>
      </c>
      <c r="BP62" s="1420"/>
      <c r="BQ62" s="1420"/>
      <c r="BR62" s="1420"/>
      <c r="BS62" s="1420"/>
      <c r="BT62" s="1421"/>
    </row>
    <row r="63" ht="18" customHeight="1" spans="1:72" x14ac:dyDescent="0.25">
      <c r="A63" s="1429" t="s">
        <v>1117</v>
      </c>
      <c r="B63" s="1385"/>
      <c r="C63" s="1385"/>
      <c r="D63" s="31"/>
      <c r="E63" s="1335">
        <v>63</v>
      </c>
      <c r="F63" s="1348">
        <v>43940</v>
      </c>
      <c r="G63" s="1216" t="s">
        <v>1118</v>
      </c>
      <c r="H63" s="187" t="s">
        <v>56</v>
      </c>
      <c r="I63" s="910" t="s">
        <v>1119</v>
      </c>
      <c r="J63" s="910"/>
      <c r="K63" s="910"/>
      <c r="L63" s="910"/>
      <c r="M63" s="910"/>
      <c r="N63" s="910"/>
      <c r="O63" s="1401"/>
      <c r="P63" s="1404" t="s">
        <v>1117</v>
      </c>
      <c r="Q63" s="1123"/>
      <c r="R63" s="1123"/>
      <c r="S63" s="1419"/>
      <c r="T63" s="1424"/>
      <c r="U63" s="1406"/>
      <c r="V63" s="1405"/>
      <c r="W63" s="1405"/>
      <c r="X63" s="1405"/>
      <c r="Y63" s="1408"/>
      <c r="Z63" s="1426"/>
      <c r="AA63" s="1425"/>
      <c r="AB63" s="1427"/>
      <c r="AD63" s="1363"/>
      <c r="BD63" s="287"/>
      <c r="BH63" s="1420" t="s">
        <v>1120</v>
      </c>
      <c r="BI63" s="1420"/>
      <c r="BJ63" s="1420"/>
      <c r="BK63" s="1420"/>
      <c r="BL63" s="1421"/>
      <c r="BN63" s="682"/>
      <c r="BP63" s="1420"/>
      <c r="BQ63" s="1420"/>
      <c r="BR63" s="1420"/>
      <c r="BS63" s="1420"/>
      <c r="BT63" s="1421"/>
    </row>
    <row r="64" ht="23.5" customHeight="1" spans="5:72" x14ac:dyDescent="0.25">
      <c r="E64" s="1335">
        <v>64</v>
      </c>
      <c r="F64" s="1348">
        <v>43971</v>
      </c>
      <c r="G64" s="1216" t="s">
        <v>962</v>
      </c>
      <c r="H64" s="187" t="s">
        <v>866</v>
      </c>
      <c r="I64" s="910" t="s">
        <v>1121</v>
      </c>
      <c r="J64" s="910"/>
      <c r="K64" s="910"/>
      <c r="L64" s="910"/>
      <c r="M64" s="910"/>
      <c r="N64" s="910"/>
      <c r="O64" s="1401"/>
      <c r="P64" s="682" t="s">
        <v>1122</v>
      </c>
      <c r="Q64" s="682"/>
      <c r="R64" s="682"/>
      <c r="S64" s="682"/>
      <c r="T64" s="187"/>
      <c r="U64" s="1348"/>
      <c r="V64" s="1405"/>
      <c r="W64" s="1405"/>
      <c r="X64" s="1405"/>
      <c r="Y64" s="1408"/>
      <c r="Z64" s="1426"/>
      <c r="AA64" s="1425"/>
      <c r="AB64" s="1427"/>
      <c r="AD64" s="1363"/>
      <c r="BD64" s="287"/>
      <c r="BH64" s="1420" t="s">
        <v>1123</v>
      </c>
      <c r="BI64" s="1420"/>
      <c r="BJ64" s="1420"/>
      <c r="BL64" s="1421"/>
      <c r="BN64" s="682"/>
      <c r="BP64" s="1420"/>
      <c r="BQ64" s="1420"/>
      <c r="BR64" s="1420"/>
      <c r="BS64" s="1420"/>
      <c r="BT64" s="1421"/>
    </row>
    <row r="65" ht="18" customHeight="1" spans="5:72" x14ac:dyDescent="0.25">
      <c r="E65" s="1335">
        <v>65</v>
      </c>
      <c r="G65" s="1422"/>
      <c r="H65" s="187"/>
      <c r="I65" s="910"/>
      <c r="J65" s="910"/>
      <c r="K65" s="910"/>
      <c r="L65" s="910"/>
      <c r="M65" s="910"/>
      <c r="N65" s="910"/>
      <c r="O65" s="1362"/>
      <c r="P65" s="1404"/>
      <c r="Q65" s="1123"/>
      <c r="R65" s="1123"/>
      <c r="S65" s="1419"/>
      <c r="T65" s="1424"/>
      <c r="U65" s="1406"/>
      <c r="V65" s="1405"/>
      <c r="W65" s="1405"/>
      <c r="X65" s="1405"/>
      <c r="Y65" s="1408"/>
      <c r="Z65" s="1426"/>
      <c r="AA65" s="1425"/>
      <c r="AB65" s="1427"/>
      <c r="AC65" s="187"/>
      <c r="AD65" s="1363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BD65" s="287"/>
      <c r="BH65" s="1420" t="s">
        <v>1124</v>
      </c>
      <c r="BI65" s="1420"/>
      <c r="BJ65" s="1420"/>
      <c r="BP65" s="1420"/>
      <c r="BQ65" s="1420"/>
      <c r="BR65" s="1420"/>
      <c r="BS65" s="1420"/>
      <c r="BT65" s="1421"/>
    </row>
    <row r="66" ht="18" customHeight="1" spans="5:72" x14ac:dyDescent="0.25">
      <c r="E66" s="1335">
        <v>66</v>
      </c>
      <c r="G66" s="1216"/>
      <c r="H66" s="187"/>
      <c r="I66" s="910"/>
      <c r="J66" s="910"/>
      <c r="K66" s="910"/>
      <c r="L66" s="910"/>
      <c r="M66" s="910"/>
      <c r="N66" s="910"/>
      <c r="O66" s="1362"/>
      <c r="P66" s="1404"/>
      <c r="Q66" s="1123"/>
      <c r="R66" s="1123"/>
      <c r="S66" s="1419"/>
      <c r="T66" s="1424"/>
      <c r="U66" s="1406"/>
      <c r="V66" s="1405"/>
      <c r="W66" s="1405"/>
      <c r="X66" s="1405"/>
      <c r="Y66" s="1408"/>
      <c r="Z66" s="1426"/>
      <c r="AA66" s="1425"/>
      <c r="AB66" s="1427"/>
      <c r="AC66" s="187"/>
      <c r="AD66" s="1363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BD66" s="287"/>
      <c r="BH66" s="1420" t="s">
        <v>1111</v>
      </c>
      <c r="BI66" s="1420"/>
      <c r="BJ66" s="1420"/>
      <c r="BK66" s="1420"/>
      <c r="BL66" s="1421"/>
      <c r="BP66" s="1420"/>
      <c r="BQ66" s="1420"/>
      <c r="BR66" s="1420"/>
      <c r="BS66" s="1420"/>
      <c r="BT66" s="1421"/>
    </row>
    <row r="67" ht="18" customHeight="1" spans="5:72" x14ac:dyDescent="0.25">
      <c r="E67" s="1335">
        <v>67</v>
      </c>
      <c r="G67" s="1216"/>
      <c r="H67" s="187"/>
      <c r="I67" s="910"/>
      <c r="J67" s="910"/>
      <c r="K67" s="910"/>
      <c r="L67" s="910"/>
      <c r="M67" s="910"/>
      <c r="N67" s="910"/>
      <c r="O67" s="1362"/>
      <c r="P67" s="1404"/>
      <c r="Q67" s="1123"/>
      <c r="R67" s="1123"/>
      <c r="S67" s="1419"/>
      <c r="T67" s="1424"/>
      <c r="U67" s="1406"/>
      <c r="V67" s="1405"/>
      <c r="W67" s="1405"/>
      <c r="X67" s="1405"/>
      <c r="Y67" s="1408"/>
      <c r="Z67" s="1426"/>
      <c r="AA67" s="1425"/>
      <c r="AB67" s="1427"/>
      <c r="AC67" s="187"/>
      <c r="AD67" s="1363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BD67" s="287"/>
      <c r="BH67" s="1420" t="s">
        <v>1044</v>
      </c>
      <c r="BI67" s="1420"/>
      <c r="BJ67" s="1420"/>
      <c r="BK67" s="1420"/>
      <c r="BQ67" s="1420"/>
      <c r="BR67" s="1420"/>
      <c r="BS67" s="1420"/>
      <c r="BT67" s="1421"/>
    </row>
    <row r="68" ht="18" customHeight="1" spans="5:66" x14ac:dyDescent="0.25">
      <c r="E68" s="1335">
        <v>68</v>
      </c>
      <c r="G68" s="1216"/>
      <c r="H68" s="187"/>
      <c r="I68" s="910"/>
      <c r="J68" s="910"/>
      <c r="K68" s="910"/>
      <c r="L68" s="910"/>
      <c r="M68" s="910"/>
      <c r="N68" s="910"/>
      <c r="O68" s="1362"/>
      <c r="P68" s="1404"/>
      <c r="Q68" s="1123"/>
      <c r="R68" s="1123"/>
      <c r="S68" s="1419"/>
      <c r="T68" s="1424"/>
      <c r="U68" s="1406"/>
      <c r="V68" s="1405"/>
      <c r="W68" s="1405"/>
      <c r="X68" s="1405"/>
      <c r="Y68" s="1408"/>
      <c r="Z68" s="1426"/>
      <c r="AA68" s="1425"/>
      <c r="AB68" s="1427"/>
      <c r="AD68" s="1363"/>
      <c r="BD68" s="287"/>
      <c r="BH68" s="1420" t="s">
        <v>1112</v>
      </c>
      <c r="BI68" s="1420"/>
      <c r="BJ68" s="1420"/>
      <c r="BK68" s="1420"/>
      <c r="BN68" s="682"/>
    </row>
    <row r="69" ht="18" customHeight="1" spans="5:63" x14ac:dyDescent="0.25">
      <c r="E69" s="1335">
        <v>69</v>
      </c>
      <c r="G69" s="1216"/>
      <c r="H69" s="187"/>
      <c r="I69" s="910"/>
      <c r="J69" s="910"/>
      <c r="K69" s="910"/>
      <c r="L69" s="910"/>
      <c r="M69" s="910"/>
      <c r="N69" s="910"/>
      <c r="O69" s="1362"/>
      <c r="P69" s="1404"/>
      <c r="Q69" s="1123"/>
      <c r="R69" s="1123"/>
      <c r="S69" s="1419"/>
      <c r="T69" s="1424"/>
      <c r="U69" s="1406"/>
      <c r="V69" s="1405"/>
      <c r="W69" s="1405"/>
      <c r="X69" s="1405"/>
      <c r="Y69" s="1408"/>
      <c r="Z69" s="1426"/>
      <c r="AA69" s="1425"/>
      <c r="AB69" s="1427"/>
      <c r="AD69" s="1363"/>
      <c r="BD69" s="287"/>
      <c r="BH69" s="1420"/>
      <c r="BI69" s="1420"/>
      <c r="BJ69" s="1420"/>
      <c r="BK69" s="1420"/>
    </row>
    <row r="70" ht="18" customHeight="1" spans="5:72" x14ac:dyDescent="0.25">
      <c r="E70" s="1335">
        <v>70</v>
      </c>
      <c r="G70" s="1216"/>
      <c r="H70" s="187"/>
      <c r="I70" s="910"/>
      <c r="J70" s="910"/>
      <c r="K70" s="910"/>
      <c r="L70" s="910"/>
      <c r="M70" s="910"/>
      <c r="N70" s="910"/>
      <c r="O70" s="1362"/>
      <c r="P70" s="1404"/>
      <c r="Q70" s="1123"/>
      <c r="R70" s="1123"/>
      <c r="S70" s="1419"/>
      <c r="T70" s="1424"/>
      <c r="U70" s="1406"/>
      <c r="V70" s="1405"/>
      <c r="W70" s="1405"/>
      <c r="X70" s="1405"/>
      <c r="Y70" s="1408"/>
      <c r="Z70" s="1426"/>
      <c r="AA70" s="1425"/>
      <c r="AB70" s="1427"/>
      <c r="AD70" s="1363"/>
      <c r="BD70" s="287"/>
      <c r="BJ70" s="15"/>
      <c r="BK70" s="1418" t="s">
        <v>1125</v>
      </c>
      <c r="BL70" s="15"/>
      <c r="BM70" s="15"/>
      <c r="BN70" s="15"/>
      <c r="BO70" s="15"/>
      <c r="BP70" s="15"/>
      <c r="BQ70" s="15"/>
      <c r="BR70" s="15"/>
      <c r="BS70" s="15"/>
      <c r="BT70" s="15"/>
    </row>
    <row r="71" ht="18" customHeight="1" spans="5:56" x14ac:dyDescent="0.25">
      <c r="E71" s="1335">
        <v>71</v>
      </c>
      <c r="G71" s="1216"/>
      <c r="H71" s="187"/>
      <c r="I71" s="910"/>
      <c r="J71" s="910"/>
      <c r="K71" s="910"/>
      <c r="L71" s="910"/>
      <c r="M71" s="910"/>
      <c r="N71" s="910"/>
      <c r="O71" s="1362"/>
      <c r="P71" s="1404"/>
      <c r="Q71" s="1123"/>
      <c r="R71" s="1123"/>
      <c r="S71" s="1419"/>
      <c r="T71" s="1424"/>
      <c r="U71" s="1406"/>
      <c r="V71" s="1405"/>
      <c r="W71" s="1405"/>
      <c r="X71" s="1405"/>
      <c r="Y71" s="1408"/>
      <c r="Z71" s="1426"/>
      <c r="AA71" s="1405"/>
      <c r="AB71" s="1407"/>
      <c r="AD71" s="1363"/>
      <c r="BD71" s="287"/>
    </row>
    <row r="72" ht="17.5" customHeight="1" spans="5:65" x14ac:dyDescent="0.25">
      <c r="E72" s="1335">
        <v>72</v>
      </c>
      <c r="G72" s="1216"/>
      <c r="H72" s="187"/>
      <c r="I72" s="910"/>
      <c r="J72" s="910"/>
      <c r="K72" s="910"/>
      <c r="L72" s="910"/>
      <c r="M72" s="910"/>
      <c r="N72" s="910"/>
      <c r="O72" s="1362"/>
      <c r="P72" s="1404"/>
      <c r="Q72" s="1123"/>
      <c r="R72" s="1123"/>
      <c r="S72" s="1419"/>
      <c r="T72" s="1424"/>
      <c r="U72" s="1406"/>
      <c r="V72" s="1405"/>
      <c r="W72" s="1405"/>
      <c r="X72" s="1405"/>
      <c r="Y72" s="1406"/>
      <c r="Z72" s="1406"/>
      <c r="AA72" s="1406"/>
      <c r="AB72" s="1407"/>
      <c r="AD72" s="1363"/>
      <c r="BD72" s="287"/>
      <c r="BH72" s="1420" t="s">
        <v>1035</v>
      </c>
      <c r="BI72" s="1421"/>
      <c r="BJ72" s="1421"/>
      <c r="BK72" s="1421"/>
      <c r="BL72" s="1421"/>
      <c r="BM72" s="1421"/>
    </row>
    <row r="73" ht="17.5" customHeight="1" spans="5:67" x14ac:dyDescent="0.25">
      <c r="E73" s="1335">
        <v>73</v>
      </c>
      <c r="G73" s="1216"/>
      <c r="H73" s="187"/>
      <c r="I73" s="910"/>
      <c r="J73" s="910"/>
      <c r="K73" s="910"/>
      <c r="L73" s="910"/>
      <c r="M73" s="910"/>
      <c r="N73" s="910"/>
      <c r="O73" s="1362"/>
      <c r="P73" s="1404"/>
      <c r="Q73" s="1123"/>
      <c r="R73" s="1123"/>
      <c r="S73" s="1419"/>
      <c r="T73" s="1424"/>
      <c r="U73" s="1406"/>
      <c r="V73" s="1405"/>
      <c r="W73" s="1405"/>
      <c r="X73" s="1405"/>
      <c r="Y73" s="1406"/>
      <c r="Z73" s="1406"/>
      <c r="AA73" s="1406"/>
      <c r="AB73" s="1407"/>
      <c r="AD73" s="1363"/>
      <c r="BD73" s="287"/>
      <c r="BH73" s="1420" t="s">
        <v>1068</v>
      </c>
      <c r="BI73" s="1421"/>
      <c r="BJ73" s="1421"/>
      <c r="BK73" s="1421"/>
      <c r="BL73" s="1421"/>
      <c r="BM73" s="1421"/>
      <c r="BN73" s="1421"/>
      <c r="BO73" s="1421"/>
    </row>
    <row r="74" ht="17.5" customHeight="1" spans="5:67" x14ac:dyDescent="0.25">
      <c r="E74" s="1335">
        <v>74</v>
      </c>
      <c r="G74" s="1216"/>
      <c r="H74" s="187"/>
      <c r="I74" s="910"/>
      <c r="J74" s="910"/>
      <c r="K74" s="910"/>
      <c r="L74" s="910"/>
      <c r="M74" s="910"/>
      <c r="N74" s="910"/>
      <c r="O74" s="1362"/>
      <c r="P74" s="1404"/>
      <c r="Q74" s="1123"/>
      <c r="R74" s="1123"/>
      <c r="S74" s="1419"/>
      <c r="T74" s="1424"/>
      <c r="U74" s="1406"/>
      <c r="V74" s="1405"/>
      <c r="W74" s="1405"/>
      <c r="X74" s="1405"/>
      <c r="Y74" s="1406"/>
      <c r="Z74" s="1406"/>
      <c r="AA74" s="1406"/>
      <c r="AB74" s="1407"/>
      <c r="AD74" s="1363"/>
      <c r="BD74" s="287"/>
      <c r="BH74" s="1420" t="s">
        <v>1126</v>
      </c>
      <c r="BI74" s="1421"/>
      <c r="BJ74" s="1421"/>
      <c r="BK74" s="1421"/>
      <c r="BL74" s="1421"/>
      <c r="BM74" s="1421"/>
      <c r="BN74" s="1421"/>
      <c r="BO74" s="1421"/>
    </row>
    <row r="75" ht="17.5" customHeight="1" spans="5:67" x14ac:dyDescent="0.25">
      <c r="E75" s="1335">
        <v>75</v>
      </c>
      <c r="G75" s="1216"/>
      <c r="H75" s="187"/>
      <c r="I75" s="910"/>
      <c r="J75" s="910"/>
      <c r="K75" s="910"/>
      <c r="L75" s="910"/>
      <c r="M75" s="910"/>
      <c r="N75" s="910"/>
      <c r="O75" s="1362"/>
      <c r="P75" s="1404"/>
      <c r="Q75" s="1123"/>
      <c r="R75" s="1123"/>
      <c r="S75" s="1419"/>
      <c r="T75" s="1424"/>
      <c r="U75" s="1406"/>
      <c r="V75" s="1405"/>
      <c r="W75" s="1405"/>
      <c r="X75" s="1405"/>
      <c r="Y75" s="1406"/>
      <c r="Z75" s="1406"/>
      <c r="AA75" s="1406"/>
      <c r="AB75" s="1407"/>
      <c r="AD75" s="1363"/>
      <c r="BD75" s="287"/>
      <c r="BH75" s="1420"/>
      <c r="BI75" s="1421"/>
      <c r="BJ75" s="1421"/>
      <c r="BK75" s="1421"/>
      <c r="BL75" s="1421"/>
      <c r="BM75" s="1421"/>
      <c r="BN75" s="1421"/>
      <c r="BO75" s="1421"/>
    </row>
    <row r="76" ht="17.5" customHeight="1" spans="5:67" x14ac:dyDescent="0.25">
      <c r="E76" s="1335">
        <v>76</v>
      </c>
      <c r="G76" s="1216"/>
      <c r="H76" s="187"/>
      <c r="I76" s="910"/>
      <c r="J76" s="910"/>
      <c r="K76" s="910"/>
      <c r="L76" s="910"/>
      <c r="M76" s="910"/>
      <c r="N76" s="910"/>
      <c r="O76" s="1362"/>
      <c r="P76" s="1404"/>
      <c r="Q76" s="1123"/>
      <c r="R76" s="1123"/>
      <c r="S76" s="1419"/>
      <c r="T76" s="1424"/>
      <c r="U76" s="1406"/>
      <c r="V76" s="1405"/>
      <c r="W76" s="1405"/>
      <c r="X76" s="1405"/>
      <c r="Y76" s="1406"/>
      <c r="Z76" s="1406"/>
      <c r="AA76" s="1406"/>
      <c r="AB76" s="1407"/>
      <c r="AD76" s="1363"/>
      <c r="BD76" s="287"/>
      <c r="BH76" s="1420" t="s">
        <v>1037</v>
      </c>
      <c r="BI76" s="1421"/>
      <c r="BJ76" s="1421"/>
      <c r="BK76" s="1421"/>
      <c r="BL76" s="1421"/>
      <c r="BM76" s="1421"/>
      <c r="BN76" s="1421"/>
      <c r="BO76" s="1421"/>
    </row>
    <row r="77" ht="18" customHeight="1" spans="5:67" x14ac:dyDescent="0.25">
      <c r="E77" s="1335">
        <v>77</v>
      </c>
      <c r="G77" s="1216"/>
      <c r="H77" s="187"/>
      <c r="I77" s="910"/>
      <c r="J77" s="910"/>
      <c r="K77" s="910"/>
      <c r="L77" s="910"/>
      <c r="M77" s="910"/>
      <c r="N77" s="910"/>
      <c r="O77" s="1362"/>
      <c r="P77" s="1404"/>
      <c r="Q77" s="1123"/>
      <c r="R77" s="1123"/>
      <c r="S77" s="1419"/>
      <c r="T77" s="1424"/>
      <c r="U77" s="1406"/>
      <c r="V77" s="1405"/>
      <c r="W77" s="1405"/>
      <c r="X77" s="1405"/>
      <c r="Y77" s="1406"/>
      <c r="Z77" s="1406"/>
      <c r="AA77" s="1406"/>
      <c r="AB77" s="1407"/>
      <c r="AC77" s="1351"/>
      <c r="AD77" s="1363"/>
      <c r="AE77" s="1351"/>
      <c r="AF77" s="1351"/>
      <c r="AG77" s="1351"/>
      <c r="AH77" s="1351"/>
      <c r="AI77" s="1351"/>
      <c r="AJ77" s="1351"/>
      <c r="AK77" s="1351"/>
      <c r="AL77" s="1351"/>
      <c r="AM77" s="1351"/>
      <c r="AN77" s="1351"/>
      <c r="AO77" s="1351"/>
      <c r="AP77" s="1351"/>
      <c r="AQ77" s="1351"/>
      <c r="AR77" s="1351"/>
      <c r="AS77" s="1351"/>
      <c r="AT77" s="1351"/>
      <c r="AU77" s="1351"/>
      <c r="AV77" s="1351"/>
      <c r="AW77" s="1351"/>
      <c r="AX77" s="1351"/>
      <c r="AY77" s="1351"/>
      <c r="AZ77" s="1351"/>
      <c r="BA77" s="1351"/>
      <c r="BB77" s="1351"/>
      <c r="BC77" s="1351"/>
      <c r="BD77" s="287"/>
      <c r="BH77" s="1420" t="s">
        <v>1070</v>
      </c>
      <c r="BI77" s="1421"/>
      <c r="BJ77" s="1421"/>
      <c r="BK77" s="1421"/>
      <c r="BL77" s="1421"/>
      <c r="BM77" s="1421"/>
      <c r="BN77" s="1421"/>
      <c r="BO77" s="1421"/>
    </row>
    <row r="78" ht="18" customHeight="1" spans="5:67" x14ac:dyDescent="0.25">
      <c r="E78" s="1335">
        <v>78</v>
      </c>
      <c r="F78" s="696"/>
      <c r="G78" s="1430"/>
      <c r="H78" s="1431"/>
      <c r="I78" s="1432"/>
      <c r="J78" s="1432"/>
      <c r="K78" s="1432"/>
      <c r="L78" s="1432"/>
      <c r="M78" s="1432"/>
      <c r="N78" s="1433"/>
      <c r="O78" s="1362"/>
      <c r="P78" s="1404"/>
      <c r="Q78" s="1123"/>
      <c r="R78" s="1123"/>
      <c r="S78" s="1419"/>
      <c r="T78" s="1424"/>
      <c r="U78" s="1406"/>
      <c r="V78" s="1405"/>
      <c r="W78" s="1405"/>
      <c r="X78" s="1405"/>
      <c r="Y78" s="1406"/>
      <c r="Z78" s="1406"/>
      <c r="AA78" s="1406"/>
      <c r="AB78" s="1407"/>
      <c r="AC78" s="419"/>
      <c r="AD78" s="1363"/>
      <c r="AE78" s="419"/>
      <c r="AF78" s="419"/>
      <c r="AG78" s="419"/>
      <c r="AH78" s="419"/>
      <c r="AI78" s="419"/>
      <c r="AJ78" s="419"/>
      <c r="AK78" s="419"/>
      <c r="AL78" s="419"/>
      <c r="AM78" s="419"/>
      <c r="AN78" s="419"/>
      <c r="AO78" s="419"/>
      <c r="AP78" s="419"/>
      <c r="AQ78" s="419"/>
      <c r="AR78" s="419"/>
      <c r="AS78" s="419"/>
      <c r="AT78" s="419"/>
      <c r="AU78" s="419"/>
      <c r="AV78" s="419"/>
      <c r="AW78" s="419"/>
      <c r="AY78" s="419"/>
      <c r="AZ78" s="419"/>
      <c r="BA78" s="419"/>
      <c r="BB78" s="419"/>
      <c r="BC78" s="1388" t="s">
        <v>984</v>
      </c>
      <c r="BD78" s="287"/>
      <c r="BH78" s="1420" t="s">
        <v>1127</v>
      </c>
      <c r="BI78" s="1421"/>
      <c r="BJ78" s="1421"/>
      <c r="BK78" s="1421"/>
      <c r="BL78" s="1421"/>
      <c r="BM78" s="1421"/>
      <c r="BN78" s="1421"/>
      <c r="BO78" s="1421"/>
    </row>
    <row r="79" ht="17.5" customHeight="1" spans="13:67" x14ac:dyDescent="0.25">
      <c r="M79" s="1434">
        <v>1993</v>
      </c>
      <c r="N79" s="1435">
        <v>1994</v>
      </c>
      <c r="O79" s="1436">
        <v>1995</v>
      </c>
      <c r="P79" s="1437">
        <v>1996</v>
      </c>
      <c r="Q79" s="1437">
        <v>1997</v>
      </c>
      <c r="R79" s="1437">
        <v>1998</v>
      </c>
      <c r="S79" s="1437">
        <v>1999</v>
      </c>
      <c r="T79" s="1437">
        <v>2000</v>
      </c>
      <c r="U79" s="1437">
        <v>2001</v>
      </c>
      <c r="V79" s="1437">
        <v>2002</v>
      </c>
      <c r="W79" s="1437">
        <v>2003</v>
      </c>
      <c r="X79" s="1437">
        <v>2004</v>
      </c>
      <c r="Y79" s="1437">
        <v>2005</v>
      </c>
      <c r="Z79" s="1437">
        <v>2006</v>
      </c>
      <c r="AA79" s="1437">
        <v>2007</v>
      </c>
      <c r="AB79" s="1437">
        <v>2008</v>
      </c>
      <c r="AC79" s="1437">
        <v>2009</v>
      </c>
      <c r="AD79" s="1437">
        <v>2010</v>
      </c>
      <c r="AE79" s="1437">
        <v>2011</v>
      </c>
      <c r="AF79" s="1437">
        <v>2012</v>
      </c>
      <c r="AG79" s="1437">
        <v>2013</v>
      </c>
      <c r="AH79" s="1437">
        <v>2014</v>
      </c>
      <c r="AI79" s="1437">
        <v>2015</v>
      </c>
      <c r="AJ79" s="1437">
        <v>2016</v>
      </c>
      <c r="AK79" s="1437">
        <v>2017</v>
      </c>
      <c r="AL79" s="1437">
        <v>2018</v>
      </c>
      <c r="AM79" s="1437">
        <v>2019</v>
      </c>
      <c r="AN79" s="1437">
        <v>2020</v>
      </c>
      <c r="AO79" s="1437">
        <v>2021</v>
      </c>
      <c r="AP79" s="1437">
        <v>2022</v>
      </c>
      <c r="AQ79" s="1437">
        <v>2023</v>
      </c>
      <c r="AR79" s="1437">
        <v>2024</v>
      </c>
      <c r="AS79" s="1438">
        <v>2025</v>
      </c>
      <c r="AT79" s="1437">
        <v>2026</v>
      </c>
      <c r="AU79" s="1438">
        <v>2027</v>
      </c>
      <c r="AV79" s="1437">
        <v>2028</v>
      </c>
      <c r="AW79" s="1438">
        <v>2029</v>
      </c>
      <c r="AX79" s="1435">
        <v>2030</v>
      </c>
      <c r="AY79" s="1438">
        <v>2031</v>
      </c>
      <c r="AZ79" s="1435">
        <v>2032</v>
      </c>
      <c r="BA79" s="1438">
        <v>2033</v>
      </c>
      <c r="BB79" s="1435">
        <v>2034</v>
      </c>
      <c r="BC79" s="1438">
        <v>2035</v>
      </c>
      <c r="BD79" s="287"/>
      <c r="BH79" s="1420"/>
      <c r="BI79" s="1421"/>
      <c r="BJ79" s="1421"/>
      <c r="BK79" s="1421"/>
      <c r="BL79" s="1421"/>
      <c r="BM79" s="1421"/>
      <c r="BN79" s="1421"/>
      <c r="BO79" s="1421"/>
    </row>
    <row r="80" ht="17.5" customHeight="1" spans="56:67" x14ac:dyDescent="0.25">
      <c r="BD80" s="287"/>
      <c r="BH80" s="1420" t="s">
        <v>1039</v>
      </c>
      <c r="BI80" s="1421"/>
      <c r="BJ80" s="1421"/>
      <c r="BK80" s="1421"/>
      <c r="BL80" s="1421"/>
      <c r="BM80" s="1421"/>
      <c r="BN80" s="1421"/>
      <c r="BO80" s="1421"/>
    </row>
    <row r="81" ht="17.5" customHeight="1" spans="38:67" x14ac:dyDescent="0.25">
      <c r="AL81" s="123"/>
      <c r="AM81" s="1439"/>
      <c r="AN81" s="1440"/>
      <c r="BD81" s="287"/>
      <c r="BH81" s="1420" t="s">
        <v>1128</v>
      </c>
      <c r="BI81" s="1421"/>
      <c r="BJ81" s="1421"/>
      <c r="BK81" s="1421"/>
      <c r="BL81" s="1421"/>
      <c r="BM81" s="1421"/>
      <c r="BN81" s="1421"/>
      <c r="BO81" s="1421"/>
    </row>
    <row r="82" ht="17.5" customHeight="1" spans="38:67" x14ac:dyDescent="0.25">
      <c r="AL82" s="123"/>
      <c r="AM82" s="187"/>
      <c r="AN82" s="187"/>
      <c r="AO82" s="187"/>
      <c r="BD82" s="287"/>
      <c r="BH82" s="1420" t="s">
        <v>1129</v>
      </c>
      <c r="BI82" s="1421"/>
      <c r="BJ82" s="1421"/>
      <c r="BK82" s="1421"/>
      <c r="BL82" s="1421"/>
      <c r="BM82" s="1421"/>
      <c r="BN82" s="1421"/>
      <c r="BO82" s="1421"/>
    </row>
    <row r="83" ht="18.5" customHeight="1" spans="4:67" x14ac:dyDescent="0.25">
      <c r="D83" s="24"/>
      <c r="Z83" s="805"/>
      <c r="AA83" s="805"/>
      <c r="AB83" s="805"/>
      <c r="AC83" s="805"/>
      <c r="AD83" s="805"/>
      <c r="BD83" s="287"/>
      <c r="BH83" s="1420" t="s">
        <v>1130</v>
      </c>
      <c r="BI83" s="1421"/>
      <c r="BJ83" s="1421"/>
      <c r="BK83" s="1421"/>
      <c r="BL83" s="1421"/>
      <c r="BM83" s="1421"/>
      <c r="BN83" s="1421"/>
      <c r="BO83" s="1421"/>
    </row>
    <row r="84" ht="18" customHeight="1" spans="8:67" x14ac:dyDescent="0.25">
      <c r="H84" s="1441" t="s">
        <v>1131</v>
      </c>
      <c r="I84" s="1442"/>
      <c r="J84" s="1442"/>
      <c r="K84" s="1442"/>
      <c r="L84" s="1442"/>
      <c r="M84" s="1442"/>
      <c r="N84" s="1442"/>
      <c r="O84" s="1100"/>
      <c r="BD84" s="287"/>
      <c r="BH84" s="1420" t="s">
        <v>1132</v>
      </c>
      <c r="BI84" s="1421"/>
      <c r="BJ84" s="1421"/>
      <c r="BK84" s="1421"/>
      <c r="BL84" s="1421"/>
      <c r="BM84" s="1421"/>
      <c r="BN84" s="1421"/>
      <c r="BO84" s="1421"/>
    </row>
    <row r="85" ht="17.5" customHeight="1" spans="8:67" x14ac:dyDescent="0.25">
      <c r="H85" s="1443"/>
      <c r="I85" s="1444" t="s">
        <v>1133</v>
      </c>
      <c r="J85" s="1445"/>
      <c r="K85" s="1445"/>
      <c r="L85" s="1445"/>
      <c r="M85" s="1445"/>
      <c r="N85" s="1446" t="s">
        <v>520</v>
      </c>
      <c r="O85" s="1447">
        <v>43942</v>
      </c>
      <c r="P85" s="254">
        <v>0</v>
      </c>
      <c r="Q85" s="254">
        <v>0</v>
      </c>
      <c r="R85" s="254">
        <v>0</v>
      </c>
      <c r="S85" s="254">
        <v>0</v>
      </c>
      <c r="T85" s="254">
        <v>0</v>
      </c>
      <c r="U85" s="254">
        <v>0</v>
      </c>
      <c r="V85" s="254">
        <v>0</v>
      </c>
      <c r="W85" s="254">
        <v>0</v>
      </c>
      <c r="X85" s="254">
        <v>0</v>
      </c>
      <c r="Y85" s="254">
        <v>0</v>
      </c>
      <c r="Z85" s="254">
        <v>0</v>
      </c>
      <c r="AA85" s="254">
        <v>0</v>
      </c>
      <c r="AB85" s="254">
        <v>0</v>
      </c>
      <c r="AC85" s="254">
        <v>0</v>
      </c>
      <c r="AD85" s="254">
        <v>0</v>
      </c>
      <c r="AE85" s="254">
        <v>0</v>
      </c>
      <c r="AF85" s="254">
        <v>0</v>
      </c>
      <c r="AG85" s="254">
        <v>0</v>
      </c>
      <c r="AH85" s="254">
        <v>0</v>
      </c>
      <c r="AI85" s="254">
        <v>0</v>
      </c>
      <c r="AJ85" s="254">
        <v>1</v>
      </c>
      <c r="AK85" s="254">
        <v>2</v>
      </c>
      <c r="AL85" s="254">
        <v>0</v>
      </c>
      <c r="AM85" s="254">
        <f t="shared" ref="AM85:BC85" si="12">AM86</f>
        <v>1260</v>
      </c>
      <c r="AN85" s="254">
        <f t="shared" si="12"/>
        <v>1080</v>
      </c>
      <c r="AO85" s="254">
        <f t="shared" si="12"/>
        <v>1080</v>
      </c>
      <c r="AP85" s="254">
        <f t="shared" si="12"/>
        <v>1080</v>
      </c>
      <c r="AQ85" s="254">
        <f t="shared" si="12"/>
        <v>1080</v>
      </c>
      <c r="AR85" s="254">
        <f t="shared" si="12"/>
        <v>1080</v>
      </c>
      <c r="AS85" s="254">
        <f t="shared" si="12"/>
        <v>1080</v>
      </c>
      <c r="AT85" s="254">
        <f t="shared" si="12"/>
        <v>1080</v>
      </c>
      <c r="AU85" s="254">
        <f t="shared" si="12"/>
        <v>1080</v>
      </c>
      <c r="AV85" s="254">
        <f t="shared" si="12"/>
        <v>1080</v>
      </c>
      <c r="AW85" s="254">
        <f t="shared" si="12"/>
        <v>1080</v>
      </c>
      <c r="AX85" s="254">
        <f t="shared" si="12"/>
        <v>1080</v>
      </c>
      <c r="AY85" s="254">
        <f t="shared" si="12"/>
        <v>1080</v>
      </c>
      <c r="AZ85" s="254">
        <f t="shared" si="12"/>
        <v>1080</v>
      </c>
      <c r="BA85" s="254">
        <f t="shared" si="12"/>
        <v>1080</v>
      </c>
      <c r="BB85" s="254">
        <f t="shared" si="12"/>
        <v>1080</v>
      </c>
      <c r="BC85" s="254">
        <f t="shared" si="12"/>
        <v>720</v>
      </c>
      <c r="BD85" s="287"/>
      <c r="BH85" s="1420"/>
      <c r="BI85" s="1421"/>
      <c r="BJ85" s="1421"/>
      <c r="BK85" s="1421"/>
      <c r="BL85" s="1421"/>
      <c r="BM85" s="1421"/>
      <c r="BN85" s="1421"/>
      <c r="BO85" s="1421"/>
    </row>
    <row r="86" ht="17.5" customHeight="1" spans="8:67" x14ac:dyDescent="0.25">
      <c r="H86" s="1443"/>
      <c r="I86" s="1448" t="s">
        <v>1134</v>
      </c>
      <c r="J86" s="1449"/>
      <c r="K86" s="1449"/>
      <c r="L86" s="1449"/>
      <c r="M86" s="1449"/>
      <c r="N86" s="1449"/>
      <c r="O86" s="1450"/>
      <c r="P86" s="187">
        <f>P85+1</f>
        <v>1</v>
      </c>
      <c r="Q86" s="187">
        <f t="shared" ref="Q86:AV86" si="13">Q85+1</f>
        <v>1</v>
      </c>
      <c r="R86" s="187">
        <f t="shared" si="13"/>
        <v>1</v>
      </c>
      <c r="S86" s="187">
        <f t="shared" si="13"/>
        <v>1</v>
      </c>
      <c r="T86" s="187">
        <f t="shared" si="13"/>
        <v>1</v>
      </c>
      <c r="U86" s="187">
        <f t="shared" si="13"/>
        <v>1</v>
      </c>
      <c r="V86" s="187">
        <f t="shared" si="13"/>
        <v>1</v>
      </c>
      <c r="W86" s="187">
        <f t="shared" si="13"/>
        <v>1</v>
      </c>
      <c r="X86" s="187">
        <f t="shared" si="13"/>
        <v>1</v>
      </c>
      <c r="Y86" s="187">
        <f t="shared" si="13"/>
        <v>1</v>
      </c>
      <c r="Z86" s="187">
        <f t="shared" si="13"/>
        <v>1</v>
      </c>
      <c r="AA86" s="187">
        <f t="shared" si="13"/>
        <v>1</v>
      </c>
      <c r="AB86" s="187">
        <f t="shared" si="13"/>
        <v>1</v>
      </c>
      <c r="AC86" s="187">
        <f t="shared" si="13"/>
        <v>1</v>
      </c>
      <c r="AD86" s="187">
        <f t="shared" si="13"/>
        <v>1</v>
      </c>
      <c r="AE86" s="187">
        <f t="shared" si="13"/>
        <v>1</v>
      </c>
      <c r="AF86" s="187">
        <f t="shared" si="13"/>
        <v>1</v>
      </c>
      <c r="AG86" s="187">
        <f t="shared" si="13"/>
        <v>1</v>
      </c>
      <c r="AH86" s="187">
        <f t="shared" si="13"/>
        <v>1</v>
      </c>
      <c r="AI86" s="187">
        <f t="shared" si="13"/>
        <v>1</v>
      </c>
      <c r="AJ86" s="187">
        <f t="shared" ref="AJ86:AK86" si="14">AJ85+1</f>
        <v>2</v>
      </c>
      <c r="AK86" s="187">
        <f t="shared" si="14"/>
        <v>3</v>
      </c>
      <c r="AL86" s="187">
        <f t="shared" si="13"/>
        <v>1</v>
      </c>
      <c r="AM86" s="187">
        <f t="shared" si="13"/>
        <v>1261</v>
      </c>
      <c r="AN86" s="187">
        <f t="shared" si="13"/>
        <v>1081</v>
      </c>
      <c r="AO86" s="187">
        <f t="shared" si="13"/>
        <v>1081</v>
      </c>
      <c r="AP86" s="187">
        <f t="shared" si="13"/>
        <v>1081</v>
      </c>
      <c r="AQ86" s="187">
        <f t="shared" si="13"/>
        <v>1081</v>
      </c>
      <c r="AR86" s="187">
        <f t="shared" si="13"/>
        <v>1081</v>
      </c>
      <c r="AS86" s="187">
        <f t="shared" si="13"/>
        <v>1081</v>
      </c>
      <c r="AT86" s="187">
        <f t="shared" si="13"/>
        <v>1081</v>
      </c>
      <c r="AU86" s="187">
        <f t="shared" si="13"/>
        <v>1081</v>
      </c>
      <c r="AV86" s="187">
        <f t="shared" si="13"/>
        <v>1081</v>
      </c>
      <c r="AW86" s="187">
        <f>AW85+1</f>
        <v>1081</v>
      </c>
      <c r="AX86" s="187">
        <f>AX85+1</f>
        <v>1081</v>
      </c>
      <c r="AY86" s="187">
        <f t="shared" ref="AY86:BC86" si="15">AY85+1</f>
        <v>1081</v>
      </c>
      <c r="AZ86" s="187">
        <f t="shared" si="15"/>
        <v>1081</v>
      </c>
      <c r="BA86" s="187">
        <f t="shared" si="15"/>
        <v>1081</v>
      </c>
      <c r="BB86" s="187">
        <f t="shared" si="15"/>
        <v>1081</v>
      </c>
      <c r="BC86" s="187">
        <f t="shared" si="15"/>
        <v>721</v>
      </c>
      <c r="BD86" s="287"/>
      <c r="BH86" s="1420" t="s">
        <v>1135</v>
      </c>
      <c r="BI86" s="1421"/>
      <c r="BJ86" s="1421"/>
      <c r="BK86" s="1421"/>
      <c r="BL86" s="1421"/>
      <c r="BM86" s="1421"/>
      <c r="BN86" s="1421"/>
      <c r="BO86" s="1421"/>
    </row>
    <row r="87" ht="17.5" customHeight="1" spans="8:67" x14ac:dyDescent="0.25">
      <c r="H87" s="1443"/>
      <c r="I87" s="1451" t="s">
        <v>1136</v>
      </c>
      <c r="J87" s="1452"/>
      <c r="K87" s="1452"/>
      <c r="L87" s="1437"/>
      <c r="M87" s="1437"/>
      <c r="N87" s="1437"/>
      <c r="O87" s="1453">
        <v>1995</v>
      </c>
      <c r="P87" s="1437">
        <v>1996</v>
      </c>
      <c r="Q87" s="1437">
        <v>1997</v>
      </c>
      <c r="R87" s="1437">
        <v>1998</v>
      </c>
      <c r="S87" s="1437">
        <v>1999</v>
      </c>
      <c r="T87" s="1437">
        <v>2000</v>
      </c>
      <c r="U87" s="1437">
        <v>2001</v>
      </c>
      <c r="V87" s="1437">
        <v>2002</v>
      </c>
      <c r="W87" s="1437">
        <v>2003</v>
      </c>
      <c r="X87" s="1437">
        <v>2004</v>
      </c>
      <c r="Y87" s="1437">
        <v>2005</v>
      </c>
      <c r="Z87" s="1437">
        <v>2006</v>
      </c>
      <c r="AA87" s="1437">
        <v>2007</v>
      </c>
      <c r="AB87" s="1437">
        <v>2008</v>
      </c>
      <c r="AC87" s="1437">
        <v>2009</v>
      </c>
      <c r="AD87" s="1437">
        <v>2010</v>
      </c>
      <c r="AE87" s="1437">
        <v>2011</v>
      </c>
      <c r="AF87" s="1437">
        <v>2012</v>
      </c>
      <c r="AG87" s="1437">
        <v>2013</v>
      </c>
      <c r="AH87" s="1437">
        <v>2014</v>
      </c>
      <c r="AI87" s="1437">
        <v>2015</v>
      </c>
      <c r="AJ87" s="1437">
        <v>2016</v>
      </c>
      <c r="AK87" s="1454">
        <v>2017</v>
      </c>
      <c r="AL87" s="1454">
        <v>2018</v>
      </c>
      <c r="AM87" s="1454">
        <v>2019</v>
      </c>
      <c r="AN87" s="1454">
        <v>2020</v>
      </c>
      <c r="AO87" s="1454">
        <v>2021</v>
      </c>
      <c r="AP87" s="1454">
        <v>2022</v>
      </c>
      <c r="AQ87" s="1454">
        <v>2023</v>
      </c>
      <c r="AR87" s="1454">
        <v>2024</v>
      </c>
      <c r="AS87" s="1454">
        <v>2025</v>
      </c>
      <c r="AT87" s="1454">
        <v>2026</v>
      </c>
      <c r="AU87" s="1454">
        <v>2027</v>
      </c>
      <c r="AV87" s="1454">
        <v>2028</v>
      </c>
      <c r="AW87" s="1454">
        <v>2029</v>
      </c>
      <c r="AX87" s="1454">
        <v>2030</v>
      </c>
      <c r="AY87" s="1454">
        <v>2031</v>
      </c>
      <c r="AZ87" s="1454">
        <v>2032</v>
      </c>
      <c r="BA87" s="1454">
        <v>2033</v>
      </c>
      <c r="BB87" s="1454">
        <v>2034</v>
      </c>
      <c r="BC87" s="1454">
        <v>2035</v>
      </c>
      <c r="BD87" s="287"/>
      <c r="BH87" s="1420" t="s">
        <v>1137</v>
      </c>
      <c r="BI87" s="1421"/>
      <c r="BJ87" s="1421"/>
      <c r="BK87" s="1421"/>
      <c r="BL87" s="1421"/>
      <c r="BM87" s="1421"/>
      <c r="BN87" s="1421"/>
      <c r="BO87" s="1421"/>
    </row>
    <row r="88" ht="17.5" customHeight="1" spans="4:67" x14ac:dyDescent="0.25">
      <c r="D88" s="1455"/>
      <c r="E88" s="1456"/>
      <c r="F88" s="1456"/>
      <c r="G88" s="1456"/>
      <c r="H88" s="1457"/>
      <c r="I88" s="1458" t="s">
        <v>589</v>
      </c>
      <c r="J88" s="1458"/>
      <c r="K88" s="1458"/>
      <c r="L88" s="1458"/>
      <c r="M88" s="1458"/>
      <c r="N88" s="1458"/>
      <c r="O88" s="1459"/>
      <c r="P88" s="820"/>
      <c r="Q88" s="820"/>
      <c r="R88" s="820"/>
      <c r="S88" s="820"/>
      <c r="T88" s="820"/>
      <c r="U88" s="820"/>
      <c r="V88" s="820"/>
      <c r="W88" s="820"/>
      <c r="X88" s="820"/>
      <c r="Y88" s="820"/>
      <c r="Z88" s="820"/>
      <c r="AA88" s="820"/>
      <c r="AB88" s="820"/>
      <c r="AC88" s="820"/>
      <c r="AD88" s="820"/>
      <c r="AE88" s="820"/>
      <c r="AF88" s="820"/>
      <c r="AG88" s="820"/>
      <c r="AH88" s="820"/>
      <c r="AI88" s="820"/>
      <c r="AK88" s="1460"/>
      <c r="AL88" s="1461" t="s">
        <v>589</v>
      </c>
      <c r="AM88" s="1460">
        <f>IF(AM85&lt;5,AL135,AM135)</f>
        <v>5946.829594217968</v>
      </c>
      <c r="AN88" s="1460">
        <f t="shared" ref="AN88:BC88" si="16">IF(AN85&lt;5,AM135,AN135)</f>
        <v>6109.207239630708</v>
      </c>
      <c r="AO88" s="1460">
        <f t="shared" si="16"/>
        <v>6387.548816179733</v>
      </c>
      <c r="AP88" s="1460">
        <f t="shared" si="16"/>
        <v>6612.541663041557</v>
      </c>
      <c r="AQ88" s="1460">
        <f t="shared" si="16"/>
        <v>6834.6274008248565</v>
      </c>
      <c r="AR88" s="1460">
        <f t="shared" si="16"/>
        <v>7059.09674425229</v>
      </c>
      <c r="AS88" s="1460">
        <f t="shared" si="16"/>
        <v>7289.405401163013</v>
      </c>
      <c r="AT88" s="1460">
        <f t="shared" si="16"/>
        <v>7527.8928579418525</v>
      </c>
      <c r="AU88" s="1460">
        <f t="shared" si="16"/>
        <v>7776.223997498215</v>
      </c>
      <c r="AV88" s="1460">
        <f t="shared" si="16"/>
        <v>8035.660740263319</v>
      </c>
      <c r="AW88" s="1460">
        <f t="shared" si="16"/>
        <v>8307.229412867184</v>
      </c>
      <c r="AX88" s="1460">
        <f t="shared" si="16"/>
        <v>8591.82413592832</v>
      </c>
      <c r="AY88" s="1460">
        <f t="shared" si="16"/>
        <v>8890.270948725774</v>
      </c>
      <c r="AZ88" s="1460">
        <f t="shared" si="16"/>
        <v>9203.367840991928</v>
      </c>
      <c r="BA88" s="1460">
        <f t="shared" si="16"/>
        <v>9531.910006626793</v>
      </c>
      <c r="BB88" s="1460">
        <f t="shared" si="16"/>
        <v>9876.70604165919</v>
      </c>
      <c r="BC88" s="1460">
        <f t="shared" si="16"/>
        <v>10238.588603864275</v>
      </c>
      <c r="BD88" s="1462" t="str">
        <f>AL88</f>
        <v>XOS</v>
      </c>
      <c r="BH88" s="1420" t="s">
        <v>1138</v>
      </c>
      <c r="BI88" s="1421"/>
      <c r="BJ88" s="1421"/>
      <c r="BK88" s="1421"/>
      <c r="BL88" s="1421"/>
      <c r="BM88" s="1421"/>
      <c r="BN88" s="1421"/>
      <c r="BO88" s="1421"/>
    </row>
    <row r="89" ht="17.5" customHeight="1" spans="4:67" x14ac:dyDescent="0.25">
      <c r="D89" s="1439"/>
      <c r="E89" s="1440"/>
      <c r="F89" s="1440"/>
      <c r="G89" s="1440"/>
      <c r="H89" s="1463"/>
      <c r="I89" s="1458" t="s">
        <v>116</v>
      </c>
      <c r="J89" s="1458"/>
      <c r="K89" s="1458"/>
      <c r="L89" s="1458"/>
      <c r="M89" s="1458"/>
      <c r="N89" s="1458"/>
      <c r="O89" s="1464"/>
      <c r="P89" s="1465"/>
      <c r="Q89" s="1465"/>
      <c r="R89" s="1465"/>
      <c r="S89" s="1465"/>
      <c r="T89" s="1465"/>
      <c r="U89" s="1465"/>
      <c r="V89" s="1465"/>
      <c r="W89" s="1465"/>
      <c r="X89" s="1465"/>
      <c r="Y89" s="1465"/>
      <c r="Z89" s="1465"/>
      <c r="AA89" s="1465"/>
      <c r="AB89" s="1465"/>
      <c r="AC89" s="1465"/>
      <c r="AD89" s="1465"/>
      <c r="AE89" s="1465"/>
      <c r="AF89" s="1465"/>
      <c r="AG89" s="1465"/>
      <c r="AH89" s="1465"/>
      <c r="AI89" s="1465"/>
      <c r="AK89" s="1460"/>
      <c r="AL89" s="1466" t="str">
        <f>I89</f>
        <v>WWP</v>
      </c>
      <c r="AM89" s="1460">
        <f>IF(AM86&lt;5,AL125,AM125)</f>
        <v>106089.18754590405</v>
      </c>
      <c r="AN89" s="1460">
        <f t="shared" ref="AN89:BC89" si="17">IF(AN86&lt;5,AM125,AN125)</f>
        <v>113297.53334709894</v>
      </c>
      <c r="AO89" s="1460">
        <f t="shared" si="17"/>
        <v>128333.75598462771</v>
      </c>
      <c r="AP89" s="1460">
        <f t="shared" si="17"/>
        <v>141286.24247736865</v>
      </c>
      <c r="AQ89" s="1460">
        <f t="shared" si="17"/>
        <v>155255.1968559705</v>
      </c>
      <c r="AR89" s="1460">
        <f t="shared" si="17"/>
        <v>170433.97879266372</v>
      </c>
      <c r="AS89" s="1460">
        <f t="shared" si="17"/>
        <v>187003.77222075325</v>
      </c>
      <c r="AT89" s="1460">
        <f t="shared" si="17"/>
        <v>205143.36637033528</v>
      </c>
      <c r="AU89" s="1460">
        <f t="shared" si="17"/>
        <v>225036.11253821413</v>
      </c>
      <c r="AV89" s="1460">
        <f t="shared" si="17"/>
        <v>246875.09341763868</v>
      </c>
      <c r="AW89" s="1460">
        <f t="shared" si="17"/>
        <v>270867.1880058097</v>
      </c>
      <c r="AX89" s="1460">
        <f t="shared" si="17"/>
        <v>297236.48463029845</v>
      </c>
      <c r="AY89" s="1460">
        <f t="shared" si="17"/>
        <v>326227.34475139517</v>
      </c>
      <c r="AZ89" s="1460">
        <f t="shared" si="17"/>
        <v>358107.32300782914</v>
      </c>
      <c r="BA89" s="1460">
        <f t="shared" si="17"/>
        <v>393170.08626854577</v>
      </c>
      <c r="BB89" s="1460">
        <f t="shared" si="17"/>
        <v>431738.43434959534</v>
      </c>
      <c r="BC89" s="1460">
        <f t="shared" si="17"/>
        <v>474167.49979999114</v>
      </c>
      <c r="BD89" s="1462" t="str">
        <f t="shared" ref="BD89:BD95" si="18">AL89</f>
        <v>WWP</v>
      </c>
      <c r="BH89" s="1420"/>
      <c r="BI89" s="1421"/>
      <c r="BJ89" s="1421"/>
      <c r="BK89" s="1421"/>
      <c r="BL89" s="1421"/>
      <c r="BM89" s="1421"/>
      <c r="BN89" s="1421"/>
      <c r="BO89" s="1421"/>
    </row>
    <row r="90" ht="17.5" customHeight="1" spans="4:77" x14ac:dyDescent="0.25">
      <c r="D90" s="1439"/>
      <c r="E90" s="1440"/>
      <c r="F90" s="1440"/>
      <c r="G90" s="1440"/>
      <c r="H90" s="1463"/>
      <c r="I90" s="1458" t="s">
        <v>381</v>
      </c>
      <c r="J90" s="1458"/>
      <c r="K90" s="1458"/>
      <c r="L90" s="1458"/>
      <c r="M90" s="1458"/>
      <c r="N90" s="1458"/>
      <c r="O90" s="1467"/>
      <c r="P90" s="1460"/>
      <c r="Q90" s="1460"/>
      <c r="R90" s="1460"/>
      <c r="S90" s="1460"/>
      <c r="T90" s="1460"/>
      <c r="U90" s="1460"/>
      <c r="V90" s="1460"/>
      <c r="W90" s="1460"/>
      <c r="X90" s="1460"/>
      <c r="Y90" s="1460"/>
      <c r="Z90" s="1460"/>
      <c r="AA90" s="1460"/>
      <c r="AB90" s="1460"/>
      <c r="AC90" s="1460"/>
      <c r="AD90" s="1460"/>
      <c r="AE90" s="1460"/>
      <c r="AF90" s="1460"/>
      <c r="AG90" s="1460"/>
      <c r="AH90" s="1460"/>
      <c r="AI90" s="1460"/>
      <c r="AK90" s="1468"/>
      <c r="AL90" s="1466" t="str">
        <f t="shared" ref="AL90:AL92" si="19">I90</f>
        <v>IPC</v>
      </c>
      <c r="AM90" s="1465">
        <f>AM14</f>
        <v>22.693455544104783</v>
      </c>
      <c r="AN90" s="1465">
        <f t="shared" ref="AN90:BC90" si="20">AN14</f>
        <v>23.807704211320324</v>
      </c>
      <c r="AO90" s="1465">
        <f t="shared" si="20"/>
        <v>24.99808942188634</v>
      </c>
      <c r="AP90" s="1465">
        <f t="shared" si="20"/>
        <v>26.24799389298066</v>
      </c>
      <c r="AQ90" s="1465">
        <f t="shared" si="20"/>
        <v>27.560393587629694</v>
      </c>
      <c r="AR90" s="1465">
        <f t="shared" si="20"/>
        <v>28.938413267011178</v>
      </c>
      <c r="AS90" s="1465">
        <f t="shared" si="20"/>
        <v>30.38533393036174</v>
      </c>
      <c r="AT90" s="1465">
        <f t="shared" si="20"/>
        <v>31.904600626879827</v>
      </c>
      <c r="AU90" s="1465">
        <f t="shared" si="20"/>
        <v>33.49983065822382</v>
      </c>
      <c r="AV90" s="1465">
        <f t="shared" si="20"/>
        <v>35.174822191135014</v>
      </c>
      <c r="AW90" s="1465">
        <f t="shared" si="20"/>
        <v>36.933563300691766</v>
      </c>
      <c r="AX90" s="1465">
        <f t="shared" si="20"/>
        <v>38.780241465726355</v>
      </c>
      <c r="AY90" s="1465">
        <f t="shared" si="20"/>
        <v>40.719253539012676</v>
      </c>
      <c r="AZ90" s="1465">
        <f t="shared" si="20"/>
        <v>42.755216215963316</v>
      </c>
      <c r="BA90" s="1465">
        <f t="shared" si="20"/>
        <v>44.892977026761486</v>
      </c>
      <c r="BB90" s="1465">
        <f t="shared" si="20"/>
        <v>47.13762587809956</v>
      </c>
      <c r="BC90" s="1465">
        <f t="shared" si="20"/>
        <v>49.494507172004546</v>
      </c>
      <c r="BD90" s="1462" t="str">
        <f t="shared" si="18"/>
        <v>IPC</v>
      </c>
      <c r="BH90" s="1420" t="s">
        <v>1139</v>
      </c>
      <c r="BI90" s="1421"/>
      <c r="BJ90" s="1421"/>
      <c r="BK90" s="1421"/>
      <c r="BL90" s="1421"/>
      <c r="BM90" s="1421"/>
      <c r="BN90" s="1421"/>
      <c r="BO90" s="1421"/>
      <c r="BY90" s="1421"/>
    </row>
    <row r="91" ht="17.5" customHeight="1" spans="5:67" x14ac:dyDescent="0.25">
      <c r="E91" s="1440"/>
      <c r="F91" s="1440"/>
      <c r="G91" s="1440"/>
      <c r="H91" s="1463"/>
      <c r="I91" s="1458" t="s">
        <v>960</v>
      </c>
      <c r="J91" s="1458"/>
      <c r="K91" s="1458"/>
      <c r="L91" s="1458"/>
      <c r="M91" s="1458"/>
      <c r="N91" s="1458"/>
      <c r="O91" s="1467"/>
      <c r="P91" s="1465"/>
      <c r="Q91" s="1460"/>
      <c r="R91" s="1460"/>
      <c r="S91" s="1465"/>
      <c r="T91" s="1465"/>
      <c r="U91" s="1465"/>
      <c r="V91" s="1465"/>
      <c r="W91" s="1465"/>
      <c r="X91" s="1465"/>
      <c r="Y91" s="1465"/>
      <c r="Z91" s="1465"/>
      <c r="AA91" s="1465"/>
      <c r="AB91" s="1465"/>
      <c r="AC91" s="1465"/>
      <c r="AD91" s="1465"/>
      <c r="AE91" s="1465"/>
      <c r="AF91" s="1465"/>
      <c r="AG91" s="1465"/>
      <c r="AH91" s="1465"/>
      <c r="AI91" s="1465"/>
      <c r="AK91" s="1460"/>
      <c r="AL91" s="1466"/>
      <c r="AM91" s="1468"/>
      <c r="AN91" s="1468"/>
      <c r="AO91" s="1468"/>
      <c r="AP91" s="1468"/>
      <c r="AQ91" s="1468"/>
      <c r="AR91" s="1468"/>
      <c r="AS91" s="1468"/>
      <c r="AT91" s="1468"/>
      <c r="AU91" s="1468"/>
      <c r="AV91" s="1468"/>
      <c r="AW91" s="1468"/>
      <c r="AX91" s="1468"/>
      <c r="AY91" s="1468"/>
      <c r="AZ91" s="1468"/>
      <c r="BA91" s="1468"/>
      <c r="BB91" s="1468"/>
      <c r="BC91" s="1468"/>
      <c r="BD91" s="1462">
        <f t="shared" si="18"/>
        <v>0</v>
      </c>
      <c r="BH91" s="1420" t="s">
        <v>1140</v>
      </c>
      <c r="BI91" s="1421"/>
      <c r="BJ91" s="1421"/>
      <c r="BK91" s="1421"/>
      <c r="BL91" s="1421"/>
      <c r="BM91" s="1421"/>
      <c r="BN91" s="1421"/>
      <c r="BO91" s="1421"/>
    </row>
    <row r="92" ht="17.5" customHeight="1" spans="4:67" x14ac:dyDescent="0.25">
      <c r="D92" s="1439"/>
      <c r="E92" s="1440"/>
      <c r="F92" s="1440"/>
      <c r="G92" s="1440"/>
      <c r="H92" s="1463"/>
      <c r="I92" s="1458" t="s">
        <v>1030</v>
      </c>
      <c r="J92" s="1469"/>
      <c r="K92" s="1458"/>
      <c r="L92" s="1458"/>
      <c r="M92" s="1458"/>
      <c r="N92" s="1458"/>
      <c r="O92" s="1467"/>
      <c r="P92" s="419"/>
      <c r="Q92" s="419"/>
      <c r="R92" s="419"/>
      <c r="S92" s="419"/>
      <c r="T92" s="419"/>
      <c r="U92" s="419"/>
      <c r="V92" s="419"/>
      <c r="W92" s="419"/>
      <c r="X92" s="419"/>
      <c r="Y92" s="419"/>
      <c r="Z92" s="419"/>
      <c r="AA92" s="419"/>
      <c r="AB92" s="419"/>
      <c r="AC92" s="419"/>
      <c r="AD92" s="419"/>
      <c r="AE92" s="419"/>
      <c r="AF92" s="419"/>
      <c r="AG92" s="419"/>
      <c r="AH92" s="419"/>
      <c r="AI92" s="419"/>
      <c r="AK92" s="1460"/>
      <c r="AL92" s="1466" t="str">
        <f t="shared" si="19"/>
        <v>qIM</v>
      </c>
      <c r="AM92" s="1468">
        <f>AM13</f>
        <v>0.23384588522954772</v>
      </c>
      <c r="AN92" s="1468">
        <f t="shared" ref="AN92:BC92" si="21">AN13</f>
        <v>0.23484588522954772</v>
      </c>
      <c r="AO92" s="1468">
        <f t="shared" si="21"/>
        <v>0.23584588522954772</v>
      </c>
      <c r="AP92" s="1468">
        <f t="shared" si="21"/>
        <v>0.23684588522954772</v>
      </c>
      <c r="AQ92" s="1468">
        <f t="shared" si="21"/>
        <v>0.23784588522954772</v>
      </c>
      <c r="AR92" s="1468">
        <f t="shared" si="21"/>
        <v>0.23884588522954772</v>
      </c>
      <c r="AS92" s="1468">
        <f t="shared" si="21"/>
        <v>0.23984588522954772</v>
      </c>
      <c r="AT92" s="1468">
        <f t="shared" si="21"/>
        <v>0.24084588522954772</v>
      </c>
      <c r="AU92" s="1468">
        <f t="shared" si="21"/>
        <v>0.24184588522954772</v>
      </c>
      <c r="AV92" s="1468">
        <f t="shared" si="21"/>
        <v>0.24284588522954773</v>
      </c>
      <c r="AW92" s="1468">
        <f t="shared" si="21"/>
        <v>0.24384588522954773</v>
      </c>
      <c r="AX92" s="1468">
        <f t="shared" si="21"/>
        <v>0.24484588522954773</v>
      </c>
      <c r="AY92" s="1468">
        <f t="shared" si="21"/>
        <v>0.24584588522954773</v>
      </c>
      <c r="AZ92" s="1468">
        <f t="shared" si="21"/>
        <v>0.24684588522954773</v>
      </c>
      <c r="BA92" s="1468">
        <f t="shared" si="21"/>
        <v>0.24784588522954773</v>
      </c>
      <c r="BB92" s="1468">
        <f t="shared" si="21"/>
        <v>0.24884588522954773</v>
      </c>
      <c r="BC92" s="1468">
        <f t="shared" si="21"/>
        <v>0.24984588522954773</v>
      </c>
      <c r="BD92" s="1462" t="str">
        <f t="shared" si="18"/>
        <v>qIM</v>
      </c>
      <c r="BH92" s="1420" t="s">
        <v>1052</v>
      </c>
      <c r="BI92" s="1421"/>
      <c r="BJ92" s="1421"/>
      <c r="BK92" s="1421"/>
      <c r="BL92" s="1421"/>
      <c r="BM92" s="1421"/>
      <c r="BN92" s="1421"/>
      <c r="BO92" s="1421"/>
    </row>
    <row r="93" ht="17.5" customHeight="1" spans="6:67" x14ac:dyDescent="0.25">
      <c r="F93" s="1440"/>
      <c r="G93" s="1440"/>
      <c r="H93" s="1463"/>
      <c r="I93" s="1458"/>
      <c r="J93" s="1458"/>
      <c r="K93" s="1458"/>
      <c r="L93" s="1458"/>
      <c r="M93" s="1458"/>
      <c r="N93" s="1458"/>
      <c r="O93" s="1467"/>
      <c r="P93" s="1465"/>
      <c r="Q93" s="419"/>
      <c r="R93" s="419"/>
      <c r="S93" s="419"/>
      <c r="T93" s="419"/>
      <c r="U93" s="1465"/>
      <c r="V93" s="1465"/>
      <c r="W93" s="1465"/>
      <c r="X93" s="1465"/>
      <c r="Y93" s="1465"/>
      <c r="Z93" s="1465"/>
      <c r="AA93" s="1465"/>
      <c r="AB93" s="1465"/>
      <c r="AC93" s="1465"/>
      <c r="AD93" s="1465"/>
      <c r="AE93" s="1465"/>
      <c r="AF93" s="1465"/>
      <c r="AG93" s="1465"/>
      <c r="AH93" s="1465"/>
      <c r="AI93" s="1465"/>
      <c r="AK93" s="1460"/>
      <c r="AL93" s="1470" t="s">
        <v>480</v>
      </c>
      <c r="AM93" s="1468">
        <f>AM29</f>
        <v>0.06265730155307597</v>
      </c>
      <c r="AN93" s="1468">
        <f t="shared" ref="AN93:BC93" si="22">AN29</f>
        <v>0.06413628040928876</v>
      </c>
      <c r="AO93" s="1468">
        <f t="shared" si="22"/>
        <v>0.06487576983739515</v>
      </c>
      <c r="AP93" s="1468">
        <f t="shared" si="22"/>
        <v>0.06524551455144835</v>
      </c>
      <c r="AQ93" s="1468">
        <f t="shared" si="22"/>
        <v>0.06543038690847494</v>
      </c>
      <c r="AR93" s="1468">
        <f t="shared" si="22"/>
        <v>0.06552282308698823</v>
      </c>
      <c r="AS93" s="1468">
        <f t="shared" si="22"/>
        <v>0.06556904117624487</v>
      </c>
      <c r="AT93" s="1468">
        <f t="shared" si="22"/>
        <v>0.0655921502208732</v>
      </c>
      <c r="AU93" s="1468">
        <f t="shared" si="22"/>
        <v>0.06560370474318736</v>
      </c>
      <c r="AV93" s="1468">
        <f t="shared" si="22"/>
        <v>0.06560948200434444</v>
      </c>
      <c r="AW93" s="1468">
        <f t="shared" si="22"/>
        <v>0.06561237063492298</v>
      </c>
      <c r="AX93" s="1468">
        <f t="shared" si="22"/>
        <v>0.06561381495021225</v>
      </c>
      <c r="AY93" s="1468">
        <f t="shared" si="22"/>
        <v>0.06561453710785689</v>
      </c>
      <c r="AZ93" s="1468">
        <f t="shared" si="22"/>
        <v>0.0656148981866792</v>
      </c>
      <c r="BA93" s="1468">
        <f t="shared" si="22"/>
        <v>0.06561507872609036</v>
      </c>
      <c r="BB93" s="1468">
        <f t="shared" si="22"/>
        <v>0.06561516899579595</v>
      </c>
      <c r="BC93" s="1468">
        <f t="shared" si="22"/>
        <v>0.06561521413064875</v>
      </c>
      <c r="BD93" s="1462" t="str">
        <f t="shared" si="18"/>
        <v>n1</v>
      </c>
      <c r="BH93" s="1420" t="s">
        <v>1050</v>
      </c>
      <c r="BI93" s="1421"/>
      <c r="BJ93" s="1421"/>
      <c r="BK93" s="1421"/>
      <c r="BL93" s="1421"/>
      <c r="BM93" s="1421"/>
      <c r="BN93" s="1421"/>
      <c r="BO93" s="1421"/>
    </row>
    <row r="94" ht="17.5" customHeight="1" spans="4:67" x14ac:dyDescent="0.25">
      <c r="D94" s="1439"/>
      <c r="E94" s="1440"/>
      <c r="F94" s="1440"/>
      <c r="G94" s="1440"/>
      <c r="H94" s="1463"/>
      <c r="I94" s="1458"/>
      <c r="J94" s="1458"/>
      <c r="K94" s="1458"/>
      <c r="L94" s="1458"/>
      <c r="M94" s="1458"/>
      <c r="N94" s="1458"/>
      <c r="O94" s="1467"/>
      <c r="P94" s="1369"/>
      <c r="S94" s="1369"/>
      <c r="T94" s="1369"/>
      <c r="U94" s="1369"/>
      <c r="V94" s="1369"/>
      <c r="W94" s="1369"/>
      <c r="X94" s="1369"/>
      <c r="Y94" s="1369"/>
      <c r="Z94" s="1369"/>
      <c r="AA94" s="1369"/>
      <c r="AB94" s="1369"/>
      <c r="AC94" s="1369"/>
      <c r="AD94" s="1369"/>
      <c r="AE94" s="1369"/>
      <c r="AI94" s="1369"/>
      <c r="AK94" s="1460"/>
      <c r="AL94" s="1471" t="s">
        <v>483</v>
      </c>
      <c r="AM94" s="1468">
        <f>AM30</f>
        <v>0.06264383228631655</v>
      </c>
      <c r="AN94" s="1468">
        <f t="shared" ref="AN94:BC94" si="23">AN30</f>
        <v>0.06517593066638985</v>
      </c>
      <c r="AO94" s="1468">
        <f t="shared" si="23"/>
        <v>0.06694839953244117</v>
      </c>
      <c r="AP94" s="1468">
        <f t="shared" si="23"/>
        <v>0.06818912773867708</v>
      </c>
      <c r="AQ94" s="1468">
        <f t="shared" si="23"/>
        <v>0.06905763748304222</v>
      </c>
      <c r="AR94" s="1468">
        <f t="shared" si="23"/>
        <v>0.06966559430409783</v>
      </c>
      <c r="AS94" s="1468">
        <f t="shared" si="23"/>
        <v>0.07009116407883675</v>
      </c>
      <c r="AT94" s="1468">
        <f t="shared" si="23"/>
        <v>0.070389062921154</v>
      </c>
      <c r="AU94" s="1468">
        <f t="shared" si="23"/>
        <v>0.07059759211077607</v>
      </c>
      <c r="AV94" s="1468">
        <f t="shared" si="23"/>
        <v>0.07074356254351152</v>
      </c>
      <c r="AW94" s="1468">
        <f t="shared" si="23"/>
        <v>0.07084574184642634</v>
      </c>
      <c r="AX94" s="1468">
        <f t="shared" si="23"/>
        <v>0.0709172673584667</v>
      </c>
      <c r="AY94" s="1468">
        <f t="shared" si="23"/>
        <v>0.07096733521689497</v>
      </c>
      <c r="AZ94" s="1468">
        <f t="shared" si="23"/>
        <v>0.07100238271779474</v>
      </c>
      <c r="BA94" s="1468">
        <f t="shared" si="23"/>
        <v>0.07102691596842459</v>
      </c>
      <c r="BB94" s="1468">
        <f t="shared" si="23"/>
        <v>0.07104408924386547</v>
      </c>
      <c r="BC94" s="1468">
        <f t="shared" si="23"/>
        <v>0.0710561105366741</v>
      </c>
      <c r="BD94" s="1462" t="str">
        <f t="shared" si="18"/>
        <v>n2</v>
      </c>
      <c r="BH94" s="1420" t="s">
        <v>1141</v>
      </c>
      <c r="BI94" s="1421"/>
      <c r="BJ94" s="1421"/>
      <c r="BK94" s="1421"/>
      <c r="BL94" s="1421"/>
      <c r="BM94" s="1421"/>
      <c r="BN94" s="1421"/>
      <c r="BO94" s="1421"/>
    </row>
    <row r="95" ht="15.5" customHeight="1" spans="4:67" x14ac:dyDescent="0.25">
      <c r="D95" s="1439"/>
      <c r="E95" s="1440"/>
      <c r="F95" s="1440"/>
      <c r="G95" s="113"/>
      <c r="H95" s="1463"/>
      <c r="I95" s="1458"/>
      <c r="J95" s="1458"/>
      <c r="K95" s="1458"/>
      <c r="L95" s="1458"/>
      <c r="M95" s="1458"/>
      <c r="N95" s="1458"/>
      <c r="O95" s="1467"/>
      <c r="P95" s="1465"/>
      <c r="Q95" s="1465"/>
      <c r="R95" s="1465"/>
      <c r="S95" s="1465"/>
      <c r="T95" s="1465"/>
      <c r="U95" s="1465"/>
      <c r="V95" s="1465"/>
      <c r="W95" s="1465"/>
      <c r="X95" s="1465"/>
      <c r="Y95" s="1465"/>
      <c r="Z95" s="1465"/>
      <c r="AA95" s="1465"/>
      <c r="AB95" s="1465"/>
      <c r="AC95" s="1465"/>
      <c r="AD95" s="1465"/>
      <c r="AE95" s="1465"/>
      <c r="AF95" s="1465"/>
      <c r="AK95" s="1468"/>
      <c r="AL95" s="1461" t="s">
        <v>355</v>
      </c>
      <c r="AM95" s="1468">
        <f>AM10</f>
        <v>0.5293288187406529</v>
      </c>
      <c r="AN95" s="1468">
        <f t="shared" ref="AN95:BC95" si="24">AN10</f>
        <v>0.5303288187406529</v>
      </c>
      <c r="AO95" s="1468">
        <f t="shared" si="24"/>
        <v>0.5313288187406529</v>
      </c>
      <c r="AP95" s="1468">
        <f t="shared" si="24"/>
        <v>0.5323288187406529</v>
      </c>
      <c r="AQ95" s="1468">
        <f t="shared" si="24"/>
        <v>0.5333288187406529</v>
      </c>
      <c r="AR95" s="1468">
        <f t="shared" si="24"/>
        <v>0.5343288187406529</v>
      </c>
      <c r="AS95" s="1468">
        <f t="shared" si="24"/>
        <v>0.5353288187406529</v>
      </c>
      <c r="AT95" s="1468">
        <f t="shared" si="24"/>
        <v>0.5363288187406529</v>
      </c>
      <c r="AU95" s="1468">
        <f t="shared" si="24"/>
        <v>0.5373288187406529</v>
      </c>
      <c r="AV95" s="1468">
        <f t="shared" si="24"/>
        <v>0.5383288187406529</v>
      </c>
      <c r="AW95" s="1468">
        <f t="shared" si="24"/>
        <v>0.5393288187406529</v>
      </c>
      <c r="AX95" s="1468">
        <f t="shared" si="24"/>
        <v>0.5403288187406529</v>
      </c>
      <c r="AY95" s="1468">
        <f t="shared" si="24"/>
        <v>0.5413288187406529</v>
      </c>
      <c r="AZ95" s="1468">
        <f t="shared" si="24"/>
        <v>0.5423288187406529</v>
      </c>
      <c r="BA95" s="1468">
        <f t="shared" si="24"/>
        <v>0.5433288187406529</v>
      </c>
      <c r="BB95" s="1468">
        <f t="shared" si="24"/>
        <v>0.5443288187406529</v>
      </c>
      <c r="BC95" s="1468">
        <f t="shared" si="24"/>
        <v>0.5453288187406529</v>
      </c>
      <c r="BD95" s="1462" t="str">
        <f t="shared" si="18"/>
        <v>aS</v>
      </c>
      <c r="BN95" s="1421"/>
      <c r="BO95" s="1421"/>
    </row>
    <row r="96" ht="17.25" customHeight="1" spans="4:67" x14ac:dyDescent="0.25">
      <c r="D96" s="1472"/>
      <c r="E96" s="20"/>
      <c r="F96" s="20"/>
      <c r="G96" s="113"/>
      <c r="H96" s="1473"/>
      <c r="I96" s="1458"/>
      <c r="J96" s="1458"/>
      <c r="K96" s="1458"/>
      <c r="L96" s="1458"/>
      <c r="M96" s="1458"/>
      <c r="N96" s="1458"/>
      <c r="O96" s="1467"/>
      <c r="P96" s="419"/>
      <c r="Q96" s="419"/>
      <c r="R96" s="419"/>
      <c r="S96" s="419"/>
      <c r="T96" s="419"/>
      <c r="U96" s="419"/>
      <c r="V96" s="419"/>
      <c r="W96" s="419"/>
      <c r="X96" s="419"/>
      <c r="Y96" s="419"/>
      <c r="Z96" s="419"/>
      <c r="AA96" s="419"/>
      <c r="AB96" s="419"/>
      <c r="AC96" s="419"/>
      <c r="AD96" s="419"/>
      <c r="AE96" s="419"/>
      <c r="AF96" s="419"/>
      <c r="AG96" s="419"/>
      <c r="AH96" s="419"/>
      <c r="AI96" s="419"/>
      <c r="AK96" s="1372"/>
      <c r="AL96" s="1474"/>
      <c r="AM96" s="1372"/>
      <c r="AN96" s="1372"/>
      <c r="AO96" s="1372"/>
      <c r="AP96" s="1372"/>
      <c r="AQ96" s="1372"/>
      <c r="AR96" s="1372"/>
      <c r="AS96" s="1372"/>
      <c r="AT96" s="1372"/>
      <c r="AU96" s="1372"/>
      <c r="AV96" s="1372"/>
      <c r="AW96" s="1372"/>
      <c r="AX96" s="1372"/>
      <c r="AY96" s="1372"/>
      <c r="AZ96" s="1372"/>
      <c r="BA96" s="1372"/>
      <c r="BB96" s="1372"/>
      <c r="BC96" s="1372"/>
      <c r="BD96" s="1462"/>
      <c r="BH96" s="1420" t="s">
        <v>1142</v>
      </c>
      <c r="BI96" s="1421"/>
      <c r="BJ96" s="1421"/>
      <c r="BK96" s="1421"/>
      <c r="BL96" s="1421"/>
      <c r="BM96" s="1421"/>
      <c r="BN96" s="1421"/>
      <c r="BO96" s="1421"/>
    </row>
    <row r="97" ht="15.75" customHeight="1" spans="4:67" x14ac:dyDescent="0.25">
      <c r="D97" s="1475"/>
      <c r="E97" s="82"/>
      <c r="F97" s="82"/>
      <c r="G97" s="174"/>
      <c r="H97" s="1476"/>
      <c r="I97" s="1458"/>
      <c r="J97" s="1458"/>
      <c r="K97" s="1458"/>
      <c r="L97" s="1458"/>
      <c r="M97" s="1458"/>
      <c r="N97" s="1458"/>
      <c r="O97" s="1467">
        <v>1</v>
      </c>
      <c r="P97" s="1460">
        <v>2</v>
      </c>
      <c r="Q97" s="1460">
        <v>3</v>
      </c>
      <c r="R97" s="1460">
        <v>4</v>
      </c>
      <c r="S97" s="1460">
        <v>5</v>
      </c>
      <c r="T97" s="1460">
        <v>6</v>
      </c>
      <c r="U97" s="1460">
        <v>7</v>
      </c>
      <c r="V97" s="1460">
        <v>8</v>
      </c>
      <c r="W97" s="1460">
        <v>9</v>
      </c>
      <c r="X97" s="1460">
        <v>10</v>
      </c>
      <c r="Y97" s="1460">
        <v>11</v>
      </c>
      <c r="Z97" s="1460">
        <v>12</v>
      </c>
      <c r="AA97" s="1460">
        <v>13</v>
      </c>
      <c r="AB97" s="1460">
        <v>14</v>
      </c>
      <c r="AC97" s="1460">
        <v>15</v>
      </c>
      <c r="AD97" s="1460">
        <v>16</v>
      </c>
      <c r="AE97" s="1460">
        <v>17</v>
      </c>
      <c r="AF97" s="1460">
        <v>18</v>
      </c>
      <c r="AG97" s="1460">
        <v>19</v>
      </c>
      <c r="AH97" s="1460">
        <v>20</v>
      </c>
      <c r="AI97" s="1460">
        <v>21</v>
      </c>
      <c r="AJ97" s="1460">
        <v>22</v>
      </c>
      <c r="AK97" s="1460">
        <v>23</v>
      </c>
      <c r="AL97" s="1460">
        <v>24</v>
      </c>
      <c r="AM97" s="1460">
        <v>25</v>
      </c>
      <c r="AN97" s="1460">
        <v>26</v>
      </c>
      <c r="AO97" s="1460">
        <v>27</v>
      </c>
      <c r="AP97" s="1460">
        <v>28</v>
      </c>
      <c r="AQ97" s="1460">
        <v>29</v>
      </c>
      <c r="AR97" s="1460">
        <v>30</v>
      </c>
      <c r="AS97" s="1460">
        <v>31</v>
      </c>
      <c r="AT97" s="1460">
        <v>32</v>
      </c>
      <c r="AU97" s="1460">
        <v>33</v>
      </c>
      <c r="AV97" s="1460">
        <v>34</v>
      </c>
      <c r="AW97" s="1460">
        <v>35</v>
      </c>
      <c r="AX97" s="1460">
        <v>36</v>
      </c>
      <c r="AY97" s="1460">
        <v>37</v>
      </c>
      <c r="AZ97" s="1460">
        <v>38</v>
      </c>
      <c r="BA97" s="1460">
        <v>39</v>
      </c>
      <c r="BB97" s="1460">
        <v>40</v>
      </c>
      <c r="BC97" s="1460">
        <v>41</v>
      </c>
      <c r="BD97" s="1462"/>
      <c r="BH97" s="1420" t="s">
        <v>1143</v>
      </c>
      <c r="BI97" s="1421"/>
      <c r="BJ97" s="1421"/>
      <c r="BK97" s="1421"/>
      <c r="BL97" s="1421"/>
      <c r="BM97" s="1421"/>
      <c r="BN97" s="1421"/>
      <c r="BO97" s="1421"/>
    </row>
    <row r="98" ht="17.5" customHeight="1" spans="1:66" x14ac:dyDescent="0.25">
      <c r="A98" s="24"/>
      <c r="B98" s="24"/>
      <c r="C98" s="24"/>
      <c r="D98" s="24"/>
      <c r="E98" s="24"/>
      <c r="F98" s="24"/>
      <c r="G98" s="187"/>
      <c r="H98" s="1443"/>
      <c r="I98" s="1477" t="s">
        <v>1144</v>
      </c>
      <c r="J98" s="1478"/>
      <c r="K98" s="1478"/>
      <c r="L98" s="1454"/>
      <c r="M98" s="1454"/>
      <c r="N98" s="1479"/>
      <c r="O98" s="1480" t="s">
        <v>1004</v>
      </c>
      <c r="P98" s="1437">
        <v>1996</v>
      </c>
      <c r="Q98" s="1437">
        <v>1997</v>
      </c>
      <c r="R98" s="1437">
        <v>1998</v>
      </c>
      <c r="S98" s="1437">
        <v>1999</v>
      </c>
      <c r="T98" s="1437">
        <v>2000</v>
      </c>
      <c r="U98" s="1437">
        <v>2001</v>
      </c>
      <c r="V98" s="1437">
        <v>2002</v>
      </c>
      <c r="W98" s="1437">
        <v>2003</v>
      </c>
      <c r="X98" s="1437">
        <v>2004</v>
      </c>
      <c r="Y98" s="1437">
        <v>2005</v>
      </c>
      <c r="Z98" s="1437">
        <v>2006</v>
      </c>
      <c r="AA98" s="1437">
        <v>2007</v>
      </c>
      <c r="AB98" s="1437">
        <v>2008</v>
      </c>
      <c r="AC98" s="1437">
        <v>2009</v>
      </c>
      <c r="AD98" s="1437">
        <v>2010</v>
      </c>
      <c r="AE98" s="1437">
        <v>2011</v>
      </c>
      <c r="AF98" s="1437">
        <v>2012</v>
      </c>
      <c r="AG98" s="1437">
        <v>2013</v>
      </c>
      <c r="AH98" s="1437">
        <v>2014</v>
      </c>
      <c r="AI98" s="1437">
        <v>2015</v>
      </c>
      <c r="AJ98" s="1437">
        <v>2016</v>
      </c>
      <c r="AK98" s="1437">
        <v>2017</v>
      </c>
      <c r="AL98" s="1437">
        <v>2018</v>
      </c>
      <c r="AM98" s="1437">
        <v>2019</v>
      </c>
      <c r="AN98" s="1437">
        <v>2020</v>
      </c>
      <c r="AO98" s="1437">
        <v>2021</v>
      </c>
      <c r="AP98" s="1437">
        <v>2022</v>
      </c>
      <c r="AQ98" s="1437">
        <v>2023</v>
      </c>
      <c r="AR98" s="1437">
        <v>2024</v>
      </c>
      <c r="AS98" s="1437">
        <v>2025</v>
      </c>
      <c r="AT98" s="1437">
        <v>2026</v>
      </c>
      <c r="AU98" s="1437">
        <v>2027</v>
      </c>
      <c r="AV98" s="1437">
        <v>2028</v>
      </c>
      <c r="AW98" s="1437">
        <v>2029</v>
      </c>
      <c r="AX98" s="1437">
        <v>2030</v>
      </c>
      <c r="AY98" s="1437">
        <v>2031</v>
      </c>
      <c r="AZ98" s="1437">
        <v>2032</v>
      </c>
      <c r="BA98" s="1437">
        <v>2033</v>
      </c>
      <c r="BB98" s="1437">
        <v>2034</v>
      </c>
      <c r="BC98" s="1437">
        <v>2035</v>
      </c>
      <c r="BD98" s="1462"/>
      <c r="BH98" s="1420" t="s">
        <v>209</v>
      </c>
      <c r="BI98" s="1421"/>
      <c r="BJ98" s="1421"/>
      <c r="BK98" s="1421"/>
      <c r="BL98" s="1421"/>
      <c r="BM98" s="1421"/>
      <c r="BN98" s="1421"/>
    </row>
    <row r="99" ht="17.5" customHeight="1" spans="1:66" x14ac:dyDescent="0.25">
      <c r="A99" s="123"/>
      <c r="B99" s="31"/>
      <c r="C99" s="187"/>
      <c r="D99" s="187"/>
      <c r="E99" s="24"/>
      <c r="F99" s="24"/>
      <c r="G99" s="1481" t="s">
        <v>24</v>
      </c>
      <c r="H99" s="1443">
        <v>6</v>
      </c>
      <c r="I99" s="1482" t="s">
        <v>1145</v>
      </c>
      <c r="J99" s="1483" t="s">
        <v>1146</v>
      </c>
      <c r="K99" s="1483"/>
      <c r="L99" s="1483" t="s">
        <v>1147</v>
      </c>
      <c r="M99" s="1483"/>
      <c r="N99" s="1484"/>
      <c r="O99" s="1485">
        <f>ОТЧЁТ!U79</f>
        <v>266.974</v>
      </c>
      <c r="P99" s="1460">
        <f>ОТЧЁТ!V195</f>
        <v>218.651706</v>
      </c>
      <c r="Q99" s="1460">
        <f>ОТЧЁТ!W195</f>
        <v>207.7191207</v>
      </c>
      <c r="R99" s="1460">
        <f>ОТЧЁТ!X195</f>
        <v>182.79282621599998</v>
      </c>
      <c r="S99" s="1460">
        <f>ОТЧЁТ!Y195</f>
        <v>191.9324675268</v>
      </c>
      <c r="T99" s="1460">
        <f>ОТЧЁТ!Z195</f>
        <v>225.32871687646318</v>
      </c>
      <c r="U99" s="1460">
        <f>ОТЧЁТ!AA195</f>
        <v>247.86158856410952</v>
      </c>
      <c r="V99" s="1460">
        <f>ОТЧЁТ!AB195</f>
        <v>254.80171304390458</v>
      </c>
      <c r="W99" s="1460">
        <f>ОТЧЁТ!AC195</f>
        <v>286.65192717439265</v>
      </c>
      <c r="X99" s="1460">
        <f>ОТЧЁТ!AD195</f>
        <v>325.9232411972844</v>
      </c>
      <c r="Y99" s="1460">
        <f>ОТЧЁТ!AE195</f>
        <v>359.1674117994075</v>
      </c>
      <c r="Z99" s="1460">
        <f>ОТЧЁТ!AF195</f>
        <v>419.14836956990854</v>
      </c>
      <c r="AA99" s="1460">
        <f>ОТЧЁТ!AG195</f>
        <v>514.2950494622778</v>
      </c>
      <c r="AB99" s="1460">
        <f>ОТЧЁТ!AH195</f>
        <v>563.1530791611942</v>
      </c>
      <c r="AC99" s="1460">
        <f>ОТЧЁТ!AI195</f>
        <v>487.127413474433</v>
      </c>
      <c r="AD99" s="1460">
        <f>ОТЧЁТ!AJ195</f>
        <v>517.8164405233223</v>
      </c>
      <c r="AE99" s="1460">
        <f>ОТЧЁТ!AK195</f>
        <v>573.7406160998412</v>
      </c>
      <c r="AF99" s="1460">
        <f>ОТЧЁТ!AL195</f>
        <v>612.7549779946304</v>
      </c>
      <c r="AG99" s="1460">
        <f>ОТЧЁТ!AM195</f>
        <v>617.6570178185874</v>
      </c>
      <c r="AH99" s="1460">
        <f>ОТЧЁТ!AN195</f>
        <v>608.3921625513086</v>
      </c>
      <c r="AI99" s="1460">
        <f>ОТЧЁТ!AO195</f>
        <v>546.9445541336264</v>
      </c>
      <c r="AJ99" s="1460">
        <f>ОТЧЁТ!AP195</f>
        <v>545.8506650253591</v>
      </c>
      <c r="AK99" s="1460">
        <f>ОТЧЁТ!AQ195</f>
        <v>572.0514969465764</v>
      </c>
      <c r="AL99" s="1460">
        <f>ОТЧЁТ!AR195</f>
        <v>596.6497113152792</v>
      </c>
      <c r="AM99" s="1460">
        <f>0.156*AM88-299.7</f>
        <v>628.005416698003</v>
      </c>
      <c r="AN99" s="1460">
        <f t="shared" ref="AN99:BC99" si="25">0.156*AN88-299.7</f>
        <v>653.3363293823904</v>
      </c>
      <c r="AO99" s="1460">
        <f t="shared" si="25"/>
        <v>696.7576153240384</v>
      </c>
      <c r="AP99" s="1460">
        <f t="shared" si="25"/>
        <v>731.8564994344829</v>
      </c>
      <c r="AQ99" s="1460">
        <f t="shared" si="25"/>
        <v>766.5018745286775</v>
      </c>
      <c r="AR99" s="1460">
        <f t="shared" si="25"/>
        <v>801.5190921033573</v>
      </c>
      <c r="AS99" s="1460">
        <f t="shared" si="25"/>
        <v>837.4472425814299</v>
      </c>
      <c r="AT99" s="1460">
        <f t="shared" si="25"/>
        <v>874.651285838929</v>
      </c>
      <c r="AU99" s="1460">
        <f t="shared" si="25"/>
        <v>913.3909436097215</v>
      </c>
      <c r="AV99" s="1460">
        <f t="shared" si="25"/>
        <v>953.8630754810777</v>
      </c>
      <c r="AW99" s="1460">
        <f t="shared" si="25"/>
        <v>996.2277884072805</v>
      </c>
      <c r="AX99" s="1460">
        <f t="shared" si="25"/>
        <v>1040.6245652048178</v>
      </c>
      <c r="AY99" s="1460">
        <f t="shared" si="25"/>
        <v>1087.1822680012208</v>
      </c>
      <c r="AZ99" s="1460">
        <f t="shared" si="25"/>
        <v>1136.0253831947407</v>
      </c>
      <c r="BA99" s="1460">
        <f t="shared" si="25"/>
        <v>1187.2779610337795</v>
      </c>
      <c r="BB99" s="1460">
        <f t="shared" si="25"/>
        <v>1241.0661424988336</v>
      </c>
      <c r="BC99" s="1460">
        <f t="shared" si="25"/>
        <v>1297.5198222028268</v>
      </c>
      <c r="BD99" s="1462" t="str">
        <f>G99</f>
        <v>INS</v>
      </c>
      <c r="BH99" s="1420" t="s">
        <v>1148</v>
      </c>
      <c r="BI99" s="1421"/>
      <c r="BJ99" s="1421"/>
      <c r="BK99" s="1421"/>
      <c r="BL99" s="1421"/>
      <c r="BM99" s="1421"/>
      <c r="BN99" s="1421"/>
    </row>
    <row r="100" ht="18" customHeight="1" spans="7:66" x14ac:dyDescent="0.25">
      <c r="G100" s="1481"/>
      <c r="H100" s="1443"/>
      <c r="I100" s="1482"/>
      <c r="J100" s="1483"/>
      <c r="K100" s="1483"/>
      <c r="L100" s="1483"/>
      <c r="M100" s="1483"/>
      <c r="N100" s="1484"/>
      <c r="O100" s="1485"/>
      <c r="P100" s="1369"/>
      <c r="Q100" s="1369"/>
      <c r="R100" s="1369"/>
      <c r="S100" s="1369"/>
      <c r="T100" s="1369"/>
      <c r="U100" s="1369"/>
      <c r="V100" s="1369"/>
      <c r="W100" s="1369"/>
      <c r="X100" s="1369"/>
      <c r="Y100" s="1369"/>
      <c r="Z100" s="1369"/>
      <c r="AA100" s="1369"/>
      <c r="AB100" s="1369"/>
      <c r="AC100" s="1369"/>
      <c r="AD100" s="1369"/>
      <c r="AE100" s="1369"/>
      <c r="AF100" s="1369"/>
      <c r="AG100" s="1369"/>
      <c r="AH100" s="1369"/>
      <c r="AI100" s="1369"/>
      <c r="AJ100" s="1369"/>
      <c r="AK100" s="1369"/>
      <c r="AL100" s="1369"/>
      <c r="AM100" s="1465"/>
      <c r="AN100" s="1465"/>
      <c r="AO100" s="1465"/>
      <c r="AP100" s="1465"/>
      <c r="AQ100" s="1465"/>
      <c r="AR100" s="1465"/>
      <c r="AS100" s="1465"/>
      <c r="AT100" s="1465"/>
      <c r="AU100" s="1465"/>
      <c r="AV100" s="1465"/>
      <c r="AW100" s="1465"/>
      <c r="AX100" s="1465"/>
      <c r="AY100" s="1465"/>
      <c r="AZ100" s="1465"/>
      <c r="BA100" s="1465"/>
      <c r="BB100" s="1465"/>
      <c r="BC100" s="1465"/>
      <c r="BD100" s="1462">
        <f>G100</f>
        <v>0</v>
      </c>
      <c r="BH100" s="1420"/>
      <c r="BI100" s="1421"/>
      <c r="BJ100" s="1421"/>
      <c r="BK100" s="1421"/>
      <c r="BL100" s="1421"/>
      <c r="BM100" s="1421"/>
      <c r="BN100" s="1421"/>
    </row>
    <row r="101" ht="16.25" customHeight="1" spans="7:56" x14ac:dyDescent="0.25">
      <c r="G101" s="1481"/>
      <c r="H101" s="1486"/>
      <c r="I101" s="1477" t="s">
        <v>1149</v>
      </c>
      <c r="J101" s="1478"/>
      <c r="K101" s="1478"/>
      <c r="L101" s="1454"/>
      <c r="M101" s="1454"/>
      <c r="N101" s="1479"/>
      <c r="O101" s="1487" t="s">
        <v>1004</v>
      </c>
      <c r="BD101" s="1462"/>
    </row>
    <row r="102" ht="17.5" customHeight="1" spans="1:71" x14ac:dyDescent="0.25">
      <c r="A102" s="187" t="s">
        <v>952</v>
      </c>
      <c r="B102" s="187"/>
      <c r="C102" s="187"/>
      <c r="D102" s="187"/>
      <c r="E102" s="31"/>
      <c r="F102" s="31"/>
      <c r="G102" s="1481" t="s">
        <v>336</v>
      </c>
      <c r="H102" s="1443">
        <v>4</v>
      </c>
      <c r="I102" s="1482" t="s">
        <v>1150</v>
      </c>
      <c r="J102" s="1483" t="s">
        <v>1044</v>
      </c>
      <c r="K102" s="1483"/>
      <c r="L102" s="1483" t="s">
        <v>1151</v>
      </c>
      <c r="M102" s="1483"/>
      <c r="N102" s="1484"/>
      <c r="O102" s="1485">
        <f>ОТЧЁТ!U79</f>
        <v>266.974</v>
      </c>
      <c r="P102" s="1460">
        <f>ОТЧЁТ!V79</f>
        <v>375.958</v>
      </c>
      <c r="Q102" s="1460">
        <f>ОТЧЁТ!W79</f>
        <v>408.797</v>
      </c>
      <c r="R102" s="1460">
        <f>ОТЧЁТ!X79</f>
        <v>407.086</v>
      </c>
      <c r="S102" s="1460">
        <f>ОТЧЁТ!Y79</f>
        <v>670.439</v>
      </c>
      <c r="T102" s="1460">
        <f>ОТЧЁТ!Z79</f>
        <v>1165.234</v>
      </c>
      <c r="U102" s="1460">
        <f>ОТЧЁТ!AA79</f>
        <v>1504.7</v>
      </c>
      <c r="V102" s="1460">
        <f>ОТЧЁТ!AB79</f>
        <v>1762.4</v>
      </c>
      <c r="W102" s="1460">
        <f>ОТЧЁТ!AC79</f>
        <v>2186.4</v>
      </c>
      <c r="X102" s="1460">
        <f>ОТЧЁТ!AD79</f>
        <v>2865</v>
      </c>
      <c r="Y102" s="1460">
        <f>ОТЧЁТ!AE79</f>
        <v>3611.1</v>
      </c>
      <c r="Z102" s="1460">
        <f>ОТЧЁТ!AF79</f>
        <v>4730</v>
      </c>
      <c r="AA102" s="1460">
        <f>ОТЧЁТ!AG79</f>
        <v>6716.222</v>
      </c>
      <c r="AB102" s="1460">
        <f>ОТЧЁТ!AH79</f>
        <v>8781.616</v>
      </c>
      <c r="AC102" s="1460">
        <f>ОТЧЁТ!AI79</f>
        <v>7976.013</v>
      </c>
      <c r="AD102" s="1460">
        <f>ОТЧЁТ!AJ79</f>
        <v>9152.1</v>
      </c>
      <c r="AE102" s="1460">
        <f>ОТЧЁТ!AK79</f>
        <v>11035.652</v>
      </c>
      <c r="AF102" s="1460">
        <f>ОТЧЁТ!AL79</f>
        <v>12586.090400000001</v>
      </c>
      <c r="AG102" s="1460">
        <f>ОТЧЁТ!AM79</f>
        <v>13450.2382</v>
      </c>
      <c r="AH102" s="1460">
        <f>ОТЧЁТ!AN79</f>
        <v>13902.6453</v>
      </c>
      <c r="AI102" s="1460">
        <f>ОТЧЁТ!AO79</f>
        <v>13897.2</v>
      </c>
      <c r="AJ102" s="1460">
        <f>ОТЧЁТ!AP79</f>
        <v>14748.8</v>
      </c>
      <c r="AK102" s="1460">
        <f>ОТЧЁТ!AQ79</f>
        <v>16027.3</v>
      </c>
      <c r="AL102" s="1460">
        <f>ОТЧЁТ!AR79</f>
        <v>17595</v>
      </c>
      <c r="AM102" s="1460">
        <f>AM99*AM24</f>
        <v>19198.018613235323</v>
      </c>
      <c r="AN102" s="1460">
        <f t="shared" ref="AN102:BC102" si="26">AN99*AN24</f>
        <v>20907.15238275955</v>
      </c>
      <c r="AO102" s="1460">
        <f t="shared" si="26"/>
        <v>23966.94758520079</v>
      </c>
      <c r="AP102" s="1460">
        <f t="shared" si="26"/>
        <v>26693.673842929325</v>
      </c>
      <c r="AQ102" s="1460">
        <f t="shared" si="26"/>
        <v>29628.22069633143</v>
      </c>
      <c r="AR102" s="1460">
        <f t="shared" si="26"/>
        <v>32816.35928820404</v>
      </c>
      <c r="AS102" s="1460">
        <f t="shared" si="26"/>
        <v>36300.02138869447</v>
      </c>
      <c r="AT102" s="1460">
        <f t="shared" si="26"/>
        <v>40119.853577359325</v>
      </c>
      <c r="AU102" s="1460">
        <f t="shared" si="26"/>
        <v>44317.01497289037</v>
      </c>
      <c r="AV102" s="1460">
        <f t="shared" si="26"/>
        <v>48934.49177840947</v>
      </c>
      <c r="AW102" s="1460">
        <f t="shared" si="26"/>
        <v>54018.10933865202</v>
      </c>
      <c r="AX102" s="1460">
        <f t="shared" si="26"/>
        <v>59617.36164631819</v>
      </c>
      <c r="AY102" s="1460">
        <f t="shared" si="26"/>
        <v>65786.13846018165</v>
      </c>
      <c r="AZ102" s="1460">
        <f t="shared" si="26"/>
        <v>72583.40425062674</v>
      </c>
      <c r="BA102" s="1460">
        <f t="shared" si="26"/>
        <v>80073.8663480801</v>
      </c>
      <c r="BB102" s="1460">
        <f t="shared" si="26"/>
        <v>88328.65882739653</v>
      </c>
      <c r="BC102" s="1460">
        <f t="shared" si="26"/>
        <v>97426.06177286046</v>
      </c>
      <c r="BD102" s="1462" t="str">
        <f>G102</f>
        <v>IN</v>
      </c>
      <c r="BH102" s="1420"/>
      <c r="BI102" s="1421"/>
      <c r="BJ102" s="15"/>
      <c r="BK102" s="1418" t="s">
        <v>1152</v>
      </c>
      <c r="BL102" s="15"/>
      <c r="BM102" s="15"/>
      <c r="BN102" s="15"/>
      <c r="BO102" s="15"/>
      <c r="BP102" s="15"/>
      <c r="BQ102" s="15"/>
      <c r="BR102" s="15"/>
      <c r="BS102" s="15"/>
    </row>
    <row r="103" ht="17.5" customHeight="1" spans="1:66" x14ac:dyDescent="0.25">
      <c r="A103" s="187" t="s">
        <v>1153</v>
      </c>
      <c r="B103" s="187"/>
      <c r="C103" s="187"/>
      <c r="D103" s="187"/>
      <c r="E103" s="31"/>
      <c r="F103" s="31"/>
      <c r="BH103" s="1420"/>
      <c r="BI103" s="1421"/>
      <c r="BJ103" s="1421"/>
      <c r="BK103" s="1421"/>
      <c r="BL103" s="1421"/>
      <c r="BM103" s="1421"/>
      <c r="BN103" s="1421"/>
    </row>
    <row r="104" ht="17.5" customHeight="1" spans="1:68" x14ac:dyDescent="0.25">
      <c r="A104" s="187" t="s">
        <v>1154</v>
      </c>
      <c r="B104" s="187"/>
      <c r="C104" s="187"/>
      <c r="D104" s="187"/>
      <c r="E104" s="31"/>
      <c r="F104" s="31"/>
      <c r="BH104" s="1420" t="s">
        <v>1155</v>
      </c>
      <c r="BI104" s="1421"/>
      <c r="BJ104" s="1421"/>
      <c r="BM104" s="1421"/>
      <c r="BO104" s="1420" t="s">
        <v>1156</v>
      </c>
      <c r="BP104" s="1421"/>
    </row>
    <row r="105" ht="17.5" customHeight="1" spans="1:68" x14ac:dyDescent="0.25">
      <c r="A105" s="187" t="s">
        <v>1157</v>
      </c>
      <c r="B105" s="187"/>
      <c r="C105" s="187"/>
      <c r="D105" s="187"/>
      <c r="E105" s="31"/>
      <c r="F105" s="31"/>
      <c r="G105" s="1481"/>
      <c r="H105" s="1443"/>
      <c r="I105" s="1482"/>
      <c r="J105" s="1483"/>
      <c r="K105" s="1483"/>
      <c r="L105" s="1483"/>
      <c r="M105" s="1483"/>
      <c r="N105" s="1484"/>
      <c r="O105" s="1485"/>
      <c r="P105" s="1369"/>
      <c r="Q105" s="1369"/>
      <c r="R105" s="1369"/>
      <c r="S105" s="1369"/>
      <c r="T105" s="1369"/>
      <c r="U105" s="1369"/>
      <c r="V105" s="1369"/>
      <c r="W105" s="1369"/>
      <c r="X105" s="1369"/>
      <c r="Y105" s="1369"/>
      <c r="Z105" s="1369"/>
      <c r="AA105" s="1369"/>
      <c r="AB105" s="1369"/>
      <c r="AC105" s="1369"/>
      <c r="AD105" s="1369"/>
      <c r="AE105" s="1369"/>
      <c r="AF105" s="1369"/>
      <c r="AG105" s="1369"/>
      <c r="AH105" s="1369"/>
      <c r="AI105" s="1369"/>
      <c r="AJ105" s="1369"/>
      <c r="AK105" s="1369"/>
      <c r="AL105" s="1369"/>
      <c r="AM105" s="1369"/>
      <c r="AN105" s="1369"/>
      <c r="AO105" s="1369"/>
      <c r="AP105" s="1369"/>
      <c r="AQ105" s="1369"/>
      <c r="AR105" s="1369"/>
      <c r="AS105" s="1369"/>
      <c r="AT105" s="1369"/>
      <c r="AU105" s="1369"/>
      <c r="AV105" s="1369"/>
      <c r="AW105" s="1369"/>
      <c r="AX105" s="1369"/>
      <c r="AY105" s="1369"/>
      <c r="AZ105" s="1369"/>
      <c r="BA105" s="1369"/>
      <c r="BB105" s="1369"/>
      <c r="BC105" s="1369"/>
      <c r="BD105" s="1462">
        <f t="shared" ref="BD105:BD127" si="27">G105</f>
        <v>0</v>
      </c>
      <c r="BH105" s="1420" t="s">
        <v>1158</v>
      </c>
      <c r="BI105" s="1421"/>
      <c r="BJ105" s="1421"/>
      <c r="BM105" s="1421"/>
      <c r="BO105" s="1420" t="s">
        <v>1159</v>
      </c>
      <c r="BP105" s="1421"/>
    </row>
    <row r="106" ht="17.5" customHeight="1" spans="1:68" x14ac:dyDescent="0.25">
      <c r="A106" s="187" t="s">
        <v>1160</v>
      </c>
      <c r="B106" s="187"/>
      <c r="C106" s="187"/>
      <c r="D106" s="187"/>
      <c r="E106" s="31"/>
      <c r="F106" s="31"/>
      <c r="G106" s="1481" t="s">
        <v>324</v>
      </c>
      <c r="H106" s="1443">
        <v>8</v>
      </c>
      <c r="I106" s="1482" t="s">
        <v>1145</v>
      </c>
      <c r="J106" s="1483" t="s">
        <v>1068</v>
      </c>
      <c r="K106" s="1483"/>
      <c r="L106" s="1483" t="s">
        <v>1068</v>
      </c>
      <c r="M106" s="1483"/>
      <c r="N106" s="1484"/>
      <c r="O106" s="1485">
        <f>ОТЧЁТ!U69</f>
        <v>719.7935</v>
      </c>
      <c r="P106" s="1460">
        <f>ОТЧЁТ!V69</f>
        <v>1007.827</v>
      </c>
      <c r="Q106" s="1460">
        <f>ОТЧЁТ!W69</f>
        <v>1235.2137</v>
      </c>
      <c r="R106" s="1460">
        <f>ОТЧЁТ!X69</f>
        <v>1462.284</v>
      </c>
      <c r="S106" s="1460">
        <f>ОТЧЁТ!Y69</f>
        <v>2526.1679</v>
      </c>
      <c r="T106" s="1460">
        <f>ОТЧЁТ!Z69</f>
        <v>3295.2373</v>
      </c>
      <c r="U106" s="1460">
        <f>ОТЧЁТ!AA69</f>
        <v>4318.1211</v>
      </c>
      <c r="V106" s="1460">
        <f>ОТЧЁТ!AB69</f>
        <v>5409.1577</v>
      </c>
      <c r="W106" s="1460">
        <f>ОТЧЁТ!AC69</f>
        <v>6537.4015</v>
      </c>
      <c r="X106" s="1460">
        <f>ОТЧЁТ!AD69</f>
        <v>8438.4841</v>
      </c>
      <c r="Y106" s="1460">
        <f>ОТЧЁТ!AE69</f>
        <v>10652.8578</v>
      </c>
      <c r="Z106" s="1460">
        <f>ОТЧЁТ!AF69</f>
        <v>12974.7434</v>
      </c>
      <c r="AA106" s="1460">
        <f>ОТЧЁТ!AG69</f>
        <v>16031.7398</v>
      </c>
      <c r="AB106" s="1460">
        <f>ОТЧЁТ!AH69</f>
        <v>19966.9547</v>
      </c>
      <c r="AC106" s="1460">
        <f>ОТЧЁТ!AI69</f>
        <v>20986.036</v>
      </c>
      <c r="AD106" s="1460">
        <f>ОТЧЁТ!AJ69</f>
        <v>23617.623</v>
      </c>
      <c r="AE106" s="1460">
        <f>ОТЧЁТ!AK69</f>
        <v>29939.4635</v>
      </c>
      <c r="AF106" s="1460">
        <f>ОТЧЁТ!AL69</f>
        <v>34492.3617</v>
      </c>
      <c r="AG106" s="1460">
        <f>ОТЧЁТ!AM69</f>
        <v>38465.140799999994</v>
      </c>
      <c r="AH106" s="1460">
        <f>ОТЧЁТ!AN69</f>
        <v>41954.83</v>
      </c>
      <c r="AI106" s="1460">
        <f>ОТЧЁТ!AO69</f>
        <v>43242.32</v>
      </c>
      <c r="AJ106" s="1460">
        <f>ОТЧЁТ!AP69</f>
        <v>45317.05</v>
      </c>
      <c r="AK106" s="1460">
        <f>ОТЧЁТ!AQ69</f>
        <v>48135.66</v>
      </c>
      <c r="AL106" s="1460">
        <f>ОТЧЁТ!AR69</f>
        <v>50851.05</v>
      </c>
      <c r="AM106" s="1460">
        <f>0.5229*AM89 -378.17</f>
        <v>55095.86616775323</v>
      </c>
      <c r="AN106" s="1460">
        <f t="shared" ref="AN106:BC106" si="28">0.5229*AN89 -378.17</f>
        <v>58865.11018719804</v>
      </c>
      <c r="AO106" s="1460">
        <f t="shared" si="28"/>
        <v>66727.55100436184</v>
      </c>
      <c r="AP106" s="1460">
        <f t="shared" si="28"/>
        <v>73500.40619141607</v>
      </c>
      <c r="AQ106" s="1460">
        <f t="shared" si="28"/>
        <v>80804.77243598699</v>
      </c>
      <c r="AR106" s="1460">
        <f t="shared" si="28"/>
        <v>88741.75751068386</v>
      </c>
      <c r="AS106" s="1460">
        <f t="shared" si="28"/>
        <v>97406.10249423188</v>
      </c>
      <c r="AT106" s="1460">
        <f t="shared" si="28"/>
        <v>106891.29627504833</v>
      </c>
      <c r="AU106" s="1460">
        <f t="shared" si="28"/>
        <v>117293.21324623218</v>
      </c>
      <c r="AV106" s="1460">
        <f t="shared" si="28"/>
        <v>128712.81634808327</v>
      </c>
      <c r="AW106" s="1460">
        <f t="shared" si="28"/>
        <v>141258.28260823787</v>
      </c>
      <c r="AX106" s="1460">
        <f t="shared" si="28"/>
        <v>155046.78781318307</v>
      </c>
      <c r="AY106" s="1460">
        <f t="shared" si="28"/>
        <v>170206.10857050453</v>
      </c>
      <c r="AZ106" s="1460">
        <f t="shared" si="28"/>
        <v>186876.14920079385</v>
      </c>
      <c r="BA106" s="1460">
        <f t="shared" si="28"/>
        <v>205210.46810982257</v>
      </c>
      <c r="BB106" s="1460">
        <f t="shared" si="28"/>
        <v>225377.8573214034</v>
      </c>
      <c r="BC106" s="1460">
        <f t="shared" si="28"/>
        <v>247564.01564541538</v>
      </c>
      <c r="BD106" s="1462" t="str">
        <f t="shared" si="27"/>
        <v>YD</v>
      </c>
      <c r="BH106" s="1420" t="s">
        <v>1161</v>
      </c>
      <c r="BI106" s="1421"/>
      <c r="BJ106" s="1421"/>
      <c r="BM106" s="1421"/>
      <c r="BN106" s="1421"/>
      <c r="BO106" s="1420" t="s">
        <v>1162</v>
      </c>
      <c r="BP106" s="1421"/>
    </row>
    <row r="107" ht="17.5" customHeight="1" spans="1:71" x14ac:dyDescent="0.25">
      <c r="A107" s="187" t="s">
        <v>1163</v>
      </c>
      <c r="B107" s="187"/>
      <c r="C107" s="187"/>
      <c r="D107" s="187"/>
      <c r="E107" s="31"/>
      <c r="F107" s="31"/>
      <c r="G107" s="1481" t="s">
        <v>921</v>
      </c>
      <c r="H107" s="1443">
        <v>9</v>
      </c>
      <c r="I107" s="1482" t="s">
        <v>1145</v>
      </c>
      <c r="J107" s="1483" t="s">
        <v>1164</v>
      </c>
      <c r="K107" s="1483"/>
      <c r="L107" s="1483" t="s">
        <v>1164</v>
      </c>
      <c r="M107" s="1482"/>
      <c r="N107" s="1484"/>
      <c r="O107" s="1485">
        <f>НАСТРОЙКА!P54</f>
        <v>719.7935</v>
      </c>
      <c r="P107" s="1460">
        <f>НАСТРОЙКА!Q54</f>
        <v>684.5236185</v>
      </c>
      <c r="Q107" s="1460">
        <f>НАСТРОЙКА!R54</f>
        <v>718.749799425</v>
      </c>
      <c r="R107" s="1460">
        <f>НАСТРОЙКА!S54</f>
        <v>694.3123062445501</v>
      </c>
      <c r="S107" s="1460">
        <f>НАСТРОЙКА!T54</f>
        <v>677.6488108946808</v>
      </c>
      <c r="T107" s="1460">
        <f>НАСТРОЙКА!U54</f>
        <v>717.6300907374668</v>
      </c>
      <c r="U107" s="1460">
        <f>НАСТРОЙКА!V54</f>
        <v>776.4757581779392</v>
      </c>
      <c r="V107" s="1460">
        <f>НАСТРОЙКА!W54</f>
        <v>836.2643915576405</v>
      </c>
      <c r="W107" s="1460">
        <f>НАСТРОЙКА!X54</f>
        <v>900.6567497075787</v>
      </c>
      <c r="X107" s="1460">
        <f>НАСТРОЙКА!Y54</f>
        <v>1013.238843421026</v>
      </c>
      <c r="Y107" s="1460">
        <f>НАСТРОЙКА!Z54</f>
        <v>1136.8539823183912</v>
      </c>
      <c r="Z107" s="1460">
        <f>НАСТРОЙКА!AA54</f>
        <v>1275.5501681612352</v>
      </c>
      <c r="AA107" s="1460">
        <f>НАСТРОЙКА!AB54</f>
        <v>1457.953842208292</v>
      </c>
      <c r="AB107" s="1460">
        <f>НАСТРОЙКА!AC54</f>
        <v>1612.4969494823708</v>
      </c>
      <c r="AC107" s="1460">
        <f>НАСТРОЙКА!AD54</f>
        <v>1530.25960505877</v>
      </c>
      <c r="AD107" s="1460">
        <f>НАСТРОЙКА!AE54</f>
        <v>1614.423883337002</v>
      </c>
      <c r="AE107" s="1460">
        <f>НАСТРОЙКА!AF54</f>
        <v>1724.2047074039183</v>
      </c>
      <c r="AF107" s="1460">
        <f>НАСТРОЙКА!AG54</f>
        <v>1860.4168792888279</v>
      </c>
      <c r="AG107" s="1460">
        <f>НАСТРОЙКА!AH54</f>
        <v>1957.158557011847</v>
      </c>
      <c r="AH107" s="1460">
        <f>НАСТРОЙКА!AI54</f>
        <v>1996.301728152084</v>
      </c>
      <c r="AI107" s="1460">
        <f>НАСТРОЙКА!AJ54</f>
        <v>1808.6493657057883</v>
      </c>
      <c r="AJ107" s="1460">
        <f>НАСТРОЙКА!AK54</f>
        <v>1774.2850277573784</v>
      </c>
      <c r="AK107" s="1460">
        <f>НАСТРОЙКА!AL54</f>
        <v>1832.8364336733716</v>
      </c>
      <c r="AL107" s="1460">
        <f>НАСТРОЙКА!AM54</f>
        <v>1874.991671647859</v>
      </c>
      <c r="AM107" s="1460">
        <f>AM106/AM18</f>
        <v>1959.005872847349</v>
      </c>
      <c r="AN107" s="1460">
        <f t="shared" ref="AN107:BC107" si="29">AN106/AN18</f>
        <v>2029.9076012103717</v>
      </c>
      <c r="AO107" s="1460">
        <f t="shared" si="29"/>
        <v>2150.4627488181045</v>
      </c>
      <c r="AP107" s="1460">
        <f t="shared" si="29"/>
        <v>2254.275109799301</v>
      </c>
      <c r="AQ107" s="1460">
        <f t="shared" si="29"/>
        <v>2358.631514066139</v>
      </c>
      <c r="AR107" s="1460">
        <f t="shared" si="29"/>
        <v>2465.3111067190257</v>
      </c>
      <c r="AS107" s="1460">
        <f t="shared" si="29"/>
        <v>2575.517396425035</v>
      </c>
      <c r="AT107" s="1460">
        <f t="shared" si="29"/>
        <v>2690.1010247262957</v>
      </c>
      <c r="AU107" s="1460">
        <f t="shared" si="29"/>
        <v>2809.6984742577524</v>
      </c>
      <c r="AV107" s="1460">
        <f t="shared" si="29"/>
        <v>2934.818543929731</v>
      </c>
      <c r="AW107" s="1460">
        <f t="shared" si="29"/>
        <v>3065.8963680352676</v>
      </c>
      <c r="AX107" s="1460">
        <f t="shared" si="29"/>
        <v>3203.3272699728095</v>
      </c>
      <c r="AY107" s="1460">
        <f t="shared" si="29"/>
        <v>3347.488090103554</v>
      </c>
      <c r="AZ107" s="1460">
        <f t="shared" si="29"/>
        <v>3498.750737144905</v>
      </c>
      <c r="BA107" s="1460">
        <f t="shared" si="29"/>
        <v>3657.4909164306637</v>
      </c>
      <c r="BB107" s="1460">
        <f t="shared" si="29"/>
        <v>3824.093872061017</v>
      </c>
      <c r="BC107" s="1460">
        <f t="shared" si="29"/>
        <v>3998.95828606986</v>
      </c>
      <c r="BD107" s="1462" t="str">
        <f t="shared" si="27"/>
        <v>YDS</v>
      </c>
      <c r="BH107" s="1420" t="s">
        <v>1165</v>
      </c>
      <c r="BI107" s="1421"/>
      <c r="BJ107" s="1421"/>
      <c r="BM107" s="1421"/>
      <c r="BN107" s="1421"/>
      <c r="BO107" s="1420" t="s">
        <v>1166</v>
      </c>
      <c r="BP107" s="1421"/>
      <c r="BQ107" s="1421"/>
      <c r="BR107" s="1421"/>
      <c r="BS107" s="1421"/>
    </row>
    <row r="108" ht="17.5" customHeight="1" spans="1:71" x14ac:dyDescent="0.25">
      <c r="A108" s="187" t="s">
        <v>1157</v>
      </c>
      <c r="E108" s="31"/>
      <c r="F108" s="31"/>
      <c r="G108" s="1481"/>
      <c r="H108" s="1443"/>
      <c r="I108" s="1482"/>
      <c r="J108" s="1483"/>
      <c r="K108" s="1483"/>
      <c r="L108" s="1483"/>
      <c r="M108" s="1483"/>
      <c r="N108" s="1484"/>
      <c r="O108" s="1485"/>
      <c r="P108" s="1367"/>
      <c r="Q108" s="1367"/>
      <c r="R108" s="1367"/>
      <c r="S108" s="1367"/>
      <c r="T108" s="1367"/>
      <c r="U108" s="1367"/>
      <c r="V108" s="1367"/>
      <c r="W108" s="1367"/>
      <c r="X108" s="1367"/>
      <c r="Y108" s="1367"/>
      <c r="Z108" s="1367"/>
      <c r="AA108" s="1367"/>
      <c r="AB108" s="1367"/>
      <c r="AC108" s="1367"/>
      <c r="AD108" s="1367"/>
      <c r="AE108" s="1367"/>
      <c r="AF108" s="1367"/>
      <c r="AG108" s="1367"/>
      <c r="AH108" s="1367"/>
      <c r="AI108" s="1367"/>
      <c r="AJ108" s="1367"/>
      <c r="AK108" s="1367"/>
      <c r="AL108" s="1367"/>
      <c r="AM108" s="1369"/>
      <c r="AN108" s="1369"/>
      <c r="AO108" s="1369"/>
      <c r="AP108" s="1369"/>
      <c r="AQ108" s="1369"/>
      <c r="AR108" s="1369"/>
      <c r="AS108" s="1369"/>
      <c r="AT108" s="1369"/>
      <c r="AU108" s="1369"/>
      <c r="AV108" s="1369"/>
      <c r="AW108" s="1369"/>
      <c r="AX108" s="1369"/>
      <c r="AY108" s="1369"/>
      <c r="AZ108" s="1369"/>
      <c r="BA108" s="1369"/>
      <c r="BB108" s="1369"/>
      <c r="BC108" s="1369"/>
      <c r="BD108" s="1462">
        <f t="shared" si="27"/>
        <v>0</v>
      </c>
      <c r="BH108" s="1420" t="s">
        <v>1167</v>
      </c>
      <c r="BI108" s="1421"/>
      <c r="BJ108" s="1421"/>
      <c r="BM108" s="1421"/>
      <c r="BN108" s="1421"/>
      <c r="BO108" s="1420" t="s">
        <v>1168</v>
      </c>
      <c r="BP108" s="1421"/>
      <c r="BQ108" s="1421"/>
      <c r="BR108" s="1421"/>
      <c r="BS108" s="1421"/>
    </row>
    <row r="109" ht="17.5" customHeight="1" spans="1:71" x14ac:dyDescent="0.25">
      <c r="A109" s="187" t="s">
        <v>1169</v>
      </c>
      <c r="B109" s="187"/>
      <c r="C109" s="187"/>
      <c r="D109" s="187"/>
      <c r="E109" s="31"/>
      <c r="F109" s="31"/>
      <c r="G109" s="1481" t="s">
        <v>327</v>
      </c>
      <c r="H109" s="1443">
        <v>11</v>
      </c>
      <c r="I109" s="1482" t="s">
        <v>1145</v>
      </c>
      <c r="J109" s="1483" t="s">
        <v>1170</v>
      </c>
      <c r="K109" s="1483"/>
      <c r="L109" s="1483" t="s">
        <v>1171</v>
      </c>
      <c r="M109" s="1483"/>
      <c r="N109" s="1484"/>
      <c r="O109" s="1485">
        <f>ОТЧЁТ!U70</f>
        <v>272.5015</v>
      </c>
      <c r="P109" s="1460">
        <f>ОТЧЁТ!V70</f>
        <v>391.3813</v>
      </c>
      <c r="Q109" s="1460">
        <f>ОТЧЁТ!W70</f>
        <v>493.5735</v>
      </c>
      <c r="R109" s="1460">
        <f>ОТЧЁТ!X70</f>
        <v>492.6206</v>
      </c>
      <c r="S109" s="1460">
        <f>ОТЧЁТ!Y70</f>
        <v>703.2091</v>
      </c>
      <c r="T109" s="1460">
        <f>ОТЧЁТ!Z70</f>
        <v>1102.4971</v>
      </c>
      <c r="U109" s="1460">
        <f>ОТЧЁТ!AA70</f>
        <v>1469.9576</v>
      </c>
      <c r="V109" s="1460">
        <f>ОТЧЁТ!AB70</f>
        <v>1942.4418</v>
      </c>
      <c r="W109" s="1460">
        <f>ОТЧЁТ!AC70</f>
        <v>2366.3687</v>
      </c>
      <c r="X109" s="1460">
        <f>ОТЧЁТ!AD70</f>
        <v>2889.8145</v>
      </c>
      <c r="Y109" s="1460">
        <f>ОТЧЁТ!AE70</f>
        <v>3645.9185</v>
      </c>
      <c r="Z109" s="1460">
        <f>ОТЧЁТ!AF70</f>
        <v>4680.4097</v>
      </c>
      <c r="AA109" s="1460">
        <f>ОТЧЁТ!AG70</f>
        <v>5750.9641</v>
      </c>
      <c r="AB109" s="1460">
        <f>ОТЧЁТ!AH70</f>
        <v>7359.8442</v>
      </c>
      <c r="AC109" s="1460">
        <f>ОТЧЁТ!AI70</f>
        <v>8066.7</v>
      </c>
      <c r="AD109" s="1460">
        <f>ОТЧЁТ!AJ70</f>
        <v>8671.323</v>
      </c>
      <c r="AE109" s="1460">
        <f>ОТЧЁТ!AK70</f>
        <v>10527.4218</v>
      </c>
      <c r="AF109" s="1460">
        <f>ОТЧЁТ!AL70</f>
        <v>12155.9717</v>
      </c>
      <c r="AG109" s="1460">
        <f>ОТЧЁТ!AM70</f>
        <v>13551.9461</v>
      </c>
      <c r="AH109" s="1460">
        <f>ОТЧЁТ!AN70</f>
        <v>14173.19</v>
      </c>
      <c r="AI109" s="1460">
        <f>ОТЧЁТ!AO70</f>
        <v>14684.12</v>
      </c>
      <c r="AJ109" s="1460">
        <f>ОТЧЁТ!AP70</f>
        <v>15728.49</v>
      </c>
      <c r="AK109" s="1460">
        <f>ОТЧЁТ!AQ70</f>
        <v>16649.19</v>
      </c>
      <c r="AL109" s="1460">
        <f>ОТЧЁТ!AR70</f>
        <v>18049.3</v>
      </c>
      <c r="AM109" s="1460">
        <f>0.1814*AM89-46.206</f>
        <v>19198.372620826995</v>
      </c>
      <c r="AN109" s="1460">
        <f t="shared" ref="AN109:BC109" si="30">0.1814*AN89-46.206</f>
        <v>20505.96654916375</v>
      </c>
      <c r="AO109" s="1460">
        <f t="shared" si="30"/>
        <v>23233.53733561147</v>
      </c>
      <c r="AP109" s="1460">
        <f t="shared" si="30"/>
        <v>25583.118385394675</v>
      </c>
      <c r="AQ109" s="1460">
        <f t="shared" si="30"/>
        <v>28117.086709673054</v>
      </c>
      <c r="AR109" s="1460">
        <f t="shared" si="30"/>
        <v>30870.517752989203</v>
      </c>
      <c r="AS109" s="1460">
        <f t="shared" si="30"/>
        <v>33876.27828084464</v>
      </c>
      <c r="AT109" s="1460">
        <f t="shared" si="30"/>
        <v>37166.800659578825</v>
      </c>
      <c r="AU109" s="1460">
        <f t="shared" si="30"/>
        <v>40775.34481443205</v>
      </c>
      <c r="AV109" s="1460">
        <f t="shared" si="30"/>
        <v>44736.93594595966</v>
      </c>
      <c r="AW109" s="1460">
        <f t="shared" si="30"/>
        <v>49089.101904253876</v>
      </c>
      <c r="AX109" s="1460">
        <f t="shared" si="30"/>
        <v>53872.49231193614</v>
      </c>
      <c r="AY109" s="1460">
        <f t="shared" si="30"/>
        <v>59131.43433790309</v>
      </c>
      <c r="AZ109" s="1460">
        <f t="shared" si="30"/>
        <v>64914.46239362021</v>
      </c>
      <c r="BA109" s="1460">
        <f t="shared" si="30"/>
        <v>71274.84764911419</v>
      </c>
      <c r="BB109" s="1460">
        <f t="shared" si="30"/>
        <v>78271.14599101659</v>
      </c>
      <c r="BC109" s="1460">
        <f t="shared" si="30"/>
        <v>85967.7784637184</v>
      </c>
      <c r="BD109" s="1462" t="str">
        <f t="shared" si="27"/>
        <v>YG</v>
      </c>
      <c r="BH109" s="1420" t="s">
        <v>1172</v>
      </c>
      <c r="BI109" s="1421"/>
      <c r="BJ109" s="1421"/>
      <c r="BL109" s="1421"/>
      <c r="BM109" s="1421"/>
      <c r="BN109" s="1421"/>
      <c r="BO109" s="1420" t="s">
        <v>1173</v>
      </c>
      <c r="BP109" s="1421"/>
      <c r="BQ109" s="1421"/>
      <c r="BR109" s="1421"/>
      <c r="BS109" s="1421"/>
    </row>
    <row r="110" ht="17.5" customHeight="1" spans="1:71" x14ac:dyDescent="0.25">
      <c r="A110" s="187" t="s">
        <v>1174</v>
      </c>
      <c r="B110" s="187"/>
      <c r="C110" s="187"/>
      <c r="D110" s="187"/>
      <c r="E110" s="31"/>
      <c r="F110" s="31"/>
      <c r="G110" s="1481" t="s">
        <v>907</v>
      </c>
      <c r="H110" s="1443">
        <v>12</v>
      </c>
      <c r="I110" s="1482" t="s">
        <v>1145</v>
      </c>
      <c r="J110" s="1483" t="s">
        <v>1127</v>
      </c>
      <c r="K110" s="1483"/>
      <c r="L110" s="1483" t="s">
        <v>1127</v>
      </c>
      <c r="M110" s="1483"/>
      <c r="N110" s="1484"/>
      <c r="O110" s="1485">
        <f>O109</f>
        <v>272.5015</v>
      </c>
      <c r="P110" s="1460">
        <f>НАСТРОЙКА!Q44</f>
        <v>280.9490465</v>
      </c>
      <c r="Q110" s="1460">
        <f>НАСТРОЙКА!R44</f>
        <v>274.206269384</v>
      </c>
      <c r="R110" s="1460">
        <f>НАСТРОЙКА!S44</f>
        <v>276.94833207783995</v>
      </c>
      <c r="S110" s="1460">
        <f>НАСТРОЙКА!T44</f>
        <v>285.533730372253</v>
      </c>
      <c r="T110" s="1460">
        <f>НАСТРОЙКА!U44</f>
        <v>291.24440497969806</v>
      </c>
      <c r="U110" s="1460">
        <f>НАСТРОЙКА!V44</f>
        <v>288.91444973986046</v>
      </c>
      <c r="V110" s="1460">
        <f>НАСТРОЙКА!W44</f>
        <v>296.4262254330968</v>
      </c>
      <c r="W110" s="1460">
        <f>НАСТРОЙКА!X44</f>
        <v>303.54045484349115</v>
      </c>
      <c r="X110" s="1460">
        <f>НАСТРОЙКА!Y44</f>
        <v>309.9148043952045</v>
      </c>
      <c r="Y110" s="1460">
        <f>НАСТРОЙКА!Z44</f>
        <v>314.25361165673735</v>
      </c>
      <c r="Z110" s="1460">
        <f>НАСТРОЙКА!AA44</f>
        <v>321.48144472484233</v>
      </c>
      <c r="AA110" s="1460">
        <f>НАСТРОЙКА!AB44</f>
        <v>330.16144373241303</v>
      </c>
      <c r="AB110" s="1460">
        <f>НАСТРОЙКА!AC44</f>
        <v>341.38693281931506</v>
      </c>
      <c r="AC110" s="1460">
        <f>НАСТРОЙКА!AD44</f>
        <v>339.33861122239915</v>
      </c>
      <c r="AD110" s="1460">
        <f>НАСТРОЙКА!AE44</f>
        <v>334.24853205406316</v>
      </c>
      <c r="AE110" s="1460">
        <f>НАСТРОЙКА!AF44</f>
        <v>338.9280115028201</v>
      </c>
      <c r="AF110" s="1460">
        <f>НАСТРОЙКА!AG44</f>
        <v>347.74013980189346</v>
      </c>
      <c r="AG110" s="1460">
        <f>НАСТРОЙКА!AH44</f>
        <v>350.86980106011055</v>
      </c>
      <c r="AH110" s="1460">
        <f>НАСТРОЙКА!AI44</f>
        <v>343.5015352378482</v>
      </c>
      <c r="AI110" s="1460">
        <f>НАСТРОЙКА!AJ44</f>
        <v>331.13547996928565</v>
      </c>
      <c r="AJ110" s="1460">
        <f>НАСТРОЙКА!AK44</f>
        <v>336.10251216882494</v>
      </c>
      <c r="AK110" s="1460">
        <f>НАСТРОЙКА!AL44</f>
        <v>344.5050749730455</v>
      </c>
      <c r="AL110" s="1460">
        <f>НАСТРОЙКА!AM44</f>
        <v>345.5385901979646</v>
      </c>
      <c r="AM110" s="1465">
        <f>AM109/AM19</f>
        <v>361.0415757454189</v>
      </c>
      <c r="AN110" s="1465">
        <f t="shared" ref="AN110:BC110" si="31">AN109/AN19</f>
        <v>365.84002458231004</v>
      </c>
      <c r="AO110" s="1465">
        <f t="shared" si="31"/>
        <v>392.95578692095023</v>
      </c>
      <c r="AP110" s="1465">
        <f t="shared" si="31"/>
        <v>410.30102329748155</v>
      </c>
      <c r="AQ110" s="1465">
        <f t="shared" si="31"/>
        <v>427.6985898250144</v>
      </c>
      <c r="AR110" s="1465">
        <f t="shared" si="31"/>
        <v>445.47361712567323</v>
      </c>
      <c r="AS110" s="1465">
        <f t="shared" si="31"/>
        <v>463.8434903272393</v>
      </c>
      <c r="AT110" s="1465">
        <f t="shared" si="31"/>
        <v>482.9598314176926</v>
      </c>
      <c r="AU110" s="1465">
        <f t="shared" si="31"/>
        <v>502.9344905379265</v>
      </c>
      <c r="AV110" s="1465">
        <f t="shared" si="31"/>
        <v>523.8556597665687</v>
      </c>
      <c r="AW110" s="1465">
        <f t="shared" si="31"/>
        <v>545.7978837305477</v>
      </c>
      <c r="AX110" s="1465">
        <f t="shared" si="31"/>
        <v>568.8282983747775</v>
      </c>
      <c r="AY110" s="1465">
        <f t="shared" si="31"/>
        <v>593.0105386157153</v>
      </c>
      <c r="AZ110" s="1465">
        <f t="shared" si="31"/>
        <v>618.4072056570839</v>
      </c>
      <c r="BA110" s="1465">
        <f t="shared" si="31"/>
        <v>645.0814449991495</v>
      </c>
      <c r="BB110" s="1465">
        <f t="shared" si="31"/>
        <v>673.0979761916188</v>
      </c>
      <c r="BC110" s="1465">
        <f t="shared" si="31"/>
        <v>702.5237855474014</v>
      </c>
      <c r="BD110" s="1462" t="str">
        <f t="shared" si="27"/>
        <v>YGS</v>
      </c>
      <c r="BH110" s="1420" t="s">
        <v>1175</v>
      </c>
      <c r="BI110" s="1421"/>
      <c r="BJ110" s="1421"/>
      <c r="BK110" s="1420"/>
      <c r="BL110" s="1421"/>
      <c r="BM110" s="1421"/>
      <c r="BN110" s="1421"/>
      <c r="BO110" s="1420" t="s">
        <v>1155</v>
      </c>
      <c r="BP110" s="1421"/>
      <c r="BQ110" s="1421"/>
      <c r="BR110" s="1421"/>
      <c r="BS110" s="1421"/>
    </row>
    <row r="111" ht="17.5" customHeight="1" spans="1:71" x14ac:dyDescent="0.25">
      <c r="A111" s="123" t="s">
        <v>1176</v>
      </c>
      <c r="B111" s="31"/>
      <c r="C111" s="187"/>
      <c r="D111" s="187"/>
      <c r="E111" s="31"/>
      <c r="F111" s="31"/>
      <c r="G111" s="1481"/>
      <c r="H111" s="1443"/>
      <c r="I111" s="1482"/>
      <c r="J111" s="1483"/>
      <c r="K111" s="1483"/>
      <c r="L111" s="1483"/>
      <c r="M111" s="1483"/>
      <c r="N111" s="1484"/>
      <c r="O111" s="1485"/>
      <c r="P111" s="1369"/>
      <c r="Q111" s="1369"/>
      <c r="R111" s="1369"/>
      <c r="S111" s="1369"/>
      <c r="T111" s="1369"/>
      <c r="U111" s="1369"/>
      <c r="V111" s="1369"/>
      <c r="W111" s="1369"/>
      <c r="X111" s="1369"/>
      <c r="Y111" s="1369"/>
      <c r="Z111" s="1369"/>
      <c r="AA111" s="1369"/>
      <c r="AB111" s="1369"/>
      <c r="AC111" s="1369"/>
      <c r="AD111" s="1369"/>
      <c r="AE111" s="1369"/>
      <c r="AF111" s="1369"/>
      <c r="AG111" s="1369"/>
      <c r="AH111" s="1369"/>
      <c r="AI111" s="1369"/>
      <c r="AJ111" s="1369"/>
      <c r="AK111" s="1369"/>
      <c r="AL111" s="1369"/>
      <c r="AM111" s="1369"/>
      <c r="AN111" s="1369"/>
      <c r="AO111" s="1369"/>
      <c r="AP111" s="1369"/>
      <c r="AQ111" s="1369"/>
      <c r="AR111" s="1369"/>
      <c r="AS111" s="1369"/>
      <c r="AT111" s="1369"/>
      <c r="AU111" s="1369"/>
      <c r="AV111" s="1369"/>
      <c r="AW111" s="1369"/>
      <c r="AX111" s="1369"/>
      <c r="AY111" s="1369"/>
      <c r="AZ111" s="1369"/>
      <c r="BA111" s="1369"/>
      <c r="BB111" s="1369"/>
      <c r="BC111" s="1369"/>
      <c r="BD111" s="1462">
        <f>G111</f>
        <v>0</v>
      </c>
      <c r="BH111" s="1420" t="s">
        <v>251</v>
      </c>
      <c r="BL111" s="1421"/>
      <c r="BM111" s="1421"/>
      <c r="BN111" s="1421"/>
      <c r="BO111" s="1420" t="s">
        <v>354</v>
      </c>
      <c r="BP111" s="1421"/>
      <c r="BQ111" s="1421"/>
      <c r="BR111" s="1421"/>
      <c r="BS111" s="1421"/>
    </row>
    <row r="112" ht="16.5" customHeight="1" spans="1:71" x14ac:dyDescent="0.25">
      <c r="A112" s="187" t="s">
        <v>1177</v>
      </c>
      <c r="B112" s="187"/>
      <c r="C112" s="187"/>
      <c r="D112" s="187"/>
      <c r="E112" s="31"/>
      <c r="F112" s="31"/>
      <c r="G112" s="1481"/>
      <c r="H112" s="1443"/>
      <c r="I112" s="1482"/>
      <c r="J112" s="1483"/>
      <c r="K112" s="1483"/>
      <c r="L112" s="1483"/>
      <c r="M112" s="1483"/>
      <c r="N112" s="1484"/>
      <c r="O112" s="1485"/>
      <c r="P112" s="1369"/>
      <c r="Q112" s="1369"/>
      <c r="R112" s="1369"/>
      <c r="S112" s="1369"/>
      <c r="T112" s="1369"/>
      <c r="U112" s="1369"/>
      <c r="V112" s="1369"/>
      <c r="W112" s="1369"/>
      <c r="X112" s="1369"/>
      <c r="Y112" s="1369"/>
      <c r="Z112" s="1369"/>
      <c r="AA112" s="1369"/>
      <c r="AB112" s="1369"/>
      <c r="AC112" s="1369"/>
      <c r="AD112" s="1369"/>
      <c r="AE112" s="1369"/>
      <c r="AF112" s="1369"/>
      <c r="AG112" s="1369"/>
      <c r="AH112" s="1369"/>
      <c r="AI112" s="1369"/>
      <c r="AJ112" s="1369"/>
      <c r="AK112" s="1369"/>
      <c r="AL112" s="1369"/>
      <c r="AM112" s="1369"/>
      <c r="AN112" s="1369"/>
      <c r="AO112" s="1369"/>
      <c r="AP112" s="1369"/>
      <c r="AQ112" s="1369"/>
      <c r="AR112" s="1369"/>
      <c r="AS112" s="1369"/>
      <c r="AT112" s="1369"/>
      <c r="AU112" s="1369"/>
      <c r="AV112" s="1369"/>
      <c r="AW112" s="1369"/>
      <c r="AX112" s="1369"/>
      <c r="AY112" s="1369"/>
      <c r="AZ112" s="1369"/>
      <c r="BA112" s="1369"/>
      <c r="BB112" s="1369"/>
      <c r="BC112" s="1369"/>
      <c r="BD112" s="1462">
        <f t="shared" si="27"/>
        <v>0</v>
      </c>
      <c r="BH112" s="1420" t="s">
        <v>1178</v>
      </c>
      <c r="BI112" s="1421"/>
      <c r="BJ112" s="1421"/>
      <c r="BL112" s="1421"/>
      <c r="BM112" s="1421"/>
      <c r="BN112" s="1421"/>
      <c r="BO112" s="1420" t="s">
        <v>1179</v>
      </c>
      <c r="BP112" s="1421"/>
      <c r="BQ112" s="1421"/>
      <c r="BR112" s="1421"/>
      <c r="BS112" s="1421"/>
    </row>
    <row r="113" ht="16.5" customHeight="1" spans="60:72" x14ac:dyDescent="0.25">
      <c r="BH113" s="1420" t="s">
        <v>1180</v>
      </c>
      <c r="BI113" s="1421"/>
      <c r="BJ113" s="1421"/>
      <c r="BL113" s="1421"/>
      <c r="BM113" s="1421"/>
      <c r="BN113" s="1421"/>
      <c r="BO113" s="1420" t="s">
        <v>251</v>
      </c>
      <c r="BP113" s="1421"/>
      <c r="BR113" s="1420" t="s">
        <v>1181</v>
      </c>
      <c r="BS113" s="1421"/>
      <c r="BT113" s="1420"/>
    </row>
    <row r="114" ht="16.5" customHeight="1" spans="1:71" x14ac:dyDescent="0.25">
      <c r="A114" s="187" t="s">
        <v>1182</v>
      </c>
      <c r="G114" s="1481" t="s">
        <v>913</v>
      </c>
      <c r="H114" s="1443">
        <v>16</v>
      </c>
      <c r="I114" s="1482" t="s">
        <v>1183</v>
      </c>
      <c r="J114" s="1483" t="s">
        <v>1184</v>
      </c>
      <c r="K114" s="1483"/>
      <c r="L114" s="1483" t="s">
        <v>1185</v>
      </c>
      <c r="M114" s="1483"/>
      <c r="N114" s="1484"/>
      <c r="O114" s="1485">
        <f t="array" ref="O114:AL114">TRANSPOSE(ОТЧЁТ!CR136:CR159)</f>
        <v>24.2993</v>
      </c>
      <c r="P114" s="1465">
        <v>24.445095799999997</v>
      </c>
      <c r="Q114" s="1465">
        <v>24.249535033599997</v>
      </c>
      <c r="R114" s="1465">
        <v>24.370782708767997</v>
      </c>
      <c r="S114" s="1465">
        <v>24.029591750845242</v>
      </c>
      <c r="T114" s="1465">
        <v>24.41406521885877</v>
      </c>
      <c r="U114" s="1465">
        <v>24.87793245801708</v>
      </c>
      <c r="V114" s="1465">
        <v>25.076955917681218</v>
      </c>
      <c r="W114" s="1465">
        <v>25.102032873598898</v>
      </c>
      <c r="X114" s="1465">
        <v>22.31570722462942</v>
      </c>
      <c r="Y114" s="1465">
        <v>18.231932802522234</v>
      </c>
      <c r="Z114" s="1465">
        <v>17.921989944879357</v>
      </c>
      <c r="AA114" s="1465">
        <v>18.4058836733911</v>
      </c>
      <c r="AB114" s="1465">
        <v>18.148201301963624</v>
      </c>
      <c r="AC114" s="1465">
        <v>16.696345197806533</v>
      </c>
      <c r="AD114" s="1465">
        <v>16.6128634718175</v>
      </c>
      <c r="AE114" s="1465">
        <v>15.798833161698441</v>
      </c>
      <c r="AF114" s="1465">
        <v>15.640844830081457</v>
      </c>
      <c r="AG114" s="1465">
        <v>15.453154692120481</v>
      </c>
      <c r="AH114" s="1465">
        <v>15.453154692120481</v>
      </c>
      <c r="AI114" s="1465">
        <v>15.005013206048986</v>
      </c>
      <c r="AJ114" s="1465">
        <v>15.155063338109475</v>
      </c>
      <c r="AK114" s="1465">
        <v>15.230838654800023</v>
      </c>
      <c r="AL114" s="1465">
        <v>15.916226394266022</v>
      </c>
      <c r="AM114" s="1357">
        <f>$O114*AM31</f>
        <v>16.56734474675872</v>
      </c>
      <c r="AN114" s="1357">
        <f t="shared" ref="AN114:BC114" si="32">$O114*AN31</f>
        <v>17.185907181626785</v>
      </c>
      <c r="AO114" s="1357">
        <f t="shared" si="32"/>
        <v>17.773541494751445</v>
      </c>
      <c r="AP114" s="1357">
        <f t="shared" si="32"/>
        <v>18.331794092219873</v>
      </c>
      <c r="AQ114" s="1357">
        <f t="shared" si="32"/>
        <v>18.86213405981488</v>
      </c>
      <c r="AR114" s="1357">
        <f t="shared" si="32"/>
        <v>19.365957029030135</v>
      </c>
      <c r="AS114" s="1357">
        <f t="shared" si="32"/>
        <v>19.84458884978463</v>
      </c>
      <c r="AT114" s="1357">
        <f t="shared" si="32"/>
        <v>20.299289079501396</v>
      </c>
      <c r="AU114" s="1357">
        <f t="shared" si="32"/>
        <v>20.731254297732328</v>
      </c>
      <c r="AV114" s="1357">
        <f t="shared" si="32"/>
        <v>21.14162125505171</v>
      </c>
      <c r="AW114" s="1357">
        <f t="shared" si="32"/>
        <v>21.531469864505123</v>
      </c>
      <c r="AX114" s="1357">
        <f t="shared" si="32"/>
        <v>21.90182604348587</v>
      </c>
      <c r="AY114" s="1357">
        <f t="shared" si="32"/>
        <v>22.253664413517573</v>
      </c>
      <c r="AZ114" s="1357">
        <f t="shared" si="32"/>
        <v>22.587910865047693</v>
      </c>
      <c r="BA114" s="1357">
        <f t="shared" si="32"/>
        <v>22.905444994001307</v>
      </c>
      <c r="BB114" s="1357">
        <f t="shared" si="32"/>
        <v>23.20710241650724</v>
      </c>
      <c r="BC114" s="1357">
        <f t="shared" si="32"/>
        <v>23.493676967887875</v>
      </c>
      <c r="BD114" s="1462" t="str">
        <f t="shared" si="27"/>
        <v>YNKS</v>
      </c>
      <c r="BH114" s="1420" t="s">
        <v>1186</v>
      </c>
      <c r="BI114" s="1421"/>
      <c r="BJ114" s="1421"/>
      <c r="BL114" s="1421"/>
      <c r="BM114" s="1421"/>
      <c r="BN114" s="1421"/>
      <c r="BO114" s="1420" t="s">
        <v>1187</v>
      </c>
      <c r="BP114" s="1421"/>
      <c r="BQ114" s="1421"/>
      <c r="BR114" s="1421"/>
      <c r="BS114" s="1421"/>
    </row>
    <row r="115" ht="17.5" customHeight="1" spans="1:71" x14ac:dyDescent="0.25">
      <c r="A115" s="187" t="s">
        <v>1188</v>
      </c>
      <c r="B115" s="187"/>
      <c r="C115" s="187"/>
      <c r="D115" s="187"/>
      <c r="E115" s="31"/>
      <c r="F115" s="31"/>
      <c r="G115" s="1481" t="s">
        <v>909</v>
      </c>
      <c r="H115" s="1443">
        <v>17</v>
      </c>
      <c r="I115" s="1482" t="s">
        <v>1189</v>
      </c>
      <c r="J115" s="1483" t="s">
        <v>1190</v>
      </c>
      <c r="K115" s="1483"/>
      <c r="L115" s="1483"/>
      <c r="M115" s="1482"/>
      <c r="N115" s="1484"/>
      <c r="O115" s="1485">
        <f>ОТЧЁТ!U71</f>
        <v>24.2993</v>
      </c>
      <c r="P115" s="1465">
        <f>ОТЧЁТ!V71</f>
        <v>36.6615</v>
      </c>
      <c r="Q115" s="1465">
        <f>ОТЧЁТ!W71</f>
        <v>47.3504</v>
      </c>
      <c r="R115" s="1465">
        <f>ОТЧЁТ!X71</f>
        <v>48.8855</v>
      </c>
      <c r="S115" s="1465">
        <f>ОТЧЁТ!Y71</f>
        <v>56.3011</v>
      </c>
      <c r="T115" s="1465">
        <f>ОТЧЁТ!Z71</f>
        <v>79.1165</v>
      </c>
      <c r="U115" s="1465">
        <f>ОТЧЁТ!AA71</f>
        <v>98.7819</v>
      </c>
      <c r="V115" s="1465">
        <f>ОТЧЁТ!AB71</f>
        <v>132.516</v>
      </c>
      <c r="W115" s="1465">
        <f>ОТЧЁТ!AC71</f>
        <v>154.9174</v>
      </c>
      <c r="X115" s="1465">
        <f>ОТЧЁТ!AD71</f>
        <v>149.551</v>
      </c>
      <c r="Y115" s="1465">
        <f>ОТЧЁТ!AE71</f>
        <v>139.3729</v>
      </c>
      <c r="Z115" s="1465">
        <f>ОТЧЁТ!AF71</f>
        <v>154.5876</v>
      </c>
      <c r="AA115" s="1465">
        <f>ОТЧЁТ!AG71</f>
        <v>185.8756</v>
      </c>
      <c r="AB115" s="1465">
        <f>ОТЧЁТ!AH71</f>
        <v>216.7125</v>
      </c>
      <c r="AC115" s="1465">
        <f>ОТЧЁТ!AI71</f>
        <v>216.9964</v>
      </c>
      <c r="AD115" s="1465">
        <f>ОТЧЁТ!AJ71</f>
        <v>225.726</v>
      </c>
      <c r="AE115" s="1465">
        <f>ОТЧЁТ!AK71</f>
        <v>225.3324</v>
      </c>
      <c r="AF115" s="1465">
        <f>ОТЧЁТ!AL71</f>
        <v>247.44670000000002</v>
      </c>
      <c r="AG115" s="1465">
        <f>ОТЧЁТ!AM71</f>
        <v>257.1967</v>
      </c>
      <c r="AH115" s="1465">
        <f>ОТЧЁТ!AN71</f>
        <v>290.191</v>
      </c>
      <c r="AI115" s="1465">
        <f>ОТЧЁТ!AO71</f>
        <v>314.087</v>
      </c>
      <c r="AJ115" s="1465">
        <f>ОТЧЁТ!AP71</f>
        <v>344.229</v>
      </c>
      <c r="AK115" s="1465">
        <f>ОТЧЁТ!AQ71</f>
        <v>380.678</v>
      </c>
      <c r="AL115" s="1465">
        <f>ОТЧЁТ!AR71</f>
        <v>432.626</v>
      </c>
      <c r="AM115" s="1465">
        <f>AM20*AM114</f>
        <v>468.93357188756613</v>
      </c>
      <c r="AN115" s="1465">
        <f t="shared" ref="AN115:BC115" si="33">AN20*AN114</f>
        <v>506.95077013950305</v>
      </c>
      <c r="AO115" s="1465">
        <f t="shared" si="33"/>
        <v>546.9443707620975</v>
      </c>
      <c r="AP115" s="1465">
        <f t="shared" si="33"/>
        <v>588.6632659248232</v>
      </c>
      <c r="AQ115" s="1465">
        <f t="shared" si="33"/>
        <v>632.2055713703637</v>
      </c>
      <c r="AR115" s="1465">
        <f t="shared" si="33"/>
        <v>677.6737207483995</v>
      </c>
      <c r="AS115" s="1465">
        <f t="shared" si="33"/>
        <v>725.1747108932897</v>
      </c>
      <c r="AT115" s="1465">
        <f t="shared" si="33"/>
        <v>774.820357896547</v>
      </c>
      <c r="AU115" s="1465">
        <f t="shared" si="33"/>
        <v>826.7275645873061</v>
      </c>
      <c r="AV115" s="1465">
        <f t="shared" si="33"/>
        <v>881.0186000609636</v>
      </c>
      <c r="AW115" s="1465">
        <f t="shared" si="33"/>
        <v>937.8213919246898</v>
      </c>
      <c r="AX115" s="1465">
        <f t="shared" si="33"/>
        <v>997.2698319586364</v>
      </c>
      <c r="AY115" s="1465">
        <f t="shared" si="33"/>
        <v>1059.504095923451</v>
      </c>
      <c r="AZ115" s="1465">
        <f t="shared" si="33"/>
        <v>1124.6709782782552</v>
      </c>
      <c r="BA115" s="1465">
        <f t="shared" si="33"/>
        <v>1192.9242426085996</v>
      </c>
      <c r="BB115" s="1465">
        <f t="shared" si="33"/>
        <v>1264.4249886011958</v>
      </c>
      <c r="BC115" s="1465">
        <f t="shared" si="33"/>
        <v>1339.3420364414917</v>
      </c>
      <c r="BD115" s="1462" t="str">
        <f t="shared" si="27"/>
        <v>YNK</v>
      </c>
      <c r="BH115" s="1420" t="s">
        <v>894</v>
      </c>
      <c r="BI115" s="1421"/>
      <c r="BJ115" s="1421"/>
      <c r="BL115" s="1421"/>
      <c r="BM115" s="1421"/>
      <c r="BN115" s="1421"/>
      <c r="BO115" s="1420" t="s">
        <v>1191</v>
      </c>
      <c r="BP115" s="1421"/>
      <c r="BQ115" s="1421"/>
      <c r="BR115" s="1421"/>
      <c r="BS115" s="1421"/>
    </row>
    <row r="116" ht="17.5" customHeight="1" spans="1:71" x14ac:dyDescent="0.25">
      <c r="A116" s="187" t="s">
        <v>1192</v>
      </c>
      <c r="B116" s="187"/>
      <c r="C116" s="187"/>
      <c r="D116" s="187"/>
      <c r="E116" s="31"/>
      <c r="F116" s="31"/>
      <c r="G116" s="1481" t="s">
        <v>957</v>
      </c>
      <c r="H116" s="1443">
        <v>20</v>
      </c>
      <c r="I116" s="1482" t="s">
        <v>1193</v>
      </c>
      <c r="J116" s="1483" t="s">
        <v>1194</v>
      </c>
      <c r="K116" s="1483"/>
      <c r="L116" s="1483"/>
      <c r="M116" s="1482"/>
      <c r="N116" s="1484"/>
      <c r="O116" s="1485">
        <f t="array" ref="O116:AL116">TRANSPOSE(ОТЧЁТ!EF372:EF395)</f>
        <v>514.8553</v>
      </c>
      <c r="P116" s="1465">
        <v>543.2361159000002</v>
      </c>
      <c r="Q116" s="1465">
        <v>547.6590219642</v>
      </c>
      <c r="R116" s="1465">
        <v>454.691116713093</v>
      </c>
      <c r="S116" s="1465">
        <v>485.7747187871727</v>
      </c>
      <c r="T116" s="1465">
        <v>630.5685561842777</v>
      </c>
      <c r="U116" s="1465">
        <v>693.847093595252</v>
      </c>
      <c r="V116" s="1465">
        <v>755.039850151428</v>
      </c>
      <c r="W116" s="1465">
        <v>856.3462624141979</v>
      </c>
      <c r="X116" s="1465">
        <v>959.4377971795636</v>
      </c>
      <c r="Y116" s="1465">
        <v>1039.2254401560776</v>
      </c>
      <c r="Z116" s="1465">
        <v>1171.4070713444628</v>
      </c>
      <c r="AA116" s="1465">
        <v>1325.353284075698</v>
      </c>
      <c r="AB116" s="1465">
        <v>1415.7084330046953</v>
      </c>
      <c r="AC116" s="1465">
        <v>955.5974556612293</v>
      </c>
      <c r="AD116" s="1465">
        <v>1199.8140185252826</v>
      </c>
      <c r="AE116" s="1465">
        <v>1381.4696147268057</v>
      </c>
      <c r="AF116" s="1465">
        <v>1432.7169214123069</v>
      </c>
      <c r="AG116" s="1465">
        <v>1431.6281795485993</v>
      </c>
      <c r="AH116" s="1465">
        <v>1309.0676111217113</v>
      </c>
      <c r="AI116" s="1465">
        <v>1124.7320412710553</v>
      </c>
      <c r="AJ116" s="1465">
        <v>1119.2869569831842</v>
      </c>
      <c r="AK116" s="1465">
        <v>1266.1979652485475</v>
      </c>
      <c r="AL116" s="1465">
        <v>1309.2948926238066</v>
      </c>
      <c r="AM116" s="1465">
        <f>$O116*AM32</f>
        <v>1335.1530490489624</v>
      </c>
      <c r="AN116" s="1465">
        <f t="shared" ref="AN116:BC116" si="34">$O116*AN32</f>
        <v>1350.6679429040557</v>
      </c>
      <c r="AO116" s="1465">
        <f t="shared" si="34"/>
        <v>1359.976879217112</v>
      </c>
      <c r="AP116" s="1465">
        <f t="shared" si="34"/>
        <v>1365.5622410049457</v>
      </c>
      <c r="AQ116" s="1465">
        <f t="shared" si="34"/>
        <v>1368.9134580776458</v>
      </c>
      <c r="AR116" s="1465">
        <f t="shared" si="34"/>
        <v>1370.9241883212662</v>
      </c>
      <c r="AS116" s="1465">
        <f t="shared" si="34"/>
        <v>1372.1306264674383</v>
      </c>
      <c r="AT116" s="1465">
        <f t="shared" si="34"/>
        <v>1372.8544893551416</v>
      </c>
      <c r="AU116" s="1465">
        <f t="shared" si="34"/>
        <v>1373.2888070877636</v>
      </c>
      <c r="AV116" s="1465">
        <f t="shared" si="34"/>
        <v>1373.5493977273368</v>
      </c>
      <c r="AW116" s="1465">
        <f t="shared" si="34"/>
        <v>1373.7057521110808</v>
      </c>
      <c r="AX116" s="1465">
        <f t="shared" si="34"/>
        <v>1373.799564741327</v>
      </c>
      <c r="AY116" s="1465">
        <f t="shared" si="34"/>
        <v>1373.8558523194747</v>
      </c>
      <c r="AZ116" s="1465">
        <f t="shared" si="34"/>
        <v>1373.8896248663636</v>
      </c>
      <c r="BA116" s="1465">
        <f t="shared" si="34"/>
        <v>1373.9098883944969</v>
      </c>
      <c r="BB116" s="1465">
        <f t="shared" si="34"/>
        <v>1373.9220465113767</v>
      </c>
      <c r="BC116" s="1465">
        <f t="shared" si="34"/>
        <v>1373.9293413815049</v>
      </c>
      <c r="BD116" s="1462" t="str">
        <f>G116</f>
        <v>EXMS</v>
      </c>
      <c r="BH116" s="1420" t="s">
        <v>1195</v>
      </c>
      <c r="BI116" s="1421"/>
      <c r="BJ116" s="1421"/>
      <c r="BL116" s="1421"/>
      <c r="BM116" s="1421"/>
      <c r="BN116" s="1421"/>
      <c r="BO116" s="1420" t="s">
        <v>543</v>
      </c>
      <c r="BP116" s="1421"/>
      <c r="BQ116" s="1421"/>
      <c r="BR116" s="1421"/>
      <c r="BS116" s="1421"/>
    </row>
    <row r="117" ht="17.5" customHeight="1" spans="1:71" x14ac:dyDescent="0.25">
      <c r="A117" s="187" t="s">
        <v>1196</v>
      </c>
      <c r="B117" s="187"/>
      <c r="C117" s="187"/>
      <c r="D117" s="187"/>
      <c r="E117" s="31"/>
      <c r="F117" s="31"/>
      <c r="G117" s="1481" t="s">
        <v>955</v>
      </c>
      <c r="H117" s="1443">
        <v>19</v>
      </c>
      <c r="I117" s="1482" t="s">
        <v>1197</v>
      </c>
      <c r="J117" s="1483" t="s">
        <v>1194</v>
      </c>
      <c r="K117" s="1483"/>
      <c r="L117" s="1483"/>
      <c r="M117" s="1482"/>
      <c r="N117" s="1484"/>
      <c r="O117" s="1485">
        <f t="array" ref="O117:AL117">TRANSPOSE(ОТЧЁТ!ED372:ED395)</f>
        <v>514.8553</v>
      </c>
      <c r="P117" s="1460">
        <v>622.7616000000002</v>
      </c>
      <c r="Q117" s="1460">
        <v>685.2900999999999</v>
      </c>
      <c r="R117" s="1460">
        <v>807.4396999999999</v>
      </c>
      <c r="S117" s="1460">
        <v>2129.4647999999997</v>
      </c>
      <c r="T117" s="1460">
        <v>3419.3657</v>
      </c>
      <c r="U117" s="1460">
        <v>3757.9725999999996</v>
      </c>
      <c r="V117" s="1460">
        <v>4220.666399999998</v>
      </c>
      <c r="W117" s="1460">
        <v>5224.525099999999</v>
      </c>
      <c r="X117" s="1460">
        <v>6554.360899999998</v>
      </c>
      <c r="Y117" s="1460">
        <v>8334.9119</v>
      </c>
      <c r="Z117" s="1460">
        <v>10048.0623</v>
      </c>
      <c r="AA117" s="1460">
        <v>11346.6383</v>
      </c>
      <c r="AB117" s="1460">
        <v>14668.053799999998</v>
      </c>
      <c r="AC117" s="1460">
        <v>10210.714599999998</v>
      </c>
      <c r="AD117" s="1460">
        <v>14849.832000000011</v>
      </c>
      <c r="AE117" s="1460">
        <v>20565.427600000003</v>
      </c>
      <c r="AF117" s="1460">
        <v>22468.884300000005</v>
      </c>
      <c r="AG117" s="1460">
        <v>22328.99409999999</v>
      </c>
      <c r="AH117" s="1460">
        <v>25406.47919999999</v>
      </c>
      <c r="AI117" s="1460">
        <v>28559.893</v>
      </c>
      <c r="AJ117" s="1460">
        <v>27631.495</v>
      </c>
      <c r="AK117" s="1460">
        <v>30155.721999999994</v>
      </c>
      <c r="AL117" s="1460">
        <v>37948.99399999999</v>
      </c>
      <c r="AM117" s="1460">
        <f>AM22*AM116</f>
        <v>37768.73095249461</v>
      </c>
      <c r="AN117" s="1460">
        <f t="shared" ref="AN117:BC117" si="35">AN22*AN116</f>
        <v>40918.88038225108</v>
      </c>
      <c r="AO117" s="1460">
        <f t="shared" si="35"/>
        <v>44210.660153062825</v>
      </c>
      <c r="AP117" s="1460">
        <f t="shared" si="35"/>
        <v>47669.589769566235</v>
      </c>
      <c r="AQ117" s="1460">
        <f t="shared" si="35"/>
        <v>51351.33032659586</v>
      </c>
      <c r="AR117" s="1460">
        <f t="shared" si="35"/>
        <v>55302.31422842374</v>
      </c>
      <c r="AS117" s="1460">
        <f t="shared" si="35"/>
        <v>59564.10999615163</v>
      </c>
      <c r="AT117" s="1460">
        <f t="shared" si="35"/>
        <v>64176.31856449899</v>
      </c>
      <c r="AU117" s="1460">
        <f t="shared" si="35"/>
        <v>69178.5422031752</v>
      </c>
      <c r="AV117" s="1460">
        <f t="shared" si="35"/>
        <v>74611.77232489029</v>
      </c>
      <c r="AW117" s="1460">
        <f t="shared" si="35"/>
        <v>80519.41841111146</v>
      </c>
      <c r="AX117" s="1460">
        <f t="shared" si="35"/>
        <v>86948.12133700632</v>
      </c>
      <c r="AY117" s="1460">
        <f t="shared" si="35"/>
        <v>93948.44414203512</v>
      </c>
      <c r="AZ117" s="1460">
        <f t="shared" si="35"/>
        <v>101575.50136704383</v>
      </c>
      <c r="BA117" s="1460">
        <f t="shared" si="35"/>
        <v>109889.56784281164</v>
      </c>
      <c r="BB117" s="1460">
        <f t="shared" si="35"/>
        <v>118956.69505504586</v>
      </c>
      <c r="BC117" s="1460">
        <f t="shared" si="35"/>
        <v>128849.35524322341</v>
      </c>
      <c r="BD117" s="1462" t="str">
        <f t="shared" si="27"/>
        <v>EXM</v>
      </c>
      <c r="BH117" s="1420" t="s">
        <v>1179</v>
      </c>
      <c r="BI117" s="1421"/>
      <c r="BJ117" s="1421"/>
      <c r="BL117" s="1421"/>
      <c r="BM117" s="1421"/>
      <c r="BN117" s="1421"/>
      <c r="BO117" s="1420" t="s">
        <v>1198</v>
      </c>
      <c r="BP117" s="1421"/>
      <c r="BQ117" s="1421"/>
      <c r="BR117" s="1421"/>
      <c r="BS117" s="1421"/>
    </row>
    <row r="118" ht="17.5" customHeight="1" spans="1:71" x14ac:dyDescent="0.25">
      <c r="A118" s="187"/>
      <c r="B118" s="187"/>
      <c r="C118" s="187"/>
      <c r="D118" s="187"/>
      <c r="E118" s="31"/>
      <c r="F118" s="31"/>
      <c r="G118" s="1481"/>
      <c r="H118" s="1443"/>
      <c r="I118" s="1482"/>
      <c r="J118" s="1483"/>
      <c r="K118" s="1483"/>
      <c r="L118" s="1483"/>
      <c r="M118" s="1482"/>
      <c r="N118" s="1484"/>
      <c r="O118" s="103"/>
      <c r="P118" s="1359"/>
      <c r="Q118" s="1359"/>
      <c r="R118" s="1359"/>
      <c r="S118" s="1359"/>
      <c r="T118" s="1359"/>
      <c r="U118" s="1359"/>
      <c r="V118" s="1359"/>
      <c r="W118" s="1359"/>
      <c r="X118" s="1359"/>
      <c r="Y118" s="1359"/>
      <c r="Z118" s="1359"/>
      <c r="AA118" s="1359"/>
      <c r="AB118" s="1359"/>
      <c r="AC118" s="1359"/>
      <c r="AD118" s="1359"/>
      <c r="AE118" s="1359"/>
      <c r="AF118" s="1359"/>
      <c r="AG118" s="1359"/>
      <c r="AH118" s="1359"/>
      <c r="AI118" s="1359"/>
      <c r="AJ118" s="1359"/>
      <c r="AK118" s="1359"/>
      <c r="AL118" s="1359"/>
      <c r="AM118" s="1359"/>
      <c r="AN118" s="1359"/>
      <c r="AO118" s="1359"/>
      <c r="AP118" s="1359"/>
      <c r="AQ118" s="1359"/>
      <c r="AR118" s="1359"/>
      <c r="AS118" s="1359"/>
      <c r="AT118" s="1359"/>
      <c r="AU118" s="1359"/>
      <c r="AV118" s="1359"/>
      <c r="AW118" s="1359"/>
      <c r="AX118" s="1359"/>
      <c r="AY118" s="1359"/>
      <c r="AZ118" s="1359"/>
      <c r="BA118" s="1359"/>
      <c r="BB118" s="1359"/>
      <c r="BC118" s="1359"/>
      <c r="BD118" s="1462">
        <f t="shared" si="27"/>
        <v>0</v>
      </c>
      <c r="BH118" s="1420"/>
      <c r="BI118" s="1421"/>
      <c r="BJ118" s="1421"/>
      <c r="BL118" s="1421"/>
      <c r="BM118" s="1421"/>
      <c r="BN118" s="1421"/>
      <c r="BO118" s="1420"/>
      <c r="BP118" s="1421"/>
      <c r="BQ118" s="1421"/>
      <c r="BR118" s="1421"/>
      <c r="BS118" s="1421"/>
    </row>
    <row r="119" ht="17.5" customHeight="1" spans="1:71" x14ac:dyDescent="0.25">
      <c r="A119" s="187" t="s">
        <v>1199</v>
      </c>
      <c r="B119" s="187"/>
      <c r="C119" s="187"/>
      <c r="D119" s="187"/>
      <c r="E119" s="31"/>
      <c r="F119" s="31"/>
      <c r="G119" s="1481" t="s">
        <v>653</v>
      </c>
      <c r="H119" s="1443">
        <v>21</v>
      </c>
      <c r="I119" s="1482" t="s">
        <v>1200</v>
      </c>
      <c r="J119" s="1483" t="s">
        <v>1140</v>
      </c>
      <c r="K119" s="1483"/>
      <c r="L119" s="1483"/>
      <c r="M119" s="1482"/>
      <c r="N119" s="1484"/>
      <c r="O119" s="1485">
        <f>ОТЧЁТ!U194</f>
        <v>369.9027</v>
      </c>
      <c r="P119" s="1465">
        <f>ОТЧЁТ!V194</f>
        <v>374.71143509999996</v>
      </c>
      <c r="Q119" s="1465">
        <f>ОТЧЁТ!W194</f>
        <v>376.21028084039995</v>
      </c>
      <c r="R119" s="1465">
        <f>ОТЧЁТ!X194</f>
        <v>310.74969197417033</v>
      </c>
      <c r="S119" s="1465">
        <f>ОТЧЁТ!Y194</f>
        <v>257.92224433856137</v>
      </c>
      <c r="T119" s="1465">
        <f>ОТЧЁТ!Z194</f>
        <v>341.48905150425526</v>
      </c>
      <c r="U119" s="1465">
        <f>ОТЧЁТ!AA194</f>
        <v>405.347504135551</v>
      </c>
      <c r="V119" s="1465">
        <f>ОТЧЁТ!AB194</f>
        <v>464.5282397393414</v>
      </c>
      <c r="W119" s="1465">
        <f>ОТЧЁТ!AC194</f>
        <v>544.8916252142475</v>
      </c>
      <c r="X119" s="1465">
        <f>ОТЧЁТ!AD194</f>
        <v>671.8513738891672</v>
      </c>
      <c r="Y119" s="1465">
        <f>ОТЧЁТ!AE194</f>
        <v>783.378701954769</v>
      </c>
      <c r="Z119" s="1465">
        <f>ОТЧЁТ!AF194</f>
        <v>950.2383654711348</v>
      </c>
      <c r="AA119" s="1465">
        <f>ОТЧЁТ!AG194</f>
        <v>1199.2008172245721</v>
      </c>
      <c r="AB119" s="1465">
        <f>ОТЧЁТ!AH194</f>
        <v>1376.6825381738088</v>
      </c>
      <c r="AC119" s="1465">
        <f>ОТЧЁТ!AI194</f>
        <v>958.1710465689708</v>
      </c>
      <c r="AD119" s="1465">
        <f>ОТЧЁТ!AJ194</f>
        <v>1205.3791765837652</v>
      </c>
      <c r="AE119" s="1465">
        <f>ОТЧЁТ!AK194</f>
        <v>1450.0711494302695</v>
      </c>
      <c r="AF119" s="1465">
        <f>ОТЧЁТ!AL194</f>
        <v>1590.7280509250056</v>
      </c>
      <c r="AG119" s="1465">
        <f>ОТЧЁТ!AM194</f>
        <v>1646.4035327073807</v>
      </c>
      <c r="AH119" s="1465">
        <f>ОТЧЁТ!AN194</f>
        <v>1526.216074819742</v>
      </c>
      <c r="AI119" s="1465">
        <f>ОТЧЁТ!AO194</f>
        <v>1143.1358400399868</v>
      </c>
      <c r="AJ119" s="1465">
        <f>ОТЧЁТ!AP194</f>
        <v>1101.9829497985472</v>
      </c>
      <c r="AK119" s="1465">
        <f>ОТЧЁТ!AQ194</f>
        <v>1293.7279830634943</v>
      </c>
      <c r="AL119" s="1465">
        <f>ОТЧЁТ!AR194</f>
        <v>1328.6586386062086</v>
      </c>
      <c r="AM119" s="1460">
        <f>AM13*AM88</f>
        <v>1390.641630769173</v>
      </c>
      <c r="AN119" s="1460">
        <f t="shared" ref="AN119:BC119" si="36">AN13*AN88</f>
        <v>1434.722182241835</v>
      </c>
      <c r="AO119" s="1460">
        <f t="shared" si="36"/>
        <v>1506.4771049988587</v>
      </c>
      <c r="AP119" s="1460">
        <f t="shared" si="36"/>
        <v>1566.1532838003432</v>
      </c>
      <c r="AQ119" s="1460">
        <f t="shared" si="36"/>
        <v>1625.5880043633108</v>
      </c>
      <c r="AR119" s="1460">
        <f t="shared" si="36"/>
        <v>1686.0362108019563</v>
      </c>
      <c r="AS119" s="1460">
        <f t="shared" si="36"/>
        <v>1748.3338912389893</v>
      </c>
      <c r="AT119" s="1460">
        <f t="shared" si="36"/>
        <v>1813.0620192841955</v>
      </c>
      <c r="AU119" s="1460">
        <f t="shared" si="36"/>
        <v>1880.6477764182082</v>
      </c>
      <c r="AV119" s="1460">
        <f t="shared" si="36"/>
        <v>1951.4271458735684</v>
      </c>
      <c r="AW119" s="1460">
        <f t="shared" si="36"/>
        <v>2025.6837099855345</v>
      </c>
      <c r="AX119" s="1460">
        <f t="shared" si="36"/>
        <v>2103.6727862979637</v>
      </c>
      <c r="AY119" s="1460">
        <f t="shared" si="36"/>
        <v>2185.636531320019</v>
      </c>
      <c r="AZ119" s="1460">
        <f t="shared" si="36"/>
        <v>2271.813481802804</v>
      </c>
      <c r="BA119" s="1460">
        <f t="shared" si="36"/>
        <v>2362.4446735208016</v>
      </c>
      <c r="BB119" s="1460">
        <f t="shared" si="36"/>
        <v>2457.7776580887034</v>
      </c>
      <c r="BC119" s="1460">
        <f t="shared" si="36"/>
        <v>2558.069233233629</v>
      </c>
      <c r="BD119" s="1462" t="str">
        <f t="shared" si="27"/>
        <v>IMS</v>
      </c>
      <c r="BH119" s="1420"/>
      <c r="BI119" s="1421"/>
      <c r="BJ119" s="1421"/>
      <c r="BL119" s="1421"/>
      <c r="BM119" s="1421"/>
      <c r="BN119" s="1421"/>
      <c r="BO119" s="1420" t="s">
        <v>1201</v>
      </c>
      <c r="BP119" s="1421"/>
      <c r="BQ119" s="1421"/>
      <c r="BR119" s="1421"/>
      <c r="BS119" s="1421"/>
    </row>
    <row r="120" ht="17.5" customHeight="1" spans="1:71" x14ac:dyDescent="0.25">
      <c r="A120" s="187" t="s">
        <v>1053</v>
      </c>
      <c r="B120" s="187"/>
      <c r="C120" s="187"/>
      <c r="D120" s="187"/>
      <c r="E120" s="31"/>
      <c r="F120" s="31"/>
      <c r="G120" s="1481" t="s">
        <v>394</v>
      </c>
      <c r="H120" s="1443">
        <v>22</v>
      </c>
      <c r="I120" s="1482" t="s">
        <v>1202</v>
      </c>
      <c r="J120" s="1483" t="s">
        <v>1203</v>
      </c>
      <c r="K120" s="1483"/>
      <c r="L120" s="1483"/>
      <c r="M120" s="1482"/>
      <c r="N120" s="1484"/>
      <c r="O120" s="1485">
        <f t="shared" ref="O120:BC120" si="37">0.25*O12+0.75*O14</f>
        <v>1.65</v>
      </c>
      <c r="P120" s="1369">
        <f t="shared" si="37"/>
        <v>2.0635</v>
      </c>
      <c r="Q120" s="1369">
        <f t="shared" si="37"/>
        <v>2.388985</v>
      </c>
      <c r="R120" s="1369">
        <f t="shared" si="37"/>
        <v>4.29478834</v>
      </c>
      <c r="S120" s="1369">
        <f t="shared" si="37"/>
        <v>8.7072610841</v>
      </c>
      <c r="T120" s="1369">
        <f t="shared" si="37"/>
        <v>10.1028178230882</v>
      </c>
      <c r="U120" s="1369">
        <f t="shared" si="37"/>
        <v>10.930931938182606</v>
      </c>
      <c r="V120" s="1369">
        <f t="shared" si="37"/>
        <v>12.02533516084818</v>
      </c>
      <c r="W120" s="1369">
        <f t="shared" si="37"/>
        <v>12.362875380149962</v>
      </c>
      <c r="X120" s="1369">
        <f t="shared" si="37"/>
        <v>12.441649299627507</v>
      </c>
      <c r="Y120" s="1369">
        <f t="shared" si="37"/>
        <v>12.885216573286904</v>
      </c>
      <c r="Z120" s="1369">
        <f t="shared" si="37"/>
        <v>13.125636064882727</v>
      </c>
      <c r="AA120" s="1369">
        <f t="shared" si="37"/>
        <v>13.479879315784306</v>
      </c>
      <c r="AB120" s="1369">
        <f t="shared" si="37"/>
        <v>14.240751288920462</v>
      </c>
      <c r="AC120" s="1369">
        <f t="shared" si="37"/>
        <v>16.689517402345462</v>
      </c>
      <c r="AD120" s="1369">
        <f t="shared" si="37"/>
        <v>17.088688530271398</v>
      </c>
      <c r="AE120" s="1369">
        <f t="shared" si="37"/>
        <v>17.42560853061795</v>
      </c>
      <c r="AF120" s="1369">
        <f t="shared" si="37"/>
        <v>18.511248071932613</v>
      </c>
      <c r="AG120" s="1369">
        <f t="shared" si="37"/>
        <v>19.396558572572268</v>
      </c>
      <c r="AH120" s="1369">
        <f t="shared" si="37"/>
        <v>21.171590538442096</v>
      </c>
      <c r="AI120" s="1369">
        <f t="shared" si="37"/>
        <v>28.729683217901126</v>
      </c>
      <c r="AJ120" s="1369">
        <f t="shared" si="37"/>
        <v>33.67510964334599</v>
      </c>
      <c r="AK120" s="1369">
        <f t="shared" si="37"/>
        <v>31.008032895393978</v>
      </c>
      <c r="AL120" s="1369">
        <f t="shared" si="37"/>
        <v>30.917946096737758</v>
      </c>
      <c r="AM120" s="1369">
        <f t="shared" si="37"/>
        <v>34.38759165807859</v>
      </c>
      <c r="AN120" s="1369">
        <f t="shared" si="37"/>
        <v>33.33077815849024</v>
      </c>
      <c r="AO120" s="1369">
        <f t="shared" si="37"/>
        <v>37.21606706641476</v>
      </c>
      <c r="AP120" s="1369">
        <f t="shared" si="37"/>
        <v>38.478495419735495</v>
      </c>
      <c r="AQ120" s="1369">
        <f t="shared" si="37"/>
        <v>39.78779519072227</v>
      </c>
      <c r="AR120" s="1369">
        <f t="shared" si="37"/>
        <v>41.146309950258384</v>
      </c>
      <c r="AS120" s="1369">
        <f t="shared" si="37"/>
        <v>42.5565004477713</v>
      </c>
      <c r="AT120" s="1369">
        <f t="shared" si="37"/>
        <v>44.02095047015987</v>
      </c>
      <c r="AU120" s="1369">
        <f t="shared" si="37"/>
        <v>45.54237299366786</v>
      </c>
      <c r="AV120" s="1369">
        <f t="shared" si="37"/>
        <v>47.123616643351255</v>
      </c>
      <c r="AW120" s="1369">
        <f t="shared" si="37"/>
        <v>48.76767247551882</v>
      </c>
      <c r="AX120" s="1369">
        <f t="shared" si="37"/>
        <v>50.477681099294756</v>
      </c>
      <c r="AY120" s="1369">
        <f t="shared" si="37"/>
        <v>52.2569401542595</v>
      </c>
      <c r="AZ120" s="1369">
        <f t="shared" si="37"/>
        <v>54.10891216197248</v>
      </c>
      <c r="BA120" s="1369">
        <f t="shared" si="37"/>
        <v>56.03723277007111</v>
      </c>
      <c r="BB120" s="1369">
        <f t="shared" si="37"/>
        <v>58.04571940857467</v>
      </c>
      <c r="BC120" s="1369">
        <f t="shared" si="37"/>
        <v>60.1383803790034</v>
      </c>
      <c r="BD120" s="1462" t="str">
        <f t="shared" si="27"/>
        <v>FA</v>
      </c>
      <c r="BH120" s="1420"/>
      <c r="BI120" s="1421"/>
      <c r="BJ120" s="1421"/>
      <c r="BL120" s="1421"/>
      <c r="BM120" s="1421"/>
      <c r="BN120" s="1421"/>
      <c r="BO120" s="1420" t="s">
        <v>1165</v>
      </c>
      <c r="BP120" s="1421"/>
      <c r="BQ120" s="1421"/>
      <c r="BR120" s="1421"/>
      <c r="BS120" s="1421"/>
    </row>
    <row r="121" ht="17.5" customHeight="1" spans="1:71" x14ac:dyDescent="0.25">
      <c r="A121" s="31" t="s">
        <v>1051</v>
      </c>
      <c r="B121" s="187"/>
      <c r="C121" s="187"/>
      <c r="D121" s="187"/>
      <c r="E121" s="31"/>
      <c r="F121" s="31"/>
      <c r="G121" s="1481"/>
      <c r="H121" s="1443"/>
      <c r="I121" s="1482"/>
      <c r="J121" s="1483"/>
      <c r="K121" s="1483"/>
      <c r="L121" s="1483"/>
      <c r="M121" s="1482"/>
      <c r="N121" s="1484"/>
      <c r="O121" s="1485"/>
      <c r="P121" s="1369"/>
      <c r="Q121" s="1369"/>
      <c r="R121" s="1369"/>
      <c r="S121" s="1369"/>
      <c r="T121" s="1369"/>
      <c r="U121" s="1369"/>
      <c r="V121" s="1369"/>
      <c r="W121" s="1369"/>
      <c r="X121" s="1369"/>
      <c r="Y121" s="1369"/>
      <c r="Z121" s="1369"/>
      <c r="AA121" s="1369"/>
      <c r="AB121" s="1369"/>
      <c r="AC121" s="1369"/>
      <c r="AD121" s="1369"/>
      <c r="AE121" s="1369"/>
      <c r="AF121" s="1369"/>
      <c r="AG121" s="1369"/>
      <c r="AH121" s="1369"/>
      <c r="AI121" s="1369"/>
      <c r="AJ121" s="1369"/>
      <c r="AK121" s="1369"/>
      <c r="AL121" s="1369"/>
      <c r="AM121" s="1369"/>
      <c r="AN121" s="1369"/>
      <c r="AO121" s="1369"/>
      <c r="AP121" s="1369"/>
      <c r="AQ121" s="1369"/>
      <c r="AR121" s="1369"/>
      <c r="AS121" s="1369"/>
      <c r="AT121" s="1369"/>
      <c r="AU121" s="1369"/>
      <c r="AV121" s="1369"/>
      <c r="AW121" s="1369"/>
      <c r="AX121" s="1369"/>
      <c r="AY121" s="1369"/>
      <c r="AZ121" s="1369"/>
      <c r="BA121" s="1369"/>
      <c r="BB121" s="1369"/>
      <c r="BC121" s="1369"/>
      <c r="BD121" s="1462">
        <f t="shared" si="27"/>
        <v>0</v>
      </c>
      <c r="BH121" s="1420"/>
      <c r="BI121" s="1421"/>
      <c r="BJ121" s="1421"/>
      <c r="BL121" s="1421"/>
      <c r="BM121" s="1421"/>
      <c r="BN121" s="1421"/>
      <c r="BO121" s="1420"/>
      <c r="BP121" s="1421"/>
      <c r="BQ121" s="1421"/>
      <c r="BR121" s="1421"/>
      <c r="BS121" s="1421"/>
    </row>
    <row r="122" ht="17.5" customHeight="1" hidden="1" spans="1:71" x14ac:dyDescent="0.25">
      <c r="A122" s="187"/>
      <c r="B122" s="187"/>
      <c r="C122" s="187"/>
      <c r="D122" s="187"/>
      <c r="E122" s="31"/>
      <c r="F122" s="31"/>
      <c r="G122" s="1481"/>
      <c r="H122" s="1443">
        <v>24</v>
      </c>
      <c r="I122" s="1482" t="s">
        <v>1204</v>
      </c>
      <c r="J122" s="1483"/>
      <c r="K122" s="1483"/>
      <c r="L122" s="1483"/>
      <c r="M122" s="1482"/>
      <c r="N122" s="1484"/>
      <c r="O122" s="1485"/>
      <c r="P122" s="1460"/>
      <c r="Q122" s="1460"/>
      <c r="R122" s="1460"/>
      <c r="S122" s="1460"/>
      <c r="T122" s="1460"/>
      <c r="U122" s="1460"/>
      <c r="V122" s="1460"/>
      <c r="W122" s="1460"/>
      <c r="X122" s="1460"/>
      <c r="Y122" s="1460"/>
      <c r="Z122" s="1460"/>
      <c r="AA122" s="1460"/>
      <c r="AB122" s="1460"/>
      <c r="AC122" s="1460"/>
      <c r="AD122" s="1460"/>
      <c r="AE122" s="1460"/>
      <c r="AF122" s="1460"/>
      <c r="AG122" s="1460"/>
      <c r="AH122" s="1460"/>
      <c r="AI122" s="1460"/>
      <c r="AJ122" s="1460"/>
      <c r="AK122" s="1460"/>
      <c r="AL122" s="1460"/>
      <c r="AM122" s="1460"/>
      <c r="AN122" s="1460"/>
      <c r="AO122" s="1460"/>
      <c r="AP122" s="1460"/>
      <c r="AQ122" s="1460"/>
      <c r="AR122" s="1460"/>
      <c r="AS122" s="1460"/>
      <c r="AT122" s="1460"/>
      <c r="AU122" s="1460"/>
      <c r="AV122" s="1460"/>
      <c r="AW122" s="1460"/>
      <c r="AX122" s="1460"/>
      <c r="AY122" s="1460"/>
      <c r="AZ122" s="1460"/>
      <c r="BA122" s="1460"/>
      <c r="BB122" s="1460"/>
      <c r="BC122" s="1460"/>
      <c r="BD122" s="1462">
        <f t="shared" si="27"/>
        <v>0</v>
      </c>
      <c r="BH122" s="1420"/>
      <c r="BI122" s="1421"/>
      <c r="BJ122" s="15"/>
      <c r="BK122" s="1418" t="s">
        <v>1205</v>
      </c>
      <c r="BL122" s="15"/>
      <c r="BM122" s="15"/>
      <c r="BN122" s="15"/>
      <c r="BO122" s="15"/>
      <c r="BP122" s="15"/>
      <c r="BQ122" s="15"/>
      <c r="BR122" s="15"/>
      <c r="BS122" s="15"/>
    </row>
    <row r="123" ht="17.5" customHeight="1" hidden="1" spans="1:71" x14ac:dyDescent="0.25">
      <c r="A123" s="187"/>
      <c r="B123" s="187"/>
      <c r="C123" s="187"/>
      <c r="D123" s="187"/>
      <c r="E123" s="31"/>
      <c r="F123" s="31"/>
      <c r="G123" s="1481"/>
      <c r="H123" s="1443">
        <v>25</v>
      </c>
      <c r="I123" s="1482" t="s">
        <v>1204</v>
      </c>
      <c r="J123" s="1483"/>
      <c r="K123" s="1483"/>
      <c r="L123" s="1483"/>
      <c r="M123" s="1482"/>
      <c r="N123" s="1484"/>
      <c r="O123" s="1485"/>
      <c r="P123" s="1460"/>
      <c r="Q123" s="1460"/>
      <c r="R123" s="1460"/>
      <c r="S123" s="1460"/>
      <c r="T123" s="1460"/>
      <c r="U123" s="1460"/>
      <c r="V123" s="1460"/>
      <c r="W123" s="1460"/>
      <c r="X123" s="1460"/>
      <c r="Y123" s="1460"/>
      <c r="Z123" s="1460"/>
      <c r="AA123" s="1460"/>
      <c r="AB123" s="1460"/>
      <c r="AC123" s="1460"/>
      <c r="AD123" s="1460"/>
      <c r="AE123" s="1460"/>
      <c r="AF123" s="1460"/>
      <c r="AG123" s="1460"/>
      <c r="AH123" s="1460"/>
      <c r="AI123" s="1460"/>
      <c r="AJ123" s="1460"/>
      <c r="AK123" s="1460"/>
      <c r="AL123" s="1460"/>
      <c r="AM123" s="1460"/>
      <c r="AN123" s="1460"/>
      <c r="AO123" s="1460"/>
      <c r="AP123" s="1460"/>
      <c r="AQ123" s="1460"/>
      <c r="AR123" s="1460"/>
      <c r="AS123" s="1460"/>
      <c r="AT123" s="1460"/>
      <c r="AU123" s="1460"/>
      <c r="AV123" s="1460"/>
      <c r="AW123" s="1460"/>
      <c r="AX123" s="1460"/>
      <c r="AY123" s="1460"/>
      <c r="AZ123" s="1460"/>
      <c r="BA123" s="1460"/>
      <c r="BB123" s="1460"/>
      <c r="BC123" s="1460"/>
      <c r="BD123" s="1462">
        <f t="shared" si="27"/>
        <v>0</v>
      </c>
      <c r="BH123" s="1420"/>
      <c r="BI123" s="1421"/>
      <c r="BJ123" s="1421"/>
      <c r="BL123" s="1421"/>
      <c r="BM123" s="1421"/>
      <c r="BN123" s="1421"/>
      <c r="BO123" s="1420"/>
      <c r="BP123" s="1421"/>
      <c r="BQ123" s="1421"/>
      <c r="BR123" s="1421"/>
      <c r="BS123" s="1421"/>
    </row>
    <row r="124" ht="17.5" customHeight="1" spans="1:71" x14ac:dyDescent="0.25">
      <c r="A124" s="31" t="s">
        <v>881</v>
      </c>
      <c r="B124" s="187"/>
      <c r="C124" s="187"/>
      <c r="D124" s="187"/>
      <c r="E124" s="31"/>
      <c r="F124" s="31"/>
      <c r="G124" s="1481" t="s">
        <v>285</v>
      </c>
      <c r="H124" s="1443">
        <v>26</v>
      </c>
      <c r="I124" s="1482" t="s">
        <v>1206</v>
      </c>
      <c r="J124" s="1483" t="s">
        <v>1141</v>
      </c>
      <c r="K124" s="1483"/>
      <c r="L124" s="1483"/>
      <c r="M124" s="1482"/>
      <c r="N124" s="1484"/>
      <c r="O124" s="1485">
        <f>ОТЧЁТ!U52</f>
        <v>369.9027</v>
      </c>
      <c r="P124" s="1465">
        <f>ОТЧЁТ!V52</f>
        <v>438.694</v>
      </c>
      <c r="Q124" s="1465">
        <f>ОТЧЁТ!W52</f>
        <v>527.711</v>
      </c>
      <c r="R124" s="1465">
        <f>ОТЧЁТ!X52</f>
        <v>645.634</v>
      </c>
      <c r="S124" s="1465">
        <f>ОТЧЁТ!Y52</f>
        <v>1262.349</v>
      </c>
      <c r="T124" s="1465">
        <f>ОТЧЁТ!Z52</f>
        <v>1755.804</v>
      </c>
      <c r="U124" s="1465">
        <f>ОТЧЁТ!AA52</f>
        <v>2165.928</v>
      </c>
      <c r="V124" s="1465">
        <f>ОТЧЁТ!AB52</f>
        <v>2646.204</v>
      </c>
      <c r="W124" s="1465">
        <f>ОТЧЁТ!AC52</f>
        <v>3153.9</v>
      </c>
      <c r="X124" s="1465">
        <f>ОТЧЁТ!AD52</f>
        <v>3773.9</v>
      </c>
      <c r="Y124" s="1465">
        <f>ОТЧЁТ!AE52</f>
        <v>4648.3</v>
      </c>
      <c r="Z124" s="1465">
        <f>ОТЧЁТ!AF52</f>
        <v>5653.4199</v>
      </c>
      <c r="AA124" s="1465">
        <f>ОТЧЁТ!AG52</f>
        <v>7162.2108</v>
      </c>
      <c r="AB124" s="1465">
        <f>ОТЧЁТ!AH52</f>
        <v>9110.9865</v>
      </c>
      <c r="AC124" s="1465">
        <f>ОТЧЁТ!AI52</f>
        <v>7954.3271</v>
      </c>
      <c r="AD124" s="1465">
        <f>ОТЧЁТ!AJ52</f>
        <v>9789.614</v>
      </c>
      <c r="AE124" s="1465">
        <f>ОТЧЁТ!AK52</f>
        <v>12010.7569</v>
      </c>
      <c r="AF124" s="1465">
        <f>ОТЧЁТ!AL52</f>
        <v>13786.8717</v>
      </c>
      <c r="AG124" s="1465">
        <f>ОТЧЁТ!AM52</f>
        <v>14919.6208</v>
      </c>
      <c r="AH124" s="1465">
        <f>ОТЧЁТ!AN52</f>
        <v>16351.5355</v>
      </c>
      <c r="AI124" s="1465">
        <f>ОТЧЁТ!AO52</f>
        <v>17153.42</v>
      </c>
      <c r="AJ124" s="1465">
        <f>ОТЧЁТ!AP52</f>
        <v>17689.044</v>
      </c>
      <c r="AK124" s="1465">
        <f>ОТЧЁТ!AQ52</f>
        <v>19072.95</v>
      </c>
      <c r="AL124" s="1465">
        <f>ОТЧЁТ!AR52</f>
        <v>21574.3</v>
      </c>
      <c r="AM124" s="1460">
        <f>AM27*AM119</f>
        <v>25640.734380293674</v>
      </c>
      <c r="AN124" s="1460">
        <f t="shared" ref="AN124:BC124" si="38">AN27*AN119</f>
        <v>28406.52692441296</v>
      </c>
      <c r="AO124" s="1460">
        <f t="shared" si="38"/>
        <v>30351.88446437129</v>
      </c>
      <c r="AP124" s="1460">
        <f t="shared" si="38"/>
        <v>32749.208977862472</v>
      </c>
      <c r="AQ124" s="1460">
        <f t="shared" si="38"/>
        <v>35278.41888398721</v>
      </c>
      <c r="AR124" s="1460">
        <f t="shared" si="38"/>
        <v>37974.643708385534</v>
      </c>
      <c r="AS124" s="1460">
        <f t="shared" si="38"/>
        <v>40867.91465006267</v>
      </c>
      <c r="AT124" s="1460">
        <f t="shared" si="38"/>
        <v>43985.723064046746</v>
      </c>
      <c r="AU124" s="1460">
        <f t="shared" si="38"/>
        <v>47354.73026310298</v>
      </c>
      <c r="AV124" s="1460">
        <f t="shared" si="38"/>
        <v>51001.94157976499</v>
      </c>
      <c r="AW124" s="1460">
        <f t="shared" si="38"/>
        <v>54955.54564837028</v>
      </c>
      <c r="AX124" s="1460">
        <f t="shared" si="38"/>
        <v>59245.54831010397</v>
      </c>
      <c r="AY124" s="1460">
        <f t="shared" si="38"/>
        <v>63904.28485515271</v>
      </c>
      <c r="AZ124" s="1460">
        <f t="shared" si="38"/>
        <v>68966.86518253376</v>
      </c>
      <c r="BA124" s="1460">
        <f t="shared" si="38"/>
        <v>74471.58792389138</v>
      </c>
      <c r="BB124" s="1460">
        <f t="shared" si="38"/>
        <v>80460.34783386828</v>
      </c>
      <c r="BC124" s="1460">
        <f t="shared" si="38"/>
        <v>86979.05336166802</v>
      </c>
      <c r="BD124" s="1462" t="str">
        <f t="shared" si="27"/>
        <v>IM</v>
      </c>
      <c r="BH124" s="1420"/>
      <c r="BI124" s="1421"/>
      <c r="BJ124" s="15"/>
      <c r="BK124" s="1418" t="s">
        <v>1207</v>
      </c>
      <c r="BL124" s="15"/>
      <c r="BM124" s="15"/>
      <c r="BN124" s="15"/>
      <c r="BO124" s="15"/>
      <c r="BP124" s="15"/>
      <c r="BQ124" s="15"/>
      <c r="BR124" s="15"/>
      <c r="BS124" s="15"/>
    </row>
    <row r="125" ht="17.5" customHeight="1" spans="1:66" x14ac:dyDescent="0.25">
      <c r="A125" s="31" t="s">
        <v>1208</v>
      </c>
      <c r="B125" s="187"/>
      <c r="C125" s="187"/>
      <c r="D125" s="187"/>
      <c r="E125" s="31"/>
      <c r="F125" s="31"/>
      <c r="G125" s="1481" t="s">
        <v>116</v>
      </c>
      <c r="H125" s="1443">
        <v>27</v>
      </c>
      <c r="I125" s="1482" t="s">
        <v>1209</v>
      </c>
      <c r="J125" s="1483" t="s">
        <v>1210</v>
      </c>
      <c r="K125" s="1483"/>
      <c r="L125" s="1483"/>
      <c r="M125" s="1482"/>
      <c r="N125" s="1484"/>
      <c r="O125" s="1485">
        <v>1428.5209000000002</v>
      </c>
      <c r="P125" s="1465">
        <f t="shared" ref="P125:BC125" si="39">P102+P106+P109+P115+P117-P124+P9</f>
        <v>2007.8252000000002</v>
      </c>
      <c r="Q125" s="1465">
        <f t="shared" si="39"/>
        <v>2342.5136999999995</v>
      </c>
      <c r="R125" s="1465">
        <f t="shared" si="39"/>
        <v>2629.6229</v>
      </c>
      <c r="S125" s="1465">
        <f t="shared" si="39"/>
        <v>4823.232899999999</v>
      </c>
      <c r="T125" s="1465">
        <f t="shared" si="39"/>
        <v>7305.6466</v>
      </c>
      <c r="U125" s="1465">
        <f t="shared" si="39"/>
        <v>8943.5826</v>
      </c>
      <c r="V125" s="1465">
        <f t="shared" si="39"/>
        <v>10819.270899999998</v>
      </c>
      <c r="W125" s="1465">
        <f t="shared" si="39"/>
        <v>13208.250299999998</v>
      </c>
      <c r="X125" s="1465">
        <f t="shared" si="39"/>
        <v>17027.166999999998</v>
      </c>
      <c r="Y125" s="1465">
        <f t="shared" si="39"/>
        <v>21609.765799999997</v>
      </c>
      <c r="Z125" s="1465">
        <f t="shared" si="39"/>
        <v>26917.2037</v>
      </c>
      <c r="AA125" s="1465">
        <f t="shared" si="39"/>
        <v>33247.5132</v>
      </c>
      <c r="AB125" s="1465">
        <f t="shared" si="39"/>
        <v>41276.84919999999</v>
      </c>
      <c r="AC125" s="1465">
        <f t="shared" si="39"/>
        <v>38807.270899999996</v>
      </c>
      <c r="AD125" s="1465">
        <f t="shared" si="39"/>
        <v>46308.53100000001</v>
      </c>
      <c r="AE125" s="1465">
        <f t="shared" si="39"/>
        <v>60282.540400000005</v>
      </c>
      <c r="AF125" s="1465">
        <f t="shared" si="39"/>
        <v>68163.8831</v>
      </c>
      <c r="AG125" s="1465">
        <f t="shared" si="39"/>
        <v>73133.89509999997</v>
      </c>
      <c r="AH125" s="1465">
        <f t="shared" si="39"/>
        <v>79058</v>
      </c>
      <c r="AI125" s="1465">
        <f t="shared" si="39"/>
        <v>83094</v>
      </c>
      <c r="AJ125" s="1465">
        <f t="shared" si="39"/>
        <v>86014.00000000001</v>
      </c>
      <c r="AK125" s="1465">
        <f t="shared" si="39"/>
        <v>92275.6</v>
      </c>
      <c r="AL125" s="1465">
        <f t="shared" si="39"/>
        <v>103302.67</v>
      </c>
      <c r="AM125" s="1465">
        <f t="shared" si="39"/>
        <v>106089.18754590405</v>
      </c>
      <c r="AN125" s="1465">
        <f t="shared" si="39"/>
        <v>113297.53334709894</v>
      </c>
      <c r="AO125" s="1465">
        <f t="shared" si="39"/>
        <v>128333.75598462771</v>
      </c>
      <c r="AP125" s="1460">
        <f t="shared" si="39"/>
        <v>141286.24247736865</v>
      </c>
      <c r="AQ125" s="1460">
        <f t="shared" si="39"/>
        <v>155255.1968559705</v>
      </c>
      <c r="AR125" s="1460">
        <f t="shared" si="39"/>
        <v>170433.97879266372</v>
      </c>
      <c r="AS125" s="1460">
        <f t="shared" si="39"/>
        <v>187003.77222075325</v>
      </c>
      <c r="AT125" s="1460">
        <f t="shared" si="39"/>
        <v>205143.36637033528</v>
      </c>
      <c r="AU125" s="1460">
        <f t="shared" si="39"/>
        <v>225036.11253821413</v>
      </c>
      <c r="AV125" s="1460">
        <f t="shared" si="39"/>
        <v>246875.09341763868</v>
      </c>
      <c r="AW125" s="1460">
        <f t="shared" si="39"/>
        <v>270867.1880058097</v>
      </c>
      <c r="AX125" s="1460">
        <f t="shared" si="39"/>
        <v>297236.48463029845</v>
      </c>
      <c r="AY125" s="1460">
        <f t="shared" si="39"/>
        <v>326227.34475139517</v>
      </c>
      <c r="AZ125" s="1460">
        <f t="shared" si="39"/>
        <v>358107.32300782914</v>
      </c>
      <c r="BA125" s="1460">
        <f t="shared" si="39"/>
        <v>393170.08626854577</v>
      </c>
      <c r="BB125" s="1460">
        <f t="shared" si="39"/>
        <v>431738.4343495953</v>
      </c>
      <c r="BC125" s="1460">
        <f t="shared" si="39"/>
        <v>474167.49979999114</v>
      </c>
      <c r="BD125" s="1462" t="str">
        <f t="shared" si="27"/>
        <v>WWP</v>
      </c>
      <c r="BH125" s="1420"/>
      <c r="BI125" s="1421"/>
      <c r="BJ125" s="1421"/>
      <c r="BL125" s="1421"/>
      <c r="BM125" s="1421"/>
      <c r="BN125" s="1421"/>
    </row>
    <row r="126" ht="20.5" customHeight="1" spans="1:66" x14ac:dyDescent="0.25">
      <c r="A126" s="31"/>
      <c r="B126" s="187"/>
      <c r="C126" s="187"/>
      <c r="D126" s="187"/>
      <c r="G126" s="1481"/>
      <c r="H126" s="1443">
        <v>28</v>
      </c>
      <c r="I126" s="1482"/>
      <c r="J126" s="1483"/>
      <c r="K126" s="1483"/>
      <c r="L126" s="1483"/>
      <c r="M126" s="1488" t="s">
        <v>319</v>
      </c>
      <c r="N126" s="206"/>
      <c r="O126" s="1485">
        <f>ОТЧЁТ!U65</f>
        <v>1428.5209000000002</v>
      </c>
      <c r="P126" s="1465">
        <f>ОТЧЁТ!V65</f>
        <v>2007.8252000000007</v>
      </c>
      <c r="Q126" s="1465">
        <f>ОТЧЁТ!W65</f>
        <v>2342.5136999999995</v>
      </c>
      <c r="R126" s="1465">
        <f>ОТЧЁТ!X65</f>
        <v>2629.6229</v>
      </c>
      <c r="S126" s="1465">
        <f>ОТЧЁТ!Y65</f>
        <v>4823.232900000001</v>
      </c>
      <c r="T126" s="1465">
        <f>ОТЧЁТ!Z65</f>
        <v>7305.6466</v>
      </c>
      <c r="U126" s="1465">
        <f>ОТЧЁТ!AA65</f>
        <v>8943.582600000002</v>
      </c>
      <c r="V126" s="1465">
        <f>ОТЧЁТ!AB65</f>
        <v>10819.2123</v>
      </c>
      <c r="W126" s="1465">
        <f>ОТЧЁТ!AC65</f>
        <v>13208.2338</v>
      </c>
      <c r="X126" s="1465">
        <f>ОТЧЁТ!AD65</f>
        <v>17027.1909</v>
      </c>
      <c r="Y126" s="1465">
        <f>ОТЧЁТ!AE65</f>
        <v>21609.7655</v>
      </c>
      <c r="Z126" s="1465">
        <f>ОТЧЁТ!AF65</f>
        <v>26917.2014</v>
      </c>
      <c r="AA126" s="1465">
        <f>ОТЧЁТ!AG65</f>
        <v>33247.5132</v>
      </c>
      <c r="AB126" s="1465">
        <f>ОТЧЁТ!AH65</f>
        <v>41276.8492</v>
      </c>
      <c r="AC126" s="1465">
        <f>ОТЧЁТ!AI65</f>
        <v>38807.219</v>
      </c>
      <c r="AD126" s="1465">
        <f>ОТЧЁТ!AJ65</f>
        <v>46308.541</v>
      </c>
      <c r="AE126" s="1465">
        <f>ОТЧЁТ!AK65</f>
        <v>60282.5404</v>
      </c>
      <c r="AF126" s="1465">
        <f>ОТЧЁТ!AL65</f>
        <v>68163.88309999999</v>
      </c>
      <c r="AG126" s="1465">
        <f>ОТЧЁТ!AM65</f>
        <v>73133.8951</v>
      </c>
      <c r="AH126" s="1465">
        <f>ОТЧЁТ!AN65</f>
        <v>79058.48</v>
      </c>
      <c r="AI126" s="1465">
        <f>ОТЧЁТ!AO65</f>
        <v>83094.3</v>
      </c>
      <c r="AJ126" s="1465">
        <f>ОТЧЁТ!AP65</f>
        <v>86014.2</v>
      </c>
      <c r="AK126" s="1465">
        <f>ОТЧЁТ!AQ65</f>
        <v>92101.34</v>
      </c>
      <c r="AL126" s="1465">
        <f>ОТЧЁТ!AR65</f>
        <v>103875.8</v>
      </c>
      <c r="AM126" s="1460"/>
      <c r="AN126" s="1460"/>
      <c r="AO126" s="1460"/>
      <c r="AP126" s="1460"/>
      <c r="AQ126" s="1460"/>
      <c r="AR126" s="1460"/>
      <c r="AS126" s="1460"/>
      <c r="AT126" s="1460"/>
      <c r="AU126" s="1460"/>
      <c r="AV126" s="1460"/>
      <c r="AW126" s="1460"/>
      <c r="AX126" s="1460"/>
      <c r="AY126" s="1460"/>
      <c r="AZ126" s="1460"/>
      <c r="BA126" s="1460"/>
      <c r="BB126" s="1460"/>
      <c r="BC126" s="1460"/>
      <c r="BD126" s="1462">
        <f t="shared" si="27"/>
        <v>0</v>
      </c>
      <c r="BH126" s="1420"/>
      <c r="BI126" s="1421"/>
      <c r="BJ126" s="1421"/>
      <c r="BL126" s="1421"/>
      <c r="BM126" s="1421"/>
      <c r="BN126" s="1421"/>
    </row>
    <row r="127" ht="17.5" customHeight="1" spans="1:71" x14ac:dyDescent="0.25">
      <c r="A127" s="31" t="s">
        <v>665</v>
      </c>
      <c r="B127" s="187"/>
      <c r="C127" s="187"/>
      <c r="D127" s="187"/>
      <c r="E127" s="31"/>
      <c r="F127" s="31"/>
      <c r="G127" s="1481" t="s">
        <v>664</v>
      </c>
      <c r="H127" s="1443">
        <v>29</v>
      </c>
      <c r="I127" s="1482" t="s">
        <v>1211</v>
      </c>
      <c r="J127" s="1483" t="s">
        <v>1210</v>
      </c>
      <c r="K127" s="1483"/>
      <c r="L127" s="1483"/>
      <c r="M127" s="1482"/>
      <c r="N127" s="1484"/>
      <c r="O127" s="1485">
        <v>1428.5209000000002</v>
      </c>
      <c r="P127" s="1465">
        <f t="shared" ref="P127:BC127" si="40">P99+P107+P110+P114+P116-P119</f>
        <v>1377.0941476</v>
      </c>
      <c r="Q127" s="1465">
        <f t="shared" si="40"/>
        <v>1396.3734656663999</v>
      </c>
      <c r="R127" s="1465">
        <f t="shared" si="40"/>
        <v>1322.3656719860805</v>
      </c>
      <c r="S127" s="1465">
        <f t="shared" si="40"/>
        <v>1406.9970749931902</v>
      </c>
      <c r="T127" s="1465">
        <f t="shared" si="40"/>
        <v>1547.696782492509</v>
      </c>
      <c r="U127" s="1465">
        <f t="shared" si="40"/>
        <v>1626.6293183996272</v>
      </c>
      <c r="V127" s="1465">
        <f t="shared" si="40"/>
        <v>1703.0808963644097</v>
      </c>
      <c r="W127" s="1465">
        <f t="shared" si="40"/>
        <v>1827.405801799012</v>
      </c>
      <c r="X127" s="1465">
        <f t="shared" si="40"/>
        <v>1958.9790195285411</v>
      </c>
      <c r="Y127" s="1465">
        <f t="shared" si="40"/>
        <v>2084.353676778367</v>
      </c>
      <c r="Z127" s="1465">
        <f t="shared" si="40"/>
        <v>2255.2706782741934</v>
      </c>
      <c r="AA127" s="1465">
        <f t="shared" si="40"/>
        <v>2446.9686859275</v>
      </c>
      <c r="AB127" s="1465">
        <f t="shared" si="40"/>
        <v>2574.2110575957295</v>
      </c>
      <c r="AC127" s="1465">
        <f t="shared" si="40"/>
        <v>2370.848384045668</v>
      </c>
      <c r="AD127" s="1465">
        <f t="shared" si="40"/>
        <v>2477.5365613277227</v>
      </c>
      <c r="AE127" s="1465">
        <f t="shared" si="40"/>
        <v>2584.070633464814</v>
      </c>
      <c r="AF127" s="1465">
        <f t="shared" si="40"/>
        <v>2678.5417124027344</v>
      </c>
      <c r="AG127" s="1465">
        <f t="shared" si="40"/>
        <v>2726.363177423884</v>
      </c>
      <c r="AH127" s="1465">
        <f t="shared" si="40"/>
        <v>2746.500116935331</v>
      </c>
      <c r="AI127" s="1465">
        <f t="shared" si="40"/>
        <v>2683.3306142458187</v>
      </c>
      <c r="AJ127" s="1465">
        <f t="shared" si="40"/>
        <v>2688.6972754743083</v>
      </c>
      <c r="AK127" s="1465">
        <f t="shared" si="40"/>
        <v>2737.0938264328465</v>
      </c>
      <c r="AL127" s="1465">
        <f t="shared" si="40"/>
        <v>2813.732453572967</v>
      </c>
      <c r="AM127" s="1465">
        <f t="shared" si="40"/>
        <v>2909.1316283173196</v>
      </c>
      <c r="AN127" s="1465">
        <f t="shared" si="40"/>
        <v>2982.2156230189194</v>
      </c>
      <c r="AO127" s="1465">
        <f t="shared" si="40"/>
        <v>3111.4494667760982</v>
      </c>
      <c r="AP127" s="1465">
        <f t="shared" si="40"/>
        <v>3214.173383828088</v>
      </c>
      <c r="AQ127" s="1465">
        <f t="shared" si="40"/>
        <v>3315.0195661939806</v>
      </c>
      <c r="AR127" s="1465">
        <f t="shared" si="40"/>
        <v>3416.5577504963967</v>
      </c>
      <c r="AS127" s="1465">
        <f t="shared" si="40"/>
        <v>3520.4494534119376</v>
      </c>
      <c r="AT127" s="1465">
        <f t="shared" si="40"/>
        <v>3627.803901133365</v>
      </c>
      <c r="AU127" s="1465">
        <f t="shared" si="40"/>
        <v>3739.396193372688</v>
      </c>
      <c r="AV127" s="1465">
        <f t="shared" si="40"/>
        <v>3855.801152286197</v>
      </c>
      <c r="AW127" s="1465">
        <f t="shared" si="40"/>
        <v>3977.4755521631478</v>
      </c>
      <c r="AX127" s="1465">
        <f t="shared" si="40"/>
        <v>4104.808738039255</v>
      </c>
      <c r="AY127" s="1465">
        <f t="shared" si="40"/>
        <v>4238.153882133465</v>
      </c>
      <c r="AZ127" s="1465">
        <f t="shared" si="40"/>
        <v>4377.847379925338</v>
      </c>
      <c r="BA127" s="1465">
        <f t="shared" si="40"/>
        <v>4524.22098233129</v>
      </c>
      <c r="BB127" s="1465">
        <f t="shared" si="40"/>
        <v>4677.609481590649</v>
      </c>
      <c r="BC127" s="1465">
        <f t="shared" si="40"/>
        <v>4838.355678935852</v>
      </c>
      <c r="BD127" s="1462" t="str">
        <f t="shared" si="27"/>
        <v>WWPS</v>
      </c>
      <c r="BH127" s="1420" t="s">
        <v>1064</v>
      </c>
      <c r="BI127" s="1421"/>
      <c r="BJ127" s="1421"/>
      <c r="BK127" s="1421"/>
      <c r="BL127" s="1421"/>
      <c r="BM127" s="1421"/>
      <c r="BN127" s="1421"/>
      <c r="BO127" s="1420" t="s">
        <v>1212</v>
      </c>
      <c r="BP127" s="1421"/>
      <c r="BQ127" s="1421"/>
      <c r="BR127" s="1421"/>
      <c r="BS127" s="1421"/>
    </row>
    <row r="128" ht="20.5" customHeight="1" spans="1:71" x14ac:dyDescent="0.25">
      <c r="A128" s="31"/>
      <c r="B128" s="187"/>
      <c r="C128" s="187"/>
      <c r="D128" s="187"/>
      <c r="E128" s="31"/>
      <c r="F128" s="31"/>
      <c r="G128" s="1481"/>
      <c r="H128" s="1443">
        <v>30</v>
      </c>
      <c r="I128" s="1482"/>
      <c r="J128" s="1483"/>
      <c r="K128" s="1483"/>
      <c r="L128" s="1483"/>
      <c r="M128" s="1488" t="s">
        <v>319</v>
      </c>
      <c r="N128" s="206"/>
      <c r="O128" s="1485">
        <v>1428.5209000000002</v>
      </c>
      <c r="P128" s="1465">
        <f>ОТЧЁТ!V199</f>
        <v>1377.0941476</v>
      </c>
      <c r="Q128" s="1465">
        <f>ОТЧЁТ!W199</f>
        <v>1396.3734656664</v>
      </c>
      <c r="R128" s="1465">
        <f>ОТЧЁТ!X199</f>
        <v>1322.3656719860808</v>
      </c>
      <c r="S128" s="1465">
        <f>ОТЧЁТ!Y199</f>
        <v>1406.99707499319</v>
      </c>
      <c r="T128" s="1465">
        <f>ОТЧЁТ!Z199</f>
        <v>1547.696782492509</v>
      </c>
      <c r="U128" s="1465">
        <f>ОТЧЁТ!AA199</f>
        <v>1626.629318399627</v>
      </c>
      <c r="V128" s="1465">
        <f>ОТЧЁТ!AB199</f>
        <v>1703.0808963644092</v>
      </c>
      <c r="W128" s="1465">
        <f>ОТЧЁТ!AC199</f>
        <v>1827.405801799011</v>
      </c>
      <c r="X128" s="1465">
        <f>ОТЧЁТ!AD199</f>
        <v>1958.97901952854</v>
      </c>
      <c r="Y128" s="1465">
        <f>ОТЧЁТ!AE199</f>
        <v>2084.3536767783667</v>
      </c>
      <c r="Z128" s="1465">
        <f>ОТЧЁТ!AF199</f>
        <v>2255.270678274193</v>
      </c>
      <c r="AA128" s="1465">
        <f>ОТЧЁТ!AG199</f>
        <v>2446.9686859274993</v>
      </c>
      <c r="AB128" s="1465">
        <f>ОТЧЁТ!AH199</f>
        <v>2574.2110575957295</v>
      </c>
      <c r="AC128" s="1465">
        <f>ОТЧЁТ!AI199</f>
        <v>2370.848384045667</v>
      </c>
      <c r="AD128" s="1465">
        <f>ОТЧЁТ!AJ199</f>
        <v>2477.5365613277218</v>
      </c>
      <c r="AE128" s="1465">
        <f>ОТЧЁТ!AK199</f>
        <v>2584.0706334648135</v>
      </c>
      <c r="AF128" s="1465">
        <f>ОТЧЁТ!AL199</f>
        <v>2678.541712402734</v>
      </c>
      <c r="AG128" s="1465">
        <f>ОТЧЁТ!AM199</f>
        <v>2726.3631774238834</v>
      </c>
      <c r="AH128" s="1465">
        <f>ОТЧЁТ!AN199</f>
        <v>2746.5001169353304</v>
      </c>
      <c r="AI128" s="1465">
        <f>ОТЧЁТ!AO199</f>
        <v>2683.3306142458177</v>
      </c>
      <c r="AJ128" s="1465">
        <f>ОТЧЁТ!AP199</f>
        <v>2688.697275474309</v>
      </c>
      <c r="AK128" s="1465">
        <f>ОТЧЁТ!AQ199</f>
        <v>2737.093826432847</v>
      </c>
      <c r="AL128" s="1465">
        <f>ОТЧЁТ!AR199</f>
        <v>2813.7324535729667</v>
      </c>
      <c r="AM128" s="1460"/>
      <c r="AN128" s="1460"/>
      <c r="AO128" s="1460"/>
      <c r="AP128" s="1460"/>
      <c r="AQ128" s="1460"/>
      <c r="AR128" s="1460"/>
      <c r="AS128" s="1460"/>
      <c r="AT128" s="1460"/>
      <c r="AU128" s="1460"/>
      <c r="AV128" s="1460"/>
      <c r="AW128" s="1460"/>
      <c r="AX128" s="1460"/>
      <c r="AY128" s="1460"/>
      <c r="AZ128" s="1460"/>
      <c r="BA128" s="1460"/>
      <c r="BB128" s="1460"/>
      <c r="BC128" s="1460"/>
      <c r="BD128" s="1462">
        <f t="shared" ref="BD128:BD166" si="41">G128</f>
        <v>0</v>
      </c>
      <c r="BH128" s="1420"/>
      <c r="BI128" s="1421"/>
      <c r="BJ128" s="1421"/>
      <c r="BK128" s="1421"/>
      <c r="BL128" s="1421"/>
      <c r="BM128" s="1421"/>
      <c r="BN128" s="1421"/>
      <c r="BO128" s="1420"/>
      <c r="BP128" s="1421"/>
      <c r="BQ128" s="1421"/>
      <c r="BR128" s="1421"/>
      <c r="BS128" s="1421"/>
    </row>
    <row r="129" ht="17.5" customHeight="1" spans="1:71" x14ac:dyDescent="0.25">
      <c r="A129" s="31" t="s">
        <v>1213</v>
      </c>
      <c r="B129" s="187"/>
      <c r="C129" s="187"/>
      <c r="D129" s="187"/>
      <c r="E129" s="31"/>
      <c r="F129" s="31"/>
      <c r="G129" s="1481" t="s">
        <v>776</v>
      </c>
      <c r="H129" s="1443">
        <v>31</v>
      </c>
      <c r="I129" s="1482" t="s">
        <v>1214</v>
      </c>
      <c r="J129" s="1483" t="s">
        <v>1215</v>
      </c>
      <c r="K129" s="1483"/>
      <c r="L129" s="1483"/>
      <c r="M129" s="1482"/>
      <c r="N129" s="1484"/>
      <c r="O129" s="1485">
        <f>1</f>
        <v>1</v>
      </c>
      <c r="P129" s="1468">
        <f>ОТЧЁТ!V152</f>
        <v>0.964</v>
      </c>
      <c r="Q129" s="1468">
        <f>ОТЧЁТ!W152</f>
        <v>0.977496</v>
      </c>
      <c r="R129" s="1468">
        <f>ОТЧЁТ!X152</f>
        <v>0.925688712</v>
      </c>
      <c r="S129" s="1468">
        <f>ОТЧЁТ!Y152</f>
        <v>0.9849327895680001</v>
      </c>
      <c r="T129" s="1468">
        <f>ОТЧЁТ!Z152</f>
        <v>1.0834260685248003</v>
      </c>
      <c r="U129" s="1468">
        <f>ОТЧЁТ!AA152</f>
        <v>1.138680798019565</v>
      </c>
      <c r="V129" s="1468">
        <f>ОТЧЁТ!AB152</f>
        <v>1.1921987955264846</v>
      </c>
      <c r="W129" s="1468">
        <f>ОТЧЁТ!AC152</f>
        <v>1.279229307599918</v>
      </c>
      <c r="X129" s="1468">
        <f>ОТЧЁТ!AD152</f>
        <v>1.3713338177471122</v>
      </c>
      <c r="Y129" s="1468">
        <f>ОТЧЁТ!AE152</f>
        <v>1.4590991820829273</v>
      </c>
      <c r="Z129" s="1468">
        <f>ОТЧЁТ!AF152</f>
        <v>1.5787453150137274</v>
      </c>
      <c r="AA129" s="1468">
        <f>ОТЧЁТ!AG152</f>
        <v>1.7129386667898943</v>
      </c>
      <c r="AB129" s="1468">
        <f>ОТЧЁТ!AH152</f>
        <v>1.8020114774629687</v>
      </c>
      <c r="AC129" s="1468">
        <f>ОТЧЁТ!AI152</f>
        <v>1.6596525707433942</v>
      </c>
      <c r="AD129" s="1468">
        <f>ОТЧЁТ!AJ152</f>
        <v>1.7343369364268468</v>
      </c>
      <c r="AE129" s="1468">
        <f>ОТЧЁТ!AK152</f>
        <v>1.808913424693201</v>
      </c>
      <c r="AF129" s="1468">
        <f>ОТЧЁТ!AL152</f>
        <v>1.8750455190419226</v>
      </c>
      <c r="AG129" s="1468">
        <f>ОТЧЁТ!AM152</f>
        <v>1.9085217286102596</v>
      </c>
      <c r="AH129" s="1468">
        <f>ОТЧЁТ!AN152</f>
        <v>1.9226180848563927</v>
      </c>
      <c r="AI129" s="1468">
        <f>ОТЧЁТ!AO152</f>
        <v>1.8783978689046956</v>
      </c>
      <c r="AJ129" s="1468">
        <f>ОТЧЁТ!AP152</f>
        <v>1.882154664642505</v>
      </c>
      <c r="AK129" s="1468">
        <f>ОТЧЁТ!AQ152</f>
        <v>1.91603344860607</v>
      </c>
      <c r="AL129" s="1468">
        <f>ОТЧЁТ!AR152</f>
        <v>1.96968238516704</v>
      </c>
      <c r="AM129" s="1468">
        <f>AM127/$O$128</f>
        <v>2.036464169559801</v>
      </c>
      <c r="AN129" s="1468">
        <f t="shared" ref="AN129:BC129" si="42">AN127/$O$128</f>
        <v>2.087624775401549</v>
      </c>
      <c r="AO129" s="1468">
        <f t="shared" si="42"/>
        <v>2.178091665845489</v>
      </c>
      <c r="AP129" s="1468">
        <f t="shared" si="42"/>
        <v>2.2500009512133055</v>
      </c>
      <c r="AQ129" s="1468">
        <f t="shared" si="42"/>
        <v>2.3205957758083766</v>
      </c>
      <c r="AR129" s="1468">
        <f t="shared" si="42"/>
        <v>2.3916750188928955</v>
      </c>
      <c r="AS129" s="1468">
        <f t="shared" si="42"/>
        <v>2.4644017832794307</v>
      </c>
      <c r="AT129" s="1468">
        <f t="shared" si="42"/>
        <v>2.539552554767217</v>
      </c>
      <c r="AU129" s="1468">
        <f t="shared" si="42"/>
        <v>2.6176699223460345</v>
      </c>
      <c r="AV129" s="1468">
        <f t="shared" si="42"/>
        <v>2.699156275757811</v>
      </c>
      <c r="AW129" s="1468">
        <f t="shared" si="42"/>
        <v>2.7843313683147004</v>
      </c>
      <c r="AX129" s="1468">
        <f t="shared" si="42"/>
        <v>2.8734677511818374</v>
      </c>
      <c r="AY129" s="1468">
        <f t="shared" si="42"/>
        <v>2.966812653656985</v>
      </c>
      <c r="AZ129" s="1468">
        <f t="shared" si="42"/>
        <v>3.0646015609049453</v>
      </c>
      <c r="BA129" s="1468">
        <f t="shared" si="42"/>
        <v>3.167066706781321</v>
      </c>
      <c r="BB129" s="1468">
        <f t="shared" si="42"/>
        <v>3.274442454143057</v>
      </c>
      <c r="BC129" s="1468">
        <f t="shared" si="42"/>
        <v>3.3869687723405733</v>
      </c>
      <c r="BD129" s="1462" t="str">
        <f t="shared" si="41"/>
        <v>Pw</v>
      </c>
      <c r="BH129" s="1420" t="s">
        <v>1216</v>
      </c>
      <c r="BI129" s="1421"/>
      <c r="BJ129" s="1421"/>
      <c r="BK129" s="1421"/>
      <c r="BL129" s="1421"/>
      <c r="BM129" s="1421"/>
      <c r="BN129" s="1421"/>
      <c r="BO129" s="1420" t="s">
        <v>1217</v>
      </c>
      <c r="BP129" s="1421"/>
      <c r="BQ129" s="1421"/>
      <c r="BR129" s="1421"/>
      <c r="BS129" s="1421"/>
    </row>
    <row r="130" ht="17.5" customHeight="1" spans="1:70" x14ac:dyDescent="0.25">
      <c r="A130" s="31" t="s">
        <v>1218</v>
      </c>
      <c r="B130" s="187"/>
      <c r="C130" s="187"/>
      <c r="D130" s="187"/>
      <c r="E130" s="31"/>
      <c r="F130" s="31"/>
      <c r="G130" s="1481" t="s">
        <v>614</v>
      </c>
      <c r="H130" s="1443">
        <v>32</v>
      </c>
      <c r="I130" s="1482" t="s">
        <v>1219</v>
      </c>
      <c r="J130" s="1483" t="s">
        <v>199</v>
      </c>
      <c r="K130" s="1483"/>
      <c r="L130" s="1483"/>
      <c r="M130" s="1482"/>
      <c r="N130" s="1484"/>
      <c r="O130" s="1485">
        <v>1</v>
      </c>
      <c r="P130" s="1468">
        <f>ОТЧЁТ!V179</f>
        <v>1.458015926869807</v>
      </c>
      <c r="Q130" s="1468">
        <f>ОТЧЁТ!W179</f>
        <v>1.6775696170093486</v>
      </c>
      <c r="R130" s="1468">
        <f>ОТЧЁТ!X179</f>
        <v>1.988574685283935</v>
      </c>
      <c r="S130" s="1468">
        <f>ОТЧЁТ!Y179</f>
        <v>3.4280333525379545</v>
      </c>
      <c r="T130" s="1468">
        <f>ОТЧЁТ!Z179</f>
        <v>4.720334553021764</v>
      </c>
      <c r="U130" s="1468">
        <f>ОТЧЁТ!AA179</f>
        <v>5.498230296745924</v>
      </c>
      <c r="V130" s="1468">
        <f>ОТЧЁТ!AB179</f>
        <v>6.352729528641842</v>
      </c>
      <c r="W130" s="1468">
        <f>ОТЧЁТ!AC179</f>
        <v>7.227860274382953</v>
      </c>
      <c r="X130" s="1468">
        <f>ОТЧЁТ!AD179</f>
        <v>8.69186996402742</v>
      </c>
      <c r="Y130" s="1468">
        <f>ОТЧЁТ!AE179</f>
        <v>10.36760974912887</v>
      </c>
      <c r="Z130" s="1468">
        <f>ОТЧЁТ!AF179</f>
        <v>11.935242035159135</v>
      </c>
      <c r="AA130" s="1468">
        <f>ОТЧЁТ!AG179</f>
        <v>13.587224630705832</v>
      </c>
      <c r="AB130" s="1468">
        <f>ОТЧЁТ!AH179</f>
        <v>16.03475716499792</v>
      </c>
      <c r="AC130" s="1468">
        <f>ОТЧЁТ!AI179</f>
        <v>16.368494611949213</v>
      </c>
      <c r="AD130" s="1468">
        <f>ОТЧЁТ!AJ179</f>
        <v>18.69136533556666</v>
      </c>
      <c r="AE130" s="1468">
        <f>ОТЧЁТ!AK179</f>
        <v>23.32851881806769</v>
      </c>
      <c r="AF130" s="1468">
        <f>ОТЧЁТ!AL179</f>
        <v>25.448132013167307</v>
      </c>
      <c r="AG130" s="1468">
        <f>ОТЧЁТ!AM179</f>
        <v>26.82470761987901</v>
      </c>
      <c r="AH130" s="1468">
        <f>ОТЧЁТ!AN179</f>
        <v>28.78517263207585</v>
      </c>
      <c r="AI130" s="1468">
        <f>ОТЧЁТ!AO179</f>
        <v>30.966851255246702</v>
      </c>
      <c r="AJ130" s="1468">
        <f>ОТЧЁТ!AP179</f>
        <v>31.991031785021747</v>
      </c>
      <c r="AK130" s="1468">
        <f>ОТЧЁТ!AQ179</f>
        <v>33.649317794864295</v>
      </c>
      <c r="AL130" s="1468">
        <f>ОТЧЁТ!AR179</f>
        <v>36.91744034444185</v>
      </c>
      <c r="AM130" s="1369">
        <f>AM125/AM127</f>
        <v>36.46764777270234</v>
      </c>
      <c r="AN130" s="1369">
        <f t="shared" ref="AN130:BC130" si="43">AN125/AN127</f>
        <v>37.99106022803509</v>
      </c>
      <c r="AO130" s="1369">
        <f t="shared" si="43"/>
        <v>41.245650091691715</v>
      </c>
      <c r="AP130" s="1369">
        <f t="shared" si="43"/>
        <v>43.95725606721825</v>
      </c>
      <c r="AQ130" s="1369">
        <f t="shared" si="43"/>
        <v>46.83387043601107</v>
      </c>
      <c r="AR130" s="1369">
        <f t="shared" si="43"/>
        <v>49.88470596403679</v>
      </c>
      <c r="AS130" s="1369">
        <f t="shared" si="43"/>
        <v>53.11928908381671</v>
      </c>
      <c r="AT130" s="1369">
        <f t="shared" si="43"/>
        <v>56.547534530807</v>
      </c>
      <c r="AU130" s="1369">
        <f t="shared" si="43"/>
        <v>60.179799331518936</v>
      </c>
      <c r="AV130" s="1369">
        <f t="shared" si="43"/>
        <v>64.02692557712955</v>
      </c>
      <c r="AW130" s="1369">
        <f t="shared" si="43"/>
        <v>68.10027728731072</v>
      </c>
      <c r="AX130" s="1369">
        <f t="shared" si="43"/>
        <v>72.41177448191641</v>
      </c>
      <c r="AY130" s="1369">
        <f t="shared" si="43"/>
        <v>76.97392634247012</v>
      </c>
      <c r="AZ130" s="1369">
        <f t="shared" si="43"/>
        <v>81.7998646206658</v>
      </c>
      <c r="BA130" s="1369">
        <f t="shared" si="43"/>
        <v>86.9033780188935</v>
      </c>
      <c r="BB130" s="1369">
        <f t="shared" si="43"/>
        <v>92.29894800939647</v>
      </c>
      <c r="BC130" s="1369">
        <f t="shared" si="43"/>
        <v>98.00178640531024</v>
      </c>
      <c r="BD130" s="1462" t="str">
        <f t="shared" si="41"/>
        <v>Dw</v>
      </c>
      <c r="BH130" s="1420" t="s">
        <v>1083</v>
      </c>
      <c r="BI130" s="1421"/>
      <c r="BJ130" s="1421"/>
      <c r="BL130" s="1421"/>
      <c r="BM130" s="1421"/>
      <c r="BN130" s="1421"/>
      <c r="BO130" s="1420" t="s">
        <v>1220</v>
      </c>
      <c r="BP130" s="1421"/>
      <c r="BQ130" s="1420"/>
      <c r="BR130" s="1421"/>
    </row>
    <row r="131" ht="17.5" customHeight="1" spans="1:71" x14ac:dyDescent="0.25">
      <c r="A131" s="31" t="s">
        <v>1221</v>
      </c>
      <c r="B131" s="187"/>
      <c r="C131" s="187"/>
      <c r="D131" s="187"/>
      <c r="E131" s="31"/>
      <c r="F131" s="31"/>
      <c r="G131" s="1481" t="s">
        <v>556</v>
      </c>
      <c r="H131" s="1443">
        <v>33</v>
      </c>
      <c r="I131" s="1482" t="s">
        <v>1222</v>
      </c>
      <c r="J131" s="1483"/>
      <c r="K131" s="1483"/>
      <c r="L131" s="1483"/>
      <c r="M131" s="1482"/>
      <c r="N131" s="1484"/>
      <c r="O131" s="1485">
        <f>НАСТРОЙКА!P29</f>
        <v>2876.5161</v>
      </c>
      <c r="P131" s="1465">
        <f>НАСТРОЙКА!Q29</f>
        <v>2795.9736491999997</v>
      </c>
      <c r="Q131" s="1465">
        <f>НАСТРОЙКА!R29</f>
        <v>2835.1172802888</v>
      </c>
      <c r="R131" s="1465">
        <f>НАСТРОЙКА!S29</f>
        <v>2690.526298994071</v>
      </c>
      <c r="S131" s="1465">
        <f>НАСТРОЙКА!T29</f>
        <v>2846.5768243357275</v>
      </c>
      <c r="T131" s="1465">
        <f>НАСТРОЙКА!U29</f>
        <v>3114.155045823286</v>
      </c>
      <c r="U131" s="1465">
        <f>НАСТРОЙКА!V29</f>
        <v>3266.7486430686267</v>
      </c>
      <c r="V131" s="1465">
        <f>НАСТРОЙКА!W29</f>
        <v>3410.4855833636466</v>
      </c>
      <c r="W131" s="1465">
        <f>НАСТРОЙКА!X29</f>
        <v>3669.6824876992837</v>
      </c>
      <c r="X131" s="1465">
        <f>НАСТРОЙКА!Y29</f>
        <v>3963.2570867152263</v>
      </c>
      <c r="Y131" s="1465">
        <f>НАСТРОЙКА!Z29</f>
        <v>4189.162740657994</v>
      </c>
      <c r="Z131" s="1465">
        <f>НАСТРОЙКА!AA29</f>
        <v>4561.998224576555</v>
      </c>
      <c r="AA131" s="1465">
        <f>НАСТРОЙКА!AB29</f>
        <v>4963.4540683392925</v>
      </c>
      <c r="AB131" s="1465">
        <f>НАСТРОЙКА!AC29</f>
        <v>5211.626771756257</v>
      </c>
      <c r="AC131" s="1465">
        <f>НАСТРОЙКА!AD29</f>
        <v>4825.966390646295</v>
      </c>
      <c r="AD131" s="1465">
        <f>НАСТРОЙКА!AE29</f>
        <v>5067.26471017861</v>
      </c>
      <c r="AE131" s="1465">
        <f>НАСТРОЙКА!AF29</f>
        <v>5285.157092716289</v>
      </c>
      <c r="AF131" s="1465">
        <f>НАСТРОЙКА!AG29</f>
        <v>5491.278219332225</v>
      </c>
      <c r="AG131" s="1465">
        <f>НАСТРОЙКА!AH29</f>
        <v>5606.595061938201</v>
      </c>
      <c r="AH131" s="1465">
        <f>НАСТРОЙКА!AI29</f>
        <v>5651.447822433707</v>
      </c>
      <c r="AI131" s="1465">
        <f>НАСТРОЙКА!AJ29</f>
        <v>5577.979000742069</v>
      </c>
      <c r="AJ131" s="1465">
        <f>НАСТРОЙКА!AK29</f>
        <v>5644.914748750974</v>
      </c>
      <c r="AK131" s="1465">
        <f>НАСТРОЙКА!AL29</f>
        <v>5786.037617469748</v>
      </c>
      <c r="AL131" s="1465">
        <f>НАСТРОЙКА!AM29</f>
        <v>5930.688557906491</v>
      </c>
      <c r="AM131" s="1465">
        <f>AM127/(1-AM95)</f>
        <v>6180.815278584781</v>
      </c>
      <c r="AN131" s="1465">
        <f t="shared" ref="AN131:BC131" si="44">AN127/(1-AN95)</f>
        <v>6349.5818819936785</v>
      </c>
      <c r="AO131" s="1465">
        <f t="shared" si="44"/>
        <v>6638.875167053049</v>
      </c>
      <c r="AP131" s="1465">
        <f t="shared" si="44"/>
        <v>6872.720647812736</v>
      </c>
      <c r="AQ131" s="1465">
        <f t="shared" si="44"/>
        <v>7103.544635535779</v>
      </c>
      <c r="AR131" s="1465">
        <f t="shared" si="44"/>
        <v>7336.846014942906</v>
      </c>
      <c r="AS131" s="1465">
        <f t="shared" si="44"/>
        <v>7576.216463157562</v>
      </c>
      <c r="AT131" s="1465">
        <f t="shared" si="44"/>
        <v>7824.087516675336</v>
      </c>
      <c r="AU131" s="1465">
        <f t="shared" si="44"/>
        <v>8082.189565372119</v>
      </c>
      <c r="AV131" s="1465">
        <f t="shared" si="44"/>
        <v>8351.83418156693</v>
      </c>
      <c r="AW131" s="1465">
        <f t="shared" si="44"/>
        <v>8634.08807403544</v>
      </c>
      <c r="AX131" s="1465">
        <f t="shared" si="44"/>
        <v>8929.880543725703</v>
      </c>
      <c r="AY131" s="1465">
        <f t="shared" si="44"/>
        <v>9240.070131498145</v>
      </c>
      <c r="AZ131" s="1465">
        <f t="shared" si="44"/>
        <v>9565.48622502092</v>
      </c>
      <c r="BA131" s="1465">
        <f t="shared" si="44"/>
        <v>9906.955306124188</v>
      </c>
      <c r="BB131" s="1465">
        <f t="shared" si="44"/>
        <v>10265.317786090949</v>
      </c>
      <c r="BC131" s="1465">
        <f t="shared" si="44"/>
        <v>10641.43908469102</v>
      </c>
      <c r="BD131" s="1462" t="str">
        <f t="shared" si="41"/>
        <v>XS</v>
      </c>
      <c r="BH131" s="1420" t="s">
        <v>1223</v>
      </c>
      <c r="BI131" s="1421"/>
      <c r="BJ131" s="1421"/>
      <c r="BL131" s="1421"/>
      <c r="BM131" s="1421"/>
      <c r="BN131" s="1421"/>
      <c r="BO131" s="1420" t="s">
        <v>1224</v>
      </c>
      <c r="BP131" s="1421"/>
      <c r="BQ131" s="1421"/>
      <c r="BR131" s="1421"/>
      <c r="BS131" s="1421"/>
    </row>
    <row r="132" ht="17.5" customHeight="1" spans="1:66" x14ac:dyDescent="0.25">
      <c r="A132" s="31" t="s">
        <v>1225</v>
      </c>
      <c r="B132" s="187"/>
      <c r="C132" s="187"/>
      <c r="D132" s="187"/>
      <c r="E132" s="31"/>
      <c r="F132" s="31"/>
      <c r="G132" s="1481" t="s">
        <v>893</v>
      </c>
      <c r="H132" s="1443">
        <v>34</v>
      </c>
      <c r="I132" s="1482" t="s">
        <v>1226</v>
      </c>
      <c r="J132" s="1483"/>
      <c r="K132" s="1483"/>
      <c r="L132" s="1483"/>
      <c r="M132" s="1483"/>
      <c r="N132" s="1484"/>
      <c r="O132" s="1485">
        <v>1</v>
      </c>
      <c r="P132" s="1468">
        <f>ОТЧЁТ!V153</f>
        <v>0.972</v>
      </c>
      <c r="Q132" s="1468">
        <f>ОТЧЁТ!W153</f>
        <v>0.985608</v>
      </c>
      <c r="R132" s="1468">
        <f>ОТЧЁТ!X153</f>
        <v>0.935341992</v>
      </c>
      <c r="S132" s="1468">
        <f>ОТЧЁТ!Y153</f>
        <v>0.9895918275360001</v>
      </c>
      <c r="T132" s="1468">
        <f>ОТЧЁТ!Z153</f>
        <v>1.0826134593243841</v>
      </c>
      <c r="U132" s="1468">
        <f>ОТЧЁТ!AA153</f>
        <v>1.1356615188312789</v>
      </c>
      <c r="V132" s="1468">
        <f>ОТЧЁТ!AB153</f>
        <v>1.1856306256598552</v>
      </c>
      <c r="W132" s="1468">
        <f>ОТЧЁТ!AC153</f>
        <v>1.2757385532100043</v>
      </c>
      <c r="X132" s="1468">
        <f>ОТЧЁТ!AD153</f>
        <v>1.3777976374668046</v>
      </c>
      <c r="Y132" s="1468">
        <f>ОТЧЁТ!AE153</f>
        <v>1.4563321028024123</v>
      </c>
      <c r="Z132" s="1468">
        <f>ОТЧЁТ!AF153</f>
        <v>1.585945659951827</v>
      </c>
      <c r="AA132" s="1468">
        <f>ОТЧЁТ!AG153</f>
        <v>1.7255088780275878</v>
      </c>
      <c r="AB132" s="1468">
        <f>ОТЧЁТ!AH153</f>
        <v>1.8117843219289673</v>
      </c>
      <c r="AC132" s="1468">
        <f>ОТЧЁТ!AI153</f>
        <v>1.6777122821062238</v>
      </c>
      <c r="AD132" s="1468">
        <f>ОТЧЁТ!AJ153</f>
        <v>1.761597896211535</v>
      </c>
      <c r="AE132" s="1468">
        <f>ОТЧЁТ!AK153</f>
        <v>1.837346605748631</v>
      </c>
      <c r="AF132" s="1468">
        <f>ОТЧЁТ!AL153</f>
        <v>1.9090031233728277</v>
      </c>
      <c r="AG132" s="1468">
        <f>ОТЧЁТ!AM153</f>
        <v>1.949092188963657</v>
      </c>
      <c r="AH132" s="1468">
        <f>ОТЧЁТ!AN153</f>
        <v>1.9646849264753663</v>
      </c>
      <c r="AI132" s="1468">
        <f>ОТЧЁТ!AO153</f>
        <v>1.9391440224311864</v>
      </c>
      <c r="AJ132" s="1468">
        <f>ОТЧЁТ!AP153</f>
        <v>1.9624137507003607</v>
      </c>
      <c r="AK132" s="1468">
        <f>ОТЧЁТ!AQ153</f>
        <v>2.0114740944678697</v>
      </c>
      <c r="AL132" s="1468">
        <f>ОТЧЁТ!AR153</f>
        <v>2.0617609468295663</v>
      </c>
      <c r="AM132" s="1369">
        <f>AM131/$O$131</f>
        <v>2.1487156906873497</v>
      </c>
      <c r="AN132" s="1369">
        <f t="shared" ref="AN132:BC132" si="45">AN131/$O$131</f>
        <v>2.2073861787158706</v>
      </c>
      <c r="AO132" s="1369">
        <f t="shared" si="45"/>
        <v>2.3079568951667087</v>
      </c>
      <c r="AP132" s="1369">
        <f t="shared" si="45"/>
        <v>2.3892515838213932</v>
      </c>
      <c r="AQ132" s="1369">
        <f t="shared" si="45"/>
        <v>2.469495872293494</v>
      </c>
      <c r="AR132" s="1369">
        <f t="shared" si="45"/>
        <v>2.550601408051534</v>
      </c>
      <c r="AS132" s="1369">
        <f t="shared" si="45"/>
        <v>2.633816811648495</v>
      </c>
      <c r="AT132" s="1369">
        <f t="shared" si="45"/>
        <v>2.719987389145966</v>
      </c>
      <c r="AU132" s="1369">
        <f t="shared" si="45"/>
        <v>2.8097146980585714</v>
      </c>
      <c r="AV132" s="1369">
        <f t="shared" si="45"/>
        <v>2.9034546970089723</v>
      </c>
      <c r="AW132" s="1369">
        <f t="shared" si="45"/>
        <v>3.0015782195814724</v>
      </c>
      <c r="AX132" s="1369">
        <f t="shared" si="45"/>
        <v>3.1044083305237553</v>
      </c>
      <c r="AY132" s="1369">
        <f t="shared" si="45"/>
        <v>3.21224349535125</v>
      </c>
      <c r="AZ132" s="1369">
        <f t="shared" si="45"/>
        <v>3.3253720446831223</v>
      </c>
      <c r="BA132" s="1369">
        <f t="shared" si="45"/>
        <v>3.444081298944994</v>
      </c>
      <c r="BB132" s="1369">
        <f t="shared" si="45"/>
        <v>3.5686634210359363</v>
      </c>
      <c r="BC132" s="1369">
        <f t="shared" si="45"/>
        <v>3.699419267874433</v>
      </c>
      <c r="BD132" s="1462" t="str">
        <f t="shared" si="41"/>
        <v>Px</v>
      </c>
      <c r="BH132" s="1420" t="s">
        <v>1075</v>
      </c>
      <c r="BI132" s="1421"/>
      <c r="BJ132" s="1421"/>
      <c r="BL132" s="1421"/>
      <c r="BM132" s="1421"/>
      <c r="BN132" s="1420"/>
    </row>
    <row r="133" ht="17.5" customHeight="1" hidden="1" spans="1:70" x14ac:dyDescent="0.25">
      <c r="A133" s="31"/>
      <c r="B133" s="187"/>
      <c r="C133" s="187"/>
      <c r="D133" s="187"/>
      <c r="E133" s="31"/>
      <c r="F133" s="31"/>
      <c r="G133" s="1481"/>
      <c r="H133" s="1443">
        <v>35</v>
      </c>
      <c r="I133" s="1482" t="s">
        <v>1204</v>
      </c>
      <c r="J133" s="1483"/>
      <c r="K133" s="1483"/>
      <c r="L133" s="1483"/>
      <c r="M133" s="1483"/>
      <c r="N133" s="1484"/>
      <c r="O133" s="1485"/>
      <c r="P133" s="1465"/>
      <c r="Q133" s="1465"/>
      <c r="R133" s="1465"/>
      <c r="S133" s="1465"/>
      <c r="T133" s="1465"/>
      <c r="U133" s="1465"/>
      <c r="V133" s="1465"/>
      <c r="W133" s="1465"/>
      <c r="X133" s="1465"/>
      <c r="Y133" s="1465"/>
      <c r="Z133" s="1465"/>
      <c r="AA133" s="1465"/>
      <c r="AB133" s="1465"/>
      <c r="AC133" s="1465"/>
      <c r="AD133" s="1465"/>
      <c r="AE133" s="1465"/>
      <c r="AF133" s="1465"/>
      <c r="AG133" s="1465"/>
      <c r="AH133" s="1465"/>
      <c r="AI133" s="1465"/>
      <c r="AJ133" s="1465"/>
      <c r="AK133" s="1465"/>
      <c r="AL133" s="1465"/>
      <c r="AM133" s="1465"/>
      <c r="AN133" s="1465"/>
      <c r="AO133" s="1465"/>
      <c r="AP133" s="1465"/>
      <c r="AQ133" s="1465"/>
      <c r="AR133" s="1465"/>
      <c r="AS133" s="1465"/>
      <c r="AT133" s="1465"/>
      <c r="AU133" s="1465"/>
      <c r="AV133" s="1465"/>
      <c r="AW133" s="1465"/>
      <c r="AX133" s="1465"/>
      <c r="AY133" s="1465"/>
      <c r="AZ133" s="1465"/>
      <c r="BA133" s="1465"/>
      <c r="BB133" s="1465"/>
      <c r="BC133" s="1465"/>
      <c r="BD133" s="1462">
        <f t="shared" si="41"/>
        <v>0</v>
      </c>
      <c r="BH133" s="1420"/>
      <c r="BI133" s="1421"/>
      <c r="BJ133" s="1421"/>
      <c r="BL133" s="1421"/>
      <c r="BM133" s="1421"/>
      <c r="BN133" s="1420"/>
      <c r="BO133" s="1420"/>
      <c r="BP133" s="1421"/>
      <c r="BQ133" s="1420"/>
      <c r="BR133" s="1421"/>
    </row>
    <row r="134" ht="17.5" customHeight="1" hidden="1" spans="1:70" x14ac:dyDescent="0.25">
      <c r="A134" s="31"/>
      <c r="B134" s="187"/>
      <c r="C134" s="187"/>
      <c r="D134" s="187"/>
      <c r="E134" s="31"/>
      <c r="F134" s="31"/>
      <c r="G134" s="1481"/>
      <c r="H134" s="1443">
        <v>36</v>
      </c>
      <c r="I134" s="1482" t="s">
        <v>1204</v>
      </c>
      <c r="J134" s="1483"/>
      <c r="K134" s="1483"/>
      <c r="L134" s="1483"/>
      <c r="M134" s="1483"/>
      <c r="N134" s="1484"/>
      <c r="O134" s="1485"/>
      <c r="P134" s="1465"/>
      <c r="Q134" s="1465"/>
      <c r="R134" s="1465"/>
      <c r="S134" s="1465"/>
      <c r="T134" s="1465"/>
      <c r="U134" s="1465"/>
      <c r="V134" s="1465"/>
      <c r="W134" s="1465"/>
      <c r="X134" s="1465"/>
      <c r="Y134" s="1465"/>
      <c r="Z134" s="1465"/>
      <c r="AA134" s="1465"/>
      <c r="AB134" s="1465"/>
      <c r="AC134" s="1465"/>
      <c r="AD134" s="1465"/>
      <c r="AE134" s="1465"/>
      <c r="AF134" s="1465"/>
      <c r="AG134" s="1465"/>
      <c r="AH134" s="1465"/>
      <c r="AI134" s="1465"/>
      <c r="AJ134" s="1465"/>
      <c r="AK134" s="1465"/>
      <c r="AL134" s="1465"/>
      <c r="AM134" s="1465"/>
      <c r="AN134" s="1465"/>
      <c r="AO134" s="1465"/>
      <c r="AP134" s="1465"/>
      <c r="AQ134" s="1465"/>
      <c r="AR134" s="1465"/>
      <c r="AS134" s="1465"/>
      <c r="AT134" s="1465"/>
      <c r="AU134" s="1465"/>
      <c r="AV134" s="1465"/>
      <c r="AW134" s="1465"/>
      <c r="AX134" s="1465"/>
      <c r="AY134" s="1465"/>
      <c r="AZ134" s="1465"/>
      <c r="BA134" s="1465"/>
      <c r="BB134" s="1465"/>
      <c r="BC134" s="1465"/>
      <c r="BD134" s="1462">
        <f t="shared" si="41"/>
        <v>0</v>
      </c>
      <c r="BH134" s="1420"/>
      <c r="BI134" s="1421"/>
      <c r="BJ134" s="1421"/>
      <c r="BL134" s="1421"/>
      <c r="BM134" s="1421"/>
      <c r="BN134" s="1420"/>
      <c r="BO134" s="1420"/>
      <c r="BP134" s="1421"/>
      <c r="BQ134" s="1420"/>
      <c r="BR134" s="1421"/>
    </row>
    <row r="135" ht="17.5" customHeight="1" spans="1:70" x14ac:dyDescent="0.25">
      <c r="A135" s="31" t="s">
        <v>1227</v>
      </c>
      <c r="B135" s="187"/>
      <c r="C135" s="187"/>
      <c r="D135" s="187"/>
      <c r="E135" s="31"/>
      <c r="F135" s="31"/>
      <c r="G135" s="1481" t="s">
        <v>589</v>
      </c>
      <c r="H135" s="1443">
        <v>37</v>
      </c>
      <c r="I135" s="1482" t="s">
        <v>1228</v>
      </c>
      <c r="J135" s="1483"/>
      <c r="K135" s="1483"/>
      <c r="L135" s="1483"/>
      <c r="M135" s="1483"/>
      <c r="N135" s="1484"/>
      <c r="O135" s="1485">
        <f>НАСТРОЙКА!P14</f>
        <v>2767.6205</v>
      </c>
      <c r="P135" s="1460">
        <f>НАСТРОЙКА!Q14</f>
        <v>2690.127126</v>
      </c>
      <c r="Q135" s="1460">
        <f>НАСТРОЙКА!R14</f>
        <v>2727.788905764</v>
      </c>
      <c r="R135" s="1460">
        <f>НАСТРОЙКА!S14</f>
        <v>2588.671671570036</v>
      </c>
      <c r="S135" s="1460">
        <f>НАСТРОЙКА!T14</f>
        <v>2738.8146285210983</v>
      </c>
      <c r="T135" s="1460">
        <f>НАСТРОЙКА!U14</f>
        <v>2996.263203602082</v>
      </c>
      <c r="U135" s="1460">
        <f>НАСТРОЙКА!V14</f>
        <v>3143.0801005785834</v>
      </c>
      <c r="V135" s="1460">
        <f>НАСТРОЙКА!W14</f>
        <v>3281.3756250040415</v>
      </c>
      <c r="W135" s="1460">
        <f>НАСТРОЙКА!X14</f>
        <v>3530.7601725043487</v>
      </c>
      <c r="X135" s="1460">
        <f>НАСТРОЙКА!Y14</f>
        <v>3813.2209863046965</v>
      </c>
      <c r="Y135" s="1460">
        <f>НАСТРОЙКА!Z14</f>
        <v>4030.5745825240638</v>
      </c>
      <c r="Z135" s="1460">
        <f>НАСТРОЙКА!AA14</f>
        <v>4389.295720368706</v>
      </c>
      <c r="AA135" s="1460">
        <f>НАСТРОЙКА!AB14</f>
        <v>4775.553743761152</v>
      </c>
      <c r="AB135" s="1460">
        <f>НАСТРОЙКА!AC14</f>
        <v>5014.33143094921</v>
      </c>
      <c r="AC135" s="1460">
        <f>НАСТРОЙКА!AD14</f>
        <v>4643.270905058968</v>
      </c>
      <c r="AD135" s="1460">
        <f>НАСТРОЙКА!AE14</f>
        <v>4875.434450311916</v>
      </c>
      <c r="AE135" s="1460">
        <f>НАСТРОЙКА!AF14</f>
        <v>5085.078131675329</v>
      </c>
      <c r="AF135" s="1460">
        <f>НАСТРОЙКА!AG14</f>
        <v>5283.396178810667</v>
      </c>
      <c r="AG135" s="1460">
        <f>НАСТРОЙКА!AH14</f>
        <v>5394.347498565691</v>
      </c>
      <c r="AH135" s="1460">
        <f>НАСТРОЙКА!AI14</f>
        <v>5437.502278554217</v>
      </c>
      <c r="AI135" s="1460">
        <f>НАСТРОЙКА!AJ14</f>
        <v>5366.814748933011</v>
      </c>
      <c r="AJ135" s="1460">
        <f>НАСТРОЙКА!AK14</f>
        <v>5431.2165259202075</v>
      </c>
      <c r="AK135" s="1460">
        <f>НАСТРОЙКА!AL14</f>
        <v>5566.996939068213</v>
      </c>
      <c r="AL135" s="1460">
        <f>НАСТРОЙКА!AM14</f>
        <v>5706.1718625449175</v>
      </c>
      <c r="AM135" s="1460">
        <f>$O$135*AM132</f>
        <v>5946.829594217968</v>
      </c>
      <c r="AN135" s="1460">
        <f t="shared" ref="AN135:BC135" si="46">$O$135*AN132</f>
        <v>6109.207239630708</v>
      </c>
      <c r="AO135" s="1460">
        <f t="shared" si="46"/>
        <v>6387.548816179734</v>
      </c>
      <c r="AP135" s="1460">
        <f t="shared" si="46"/>
        <v>6612.541663041557</v>
      </c>
      <c r="AQ135" s="1460">
        <f t="shared" si="46"/>
        <v>6834.6274008248565</v>
      </c>
      <c r="AR135" s="1460">
        <f t="shared" si="46"/>
        <v>7059.09674425229</v>
      </c>
      <c r="AS135" s="1460">
        <f t="shared" si="46"/>
        <v>7289.405401163013</v>
      </c>
      <c r="AT135" s="1460">
        <f t="shared" si="46"/>
        <v>7527.8928579418525</v>
      </c>
      <c r="AU135" s="1460">
        <f t="shared" si="46"/>
        <v>7776.223997498212</v>
      </c>
      <c r="AV135" s="1460">
        <f t="shared" si="46"/>
        <v>8035.660740263321</v>
      </c>
      <c r="AW135" s="1460">
        <f t="shared" si="46"/>
        <v>8307.229412867184</v>
      </c>
      <c r="AX135" s="1460">
        <f t="shared" si="46"/>
        <v>8591.82413592832</v>
      </c>
      <c r="AY135" s="1460">
        <f t="shared" si="46"/>
        <v>8890.270948725774</v>
      </c>
      <c r="AZ135" s="1460">
        <f t="shared" si="46"/>
        <v>9203.367840991925</v>
      </c>
      <c r="BA135" s="1460">
        <f t="shared" si="46"/>
        <v>9531.910006626793</v>
      </c>
      <c r="BB135" s="1460">
        <f t="shared" si="46"/>
        <v>9876.706041659188</v>
      </c>
      <c r="BC135" s="1460">
        <f t="shared" si="46"/>
        <v>10238.588603864273</v>
      </c>
      <c r="BD135" s="1462" t="str">
        <f t="shared" si="41"/>
        <v>XOS</v>
      </c>
      <c r="BH135" s="1420" t="s">
        <v>1229</v>
      </c>
      <c r="BI135" s="1421"/>
      <c r="BJ135" s="1421"/>
      <c r="BN135" s="1420"/>
      <c r="BO135" s="1420"/>
      <c r="BP135" s="1421"/>
      <c r="BQ135" s="1420"/>
      <c r="BR135" s="1421"/>
    </row>
    <row r="136" ht="17.5" customHeight="1" spans="1:70" x14ac:dyDescent="0.25">
      <c r="A136" s="31" t="s">
        <v>1230</v>
      </c>
      <c r="B136" s="187"/>
      <c r="C136" s="187"/>
      <c r="D136" s="187"/>
      <c r="E136" s="31"/>
      <c r="F136" s="31"/>
      <c r="G136" s="1481" t="s">
        <v>544</v>
      </c>
      <c r="H136" s="1443">
        <v>38</v>
      </c>
      <c r="I136" s="1482" t="s">
        <v>1231</v>
      </c>
      <c r="J136" s="1483"/>
      <c r="K136" s="1483"/>
      <c r="L136" s="1483"/>
      <c r="M136" s="1483"/>
      <c r="N136" s="1484"/>
      <c r="O136" s="1485">
        <f>НАСТРОЙКА!P34</f>
        <v>1447.9951999999998</v>
      </c>
      <c r="P136" s="1460">
        <f>НАСТРОЙКА!Q34</f>
        <v>1418.8795016000001</v>
      </c>
      <c r="Q136" s="1460">
        <f>НАСТРОЙКА!R34</f>
        <v>1438.7438146224004</v>
      </c>
      <c r="R136" s="1460">
        <f>НАСТРОЙКА!S34</f>
        <v>1368.1606270079908</v>
      </c>
      <c r="S136" s="1460">
        <f>НАСТРОЙКА!T34</f>
        <v>1439.579749342538</v>
      </c>
      <c r="T136" s="1460">
        <f>НАСТРОЙКА!U34</f>
        <v>1566.4582633307773</v>
      </c>
      <c r="U136" s="1460">
        <f>НАСТРОЙКА!V34</f>
        <v>1640.1193246690002</v>
      </c>
      <c r="V136" s="1460">
        <f>НАСТРОЙКА!W34</f>
        <v>1707.4046869992378</v>
      </c>
      <c r="W136" s="1460">
        <f>НАСТРОЙКА!X34</f>
        <v>1842.2766859002736</v>
      </c>
      <c r="X136" s="1460">
        <f>НАСТРОЙКА!Y34</f>
        <v>2004.2780671866872</v>
      </c>
      <c r="Y136" s="1460">
        <f>НАСТРОЙКА!Z34</f>
        <v>2104.809063879628</v>
      </c>
      <c r="Z136" s="1460">
        <f>НАСТРОЙКА!AA34</f>
        <v>2306.727546302363</v>
      </c>
      <c r="AA136" s="1460">
        <f>НАСТРОЙКА!AB34</f>
        <v>2516.485382411794</v>
      </c>
      <c r="AB136" s="1460">
        <f>НАСТРОЙКА!AC34</f>
        <v>2637.4157141605283</v>
      </c>
      <c r="AC136" s="1460">
        <f>НАСТРОЙКА!AD34</f>
        <v>2455.1180066006277</v>
      </c>
      <c r="AD136" s="1460">
        <f>НАСТРОЙКА!AE34</f>
        <v>2589.728148850888</v>
      </c>
      <c r="AE136" s="1460">
        <f>НАСТРОЙКА!AF34</f>
        <v>2701.0864592514768</v>
      </c>
      <c r="AF136" s="1460">
        <f>НАСТРОЙКА!AG34</f>
        <v>2812.7365069294915</v>
      </c>
      <c r="AG136" s="1460">
        <f>НАСТРОЙКА!AH34</f>
        <v>2880.2318845143186</v>
      </c>
      <c r="AH136" s="1460">
        <f>НАСТРОЙКА!AI34</f>
        <v>2904.9477054983777</v>
      </c>
      <c r="AI136" s="1460">
        <f>НАСТРОЙКА!AJ34</f>
        <v>2894.648386496252</v>
      </c>
      <c r="AJ136" s="1460">
        <f>НАСТРОЙКА!AK34</f>
        <v>2956.2174732766653</v>
      </c>
      <c r="AK136" s="1460">
        <f>НАСТРОЙКА!AL34</f>
        <v>3048.9437910369015</v>
      </c>
      <c r="AL136" s="1460">
        <f>НАСТРОЙКА!AM34</f>
        <v>3116.956104333525</v>
      </c>
      <c r="AM136" s="1465">
        <f>AM95*AM131</f>
        <v>3271.683650267461</v>
      </c>
      <c r="AN136" s="1465">
        <f t="shared" ref="AN136:BC136" si="47">AN95*AN131</f>
        <v>3367.366258974759</v>
      </c>
      <c r="AO136" s="1465">
        <f t="shared" si="47"/>
        <v>3527.425700276951</v>
      </c>
      <c r="AP136" s="1465">
        <f t="shared" si="47"/>
        <v>3658.5472639846485</v>
      </c>
      <c r="AQ136" s="1465">
        <f t="shared" si="47"/>
        <v>3788.5250693417984</v>
      </c>
      <c r="AR136" s="1465">
        <f t="shared" si="47"/>
        <v>3920.288264446509</v>
      </c>
      <c r="AS136" s="1465">
        <f t="shared" si="47"/>
        <v>4055.767009745625</v>
      </c>
      <c r="AT136" s="1465">
        <f t="shared" si="47"/>
        <v>4196.283615541971</v>
      </c>
      <c r="AU136" s="1465">
        <f t="shared" si="47"/>
        <v>4342.793371999432</v>
      </c>
      <c r="AV136" s="1465">
        <f t="shared" si="47"/>
        <v>4496.033029280733</v>
      </c>
      <c r="AW136" s="1465">
        <f t="shared" si="47"/>
        <v>4656.612521872293</v>
      </c>
      <c r="AX136" s="1465">
        <f t="shared" si="47"/>
        <v>4825.071805686448</v>
      </c>
      <c r="AY136" s="1465">
        <f t="shared" si="47"/>
        <v>5001.91624936468</v>
      </c>
      <c r="AZ136" s="1465">
        <f t="shared" si="47"/>
        <v>5187.638845095583</v>
      </c>
      <c r="BA136" s="1465">
        <f t="shared" si="47"/>
        <v>5382.734323792898</v>
      </c>
      <c r="BB136" s="1465">
        <f t="shared" si="47"/>
        <v>5587.7083045003</v>
      </c>
      <c r="BC136" s="1465">
        <f t="shared" si="47"/>
        <v>5803.083405755167</v>
      </c>
      <c r="BD136" s="1462" t="str">
        <f t="shared" si="41"/>
        <v>ZS</v>
      </c>
      <c r="BH136" s="1420" t="s">
        <v>1232</v>
      </c>
      <c r="BI136" s="1421"/>
      <c r="BJ136" s="1421"/>
      <c r="BN136" s="1421"/>
      <c r="BO136" s="1420"/>
      <c r="BP136" s="1421"/>
      <c r="BQ136" s="1420"/>
      <c r="BR136" s="1421"/>
    </row>
    <row r="137" ht="17.5" customHeight="1" spans="1:70" x14ac:dyDescent="0.25">
      <c r="A137" s="31" t="s">
        <v>1233</v>
      </c>
      <c r="B137" s="187"/>
      <c r="C137" s="187"/>
      <c r="D137" s="187"/>
      <c r="E137" s="31"/>
      <c r="F137" s="31"/>
      <c r="G137" s="1481" t="s">
        <v>650</v>
      </c>
      <c r="H137" s="1443">
        <v>39</v>
      </c>
      <c r="I137" s="1482" t="s">
        <v>1234</v>
      </c>
      <c r="J137" s="1483"/>
      <c r="K137" s="1483"/>
      <c r="L137" s="1483"/>
      <c r="M137" s="1483"/>
      <c r="N137" s="1484"/>
      <c r="O137" s="1485">
        <v>1</v>
      </c>
      <c r="P137" s="1369">
        <f>НАСТРОЙКА!Q33</f>
        <v>1.3890656660960248</v>
      </c>
      <c r="Q137" s="1369">
        <f>НАСТРОЙКА!R33</f>
        <v>1.5288420201321875</v>
      </c>
      <c r="R137" s="1369">
        <f>НАСТРОЙКА!S33</f>
        <v>1.6012135978440234</v>
      </c>
      <c r="S137" s="1369">
        <f>НАСТРОЙКА!T33</f>
        <v>2.761451251183235</v>
      </c>
      <c r="T137" s="1369">
        <f>НАСТРОЙКА!U33</f>
        <v>3.8813756116757316</v>
      </c>
      <c r="U137" s="1369">
        <f>НАСТРОЙКА!V33</f>
        <v>4.924455543275788</v>
      </c>
      <c r="V137" s="1369">
        <f>НАСТРОЙКА!W33</f>
        <v>5.507600378283486</v>
      </c>
      <c r="W137" s="1369">
        <f>НАСТРОЙКА!X33</f>
        <v>6.325509783187269</v>
      </c>
      <c r="X137" s="1369">
        <f>НАСТРОЙКА!Y33</f>
        <v>7.300312186990133</v>
      </c>
      <c r="Y137" s="1369">
        <f>НАСТРОЙКА!Z33</f>
        <v>8.79079082161258</v>
      </c>
      <c r="Z137" s="1369">
        <f>НАСТРОЙКА!AA33</f>
        <v>10.077706332186347</v>
      </c>
      <c r="AA137" s="1369">
        <f>НАСТРОЙКА!AB33</f>
        <v>11.630372067549995</v>
      </c>
      <c r="AB137" s="1369">
        <f>НАСТРОЙКА!AC33</f>
        <v>13.808577618030881</v>
      </c>
      <c r="AC137" s="1369">
        <f>НАСТРОЙКА!AD33</f>
        <v>13.96475603527971</v>
      </c>
      <c r="AD137" s="1369">
        <f>НАСТРОЙКА!AE33</f>
        <v>16.223531809175668</v>
      </c>
      <c r="AE137" s="1369">
        <f>НАСТРОЙКА!AF33</f>
        <v>18.09503717757504</v>
      </c>
      <c r="AF137" s="1369">
        <f>НАСТРОЙКА!AG33</f>
        <v>19.23249446463563</v>
      </c>
      <c r="AG137" s="1369">
        <f>НАСТРОЙКА!AH33</f>
        <v>20.58724351980391</v>
      </c>
      <c r="AH137" s="1369">
        <f>НАСТРОЙКА!AI33</f>
        <v>22.05840052773225</v>
      </c>
      <c r="AI137" s="1369">
        <f>НАСТРОЙКА!AJ33</f>
        <v>24.641576618684894</v>
      </c>
      <c r="AJ137" s="1369">
        <f>НАСТРОЙКА!AK33</f>
        <v>25.837490201740536</v>
      </c>
      <c r="AK137" s="1369">
        <f>НАСТРОЙКА!AL33</f>
        <v>27.279512414925115</v>
      </c>
      <c r="AL137" s="1369">
        <f>НАСТРОЙКА!AM33</f>
        <v>29.75168622717218</v>
      </c>
      <c r="AM137" s="1369">
        <f>0.888*AM130-3.038</f>
        <v>29.345271222159678</v>
      </c>
      <c r="AN137" s="1369">
        <f t="shared" ref="AN137:BC137" si="48">0.888*AN130-3.038</f>
        <v>30.69806148249516</v>
      </c>
      <c r="AO137" s="1369">
        <f t="shared" si="48"/>
        <v>33.58813728142225</v>
      </c>
      <c r="AP137" s="1369">
        <f t="shared" si="48"/>
        <v>35.99604338768981</v>
      </c>
      <c r="AQ137" s="1369">
        <f t="shared" si="48"/>
        <v>38.550476947177835</v>
      </c>
      <c r="AR137" s="1369">
        <f t="shared" si="48"/>
        <v>41.25961889606467</v>
      </c>
      <c r="AS137" s="1369">
        <f t="shared" si="48"/>
        <v>44.13192870642924</v>
      </c>
      <c r="AT137" s="1369">
        <f t="shared" si="48"/>
        <v>47.17621066335662</v>
      </c>
      <c r="AU137" s="1369">
        <f t="shared" si="48"/>
        <v>50.401661806388816</v>
      </c>
      <c r="AV137" s="1369">
        <f t="shared" si="48"/>
        <v>53.81790991249104</v>
      </c>
      <c r="AW137" s="1369">
        <f t="shared" si="48"/>
        <v>57.43504623113192</v>
      </c>
      <c r="AX137" s="1369">
        <f t="shared" si="48"/>
        <v>61.26365573994178</v>
      </c>
      <c r="AY137" s="1369">
        <f t="shared" si="48"/>
        <v>65.31484659211347</v>
      </c>
      <c r="AZ137" s="1369">
        <f t="shared" si="48"/>
        <v>69.60027978315124</v>
      </c>
      <c r="BA137" s="1369">
        <f t="shared" si="48"/>
        <v>74.13219968077743</v>
      </c>
      <c r="BB137" s="1369">
        <f t="shared" si="48"/>
        <v>78.92346583234406</v>
      </c>
      <c r="BC137" s="1369">
        <f t="shared" si="48"/>
        <v>83.9875863279155</v>
      </c>
      <c r="BD137" s="1462" t="str">
        <f>G137</f>
        <v>Dz</v>
      </c>
      <c r="BH137" s="1420" t="s">
        <v>1235</v>
      </c>
      <c r="BI137" s="1421"/>
      <c r="BJ137" s="1421"/>
      <c r="BO137" s="1420"/>
      <c r="BP137" s="1421"/>
      <c r="BQ137" s="1420"/>
      <c r="BR137" s="1421"/>
    </row>
    <row r="138" ht="17.5" customHeight="1" spans="1:70" x14ac:dyDescent="0.25">
      <c r="A138" s="31" t="s">
        <v>1236</v>
      </c>
      <c r="B138" s="187"/>
      <c r="C138" s="187"/>
      <c r="D138" s="187"/>
      <c r="E138" s="31"/>
      <c r="F138" s="31"/>
      <c r="G138" s="1481" t="s">
        <v>898</v>
      </c>
      <c r="H138" s="1443">
        <v>40</v>
      </c>
      <c r="I138" s="1482" t="s">
        <v>1237</v>
      </c>
      <c r="J138" s="1483"/>
      <c r="K138" s="1483"/>
      <c r="L138" s="1483"/>
      <c r="M138" s="1483"/>
      <c r="N138" s="1484"/>
      <c r="O138" s="1485">
        <f>ОТЧЁТ!U56</f>
        <v>1447.9952</v>
      </c>
      <c r="P138" s="1460">
        <f>ОТЧЁТ!V56</f>
        <v>1970.9168</v>
      </c>
      <c r="Q138" s="1460">
        <f>ОТЧЁТ!W56</f>
        <v>2199.612</v>
      </c>
      <c r="R138" s="1460">
        <f>ОТЧЁТ!X56</f>
        <v>2190.7174</v>
      </c>
      <c r="S138" s="1460">
        <f>ОТЧЁТ!Y56</f>
        <v>3975.3293</v>
      </c>
      <c r="T138" s="1460">
        <f>ОТЧЁТ!Z56</f>
        <v>6080.0129</v>
      </c>
      <c r="U138" s="1460">
        <f>ОТЧЁТ!AA56</f>
        <v>8076.6947</v>
      </c>
      <c r="V138" s="1460">
        <f>ОТЧЁТ!AB56</f>
        <v>9403.7027</v>
      </c>
      <c r="W138" s="1460">
        <f>ОТЧЁТ!AC56</f>
        <v>11653.3392</v>
      </c>
      <c r="X138" s="1460">
        <f>ОТЧЁТ!AD56</f>
        <v>14631.8556</v>
      </c>
      <c r="Y138" s="1460">
        <f>ОТЧЁТ!AE56</f>
        <v>18502.9362</v>
      </c>
      <c r="Z138" s="1460">
        <f>ОТЧЁТ!AF56</f>
        <v>23246.5228</v>
      </c>
      <c r="AA138" s="1460">
        <f>ОТЧЁТ!AG56</f>
        <v>29267.6613</v>
      </c>
      <c r="AB138" s="1460">
        <f>ОТЧЁТ!AH56</f>
        <v>36418.9596</v>
      </c>
      <c r="AC138" s="1460">
        <f>ОТЧЁТ!AI56</f>
        <v>34285.124</v>
      </c>
      <c r="AD138" s="1460">
        <f>ОТЧЁТ!AJ56</f>
        <v>42014.537</v>
      </c>
      <c r="AE138" s="1460">
        <f>ОТЧЁТ!AK56</f>
        <v>48876.2599</v>
      </c>
      <c r="AF138" s="1460">
        <f>ОТЧЁТ!AL56</f>
        <v>54095.9393</v>
      </c>
      <c r="AG138" s="1460">
        <f>ОТЧЁТ!AM56</f>
        <v>59296.035200000006</v>
      </c>
      <c r="AH138" s="1460">
        <f>ОТЧЁТ!AN56</f>
        <v>64078.5</v>
      </c>
      <c r="AI138" s="1460">
        <f>ОТЧЁТ!AO56</f>
        <v>71328.7</v>
      </c>
      <c r="AJ138" s="1460">
        <f>ОТЧЁТ!AP56</f>
        <v>76381.24</v>
      </c>
      <c r="AK138" s="1460">
        <f>ОТЧЁТ!AQ56</f>
        <v>83173.7</v>
      </c>
      <c r="AL138" s="1460">
        <f>ОТЧЁТ!AR56</f>
        <v>92734.7</v>
      </c>
      <c r="AM138" s="1460">
        <f>AM137*AM136</f>
        <v>96008.44407020404</v>
      </c>
      <c r="AN138" s="1460">
        <f t="shared" ref="AN138:BC138" si="49">AN137*AN136</f>
        <v>103371.61645208688</v>
      </c>
      <c r="AO138" s="1460">
        <f t="shared" si="49"/>
        <v>118479.65867091923</v>
      </c>
      <c r="AP138" s="1460">
        <f t="shared" si="49"/>
        <v>131693.22605030524</v>
      </c>
      <c r="AQ138" s="1460">
        <f t="shared" si="49"/>
        <v>146049.4483494663</v>
      </c>
      <c r="AR138" s="1460">
        <f t="shared" si="49"/>
        <v>161749.59975377776</v>
      </c>
      <c r="AS138" s="1460">
        <f t="shared" si="49"/>
        <v>178988.82052398162</v>
      </c>
      <c r="AT138" s="1460">
        <f t="shared" si="49"/>
        <v>197964.7598499998</v>
      </c>
      <c r="AU138" s="1460">
        <f t="shared" si="49"/>
        <v>218884.00283054225</v>
      </c>
      <c r="AV138" s="1460">
        <f t="shared" si="49"/>
        <v>241967.10053341466</v>
      </c>
      <c r="AW138" s="1460">
        <f t="shared" si="49"/>
        <v>267452.7554742029</v>
      </c>
      <c r="AX138" s="1460">
        <f t="shared" si="49"/>
        <v>295601.5380240738</v>
      </c>
      <c r="AY138" s="1460">
        <f t="shared" si="49"/>
        <v>326699.39249385364</v>
      </c>
      <c r="AZ138" s="1460">
        <f t="shared" si="49"/>
        <v>361061.1150325961</v>
      </c>
      <c r="BA138" s="1460">
        <f t="shared" si="49"/>
        <v>399033.9357199896</v>
      </c>
      <c r="BB138" s="1460">
        <f t="shared" si="49"/>
        <v>441001.3054513346</v>
      </c>
      <c r="BC138" s="1460">
        <f t="shared" si="49"/>
        <v>487386.96850895596</v>
      </c>
      <c r="BD138" s="1462" t="str">
        <f t="shared" si="41"/>
        <v>Z</v>
      </c>
      <c r="BH138" s="1420" t="s">
        <v>1238</v>
      </c>
      <c r="BI138" s="1421"/>
      <c r="BJ138" s="1421"/>
      <c r="BO138" s="1420"/>
      <c r="BP138" s="1421"/>
      <c r="BQ138" s="1420"/>
      <c r="BR138" s="1421"/>
    </row>
    <row r="139" ht="17.5" customHeight="1" spans="1:70" x14ac:dyDescent="0.25">
      <c r="A139" s="31" t="s">
        <v>1239</v>
      </c>
      <c r="B139" s="187"/>
      <c r="C139" s="187"/>
      <c r="D139" s="187"/>
      <c r="E139" s="31"/>
      <c r="F139" s="31"/>
      <c r="G139" s="1481" t="s">
        <v>293</v>
      </c>
      <c r="H139" s="1443">
        <v>41</v>
      </c>
      <c r="I139" s="1482" t="s">
        <v>1240</v>
      </c>
      <c r="J139" s="1483"/>
      <c r="K139" s="1483"/>
      <c r="L139" s="1483"/>
      <c r="M139" s="1483"/>
      <c r="N139" s="1484"/>
      <c r="O139" s="1485">
        <f>НАСТРОЙКА!P25</f>
        <v>2876.5161</v>
      </c>
      <c r="P139" s="1489">
        <f>НАСТРОЙКА!Q25</f>
        <v>3978.7420000000006</v>
      </c>
      <c r="Q139" s="1489">
        <f>НАСТРОЙКА!R25</f>
        <v>4542.1257</v>
      </c>
      <c r="R139" s="1489">
        <f>НАСТРОЙКА!S25</f>
        <v>4820.3403</v>
      </c>
      <c r="S139" s="1489">
        <f>НАСТРОЙКА!T25</f>
        <v>8798.5622</v>
      </c>
      <c r="T139" s="1489">
        <f>НАСТРОЙКА!U25</f>
        <v>13385.6595</v>
      </c>
      <c r="U139" s="1489">
        <f>НАСТРОЙКА!V25</f>
        <v>17020.2773</v>
      </c>
      <c r="V139" s="1489">
        <f>НАСТРОЙКА!W25</f>
        <v>20222.973599999998</v>
      </c>
      <c r="W139" s="1489">
        <f>НАСТРОЙКА!X25</f>
        <v>24861.5895</v>
      </c>
      <c r="X139" s="1489">
        <f>НАСТРОЙКА!Y25</f>
        <v>31659.022599999997</v>
      </c>
      <c r="Y139" s="1489">
        <f>НАСТРОЙКА!Z25</f>
        <v>40112.702</v>
      </c>
      <c r="Z139" s="1489">
        <f>НАСТРОЙКА!AA25</f>
        <v>50163.7265</v>
      </c>
      <c r="AA139" s="1489">
        <f>НАСТРОЙКА!AB25</f>
        <v>62515.1745</v>
      </c>
      <c r="AB139" s="1489">
        <f>НАСТРОЙКА!AC25</f>
        <v>77695.8088</v>
      </c>
      <c r="AC139" s="1489">
        <f>НАСТРОЙКА!AD25</f>
        <v>73092.3949</v>
      </c>
      <c r="AD139" s="1489">
        <f>НАСТРОЙКА!AE25</f>
        <v>88323.068</v>
      </c>
      <c r="AE139" s="1489">
        <f>НАСТРОЙКА!AF25</f>
        <v>109158.8003</v>
      </c>
      <c r="AF139" s="1489">
        <f>НАСТРОЙКА!AG25</f>
        <v>122259.8224</v>
      </c>
      <c r="AG139" s="1489">
        <f>НАСТРОЙКА!AH25</f>
        <v>132429.93029999998</v>
      </c>
      <c r="AH139" s="1489">
        <f>НАСТРОЙКА!AI25</f>
        <v>143137.046</v>
      </c>
      <c r="AI139" s="1489">
        <f>НАСТРОЙКА!AJ25</f>
        <v>154422.9596</v>
      </c>
      <c r="AJ139" s="1489">
        <f>НАСТРОЙКА!AK25</f>
        <v>162395.42</v>
      </c>
      <c r="AK139" s="1489">
        <f>НАСТРОЙКА!AL25</f>
        <v>175275.06</v>
      </c>
      <c r="AL139" s="1489">
        <f>НАСТРОЙКА!AM25</f>
        <v>196610.47</v>
      </c>
      <c r="AM139" s="1460">
        <f>AM89+AM138</f>
        <v>202097.6316161081</v>
      </c>
      <c r="AN139" s="1460">
        <f t="shared" ref="AN139:BC139" si="50">AN89+AN138</f>
        <v>216669.1497991858</v>
      </c>
      <c r="AO139" s="1460">
        <f t="shared" si="50"/>
        <v>246813.41465554695</v>
      </c>
      <c r="AP139" s="1460">
        <f t="shared" si="50"/>
        <v>272979.46852767386</v>
      </c>
      <c r="AQ139" s="1460">
        <f t="shared" si="50"/>
        <v>301304.64520543686</v>
      </c>
      <c r="AR139" s="1460">
        <f t="shared" si="50"/>
        <v>332183.5785464415</v>
      </c>
      <c r="AS139" s="1460">
        <f t="shared" si="50"/>
        <v>365992.59274473484</v>
      </c>
      <c r="AT139" s="1460">
        <f t="shared" si="50"/>
        <v>403108.1262203351</v>
      </c>
      <c r="AU139" s="1460">
        <f t="shared" si="50"/>
        <v>443920.11536875635</v>
      </c>
      <c r="AV139" s="1460">
        <f t="shared" si="50"/>
        <v>488842.1939510533</v>
      </c>
      <c r="AW139" s="1460">
        <f t="shared" si="50"/>
        <v>538319.9434800126</v>
      </c>
      <c r="AX139" s="1460">
        <f t="shared" si="50"/>
        <v>592838.0226543723</v>
      </c>
      <c r="AY139" s="1460">
        <f t="shared" si="50"/>
        <v>652926.7372452489</v>
      </c>
      <c r="AZ139" s="1460">
        <f t="shared" si="50"/>
        <v>719168.4380404253</v>
      </c>
      <c r="BA139" s="1460">
        <f t="shared" si="50"/>
        <v>792204.0219885353</v>
      </c>
      <c r="BB139" s="1460">
        <f t="shared" si="50"/>
        <v>872739.73980093</v>
      </c>
      <c r="BC139" s="1460">
        <f t="shared" si="50"/>
        <v>961554.468308947</v>
      </c>
      <c r="BD139" s="1462" t="str">
        <f t="shared" si="41"/>
        <v>X</v>
      </c>
      <c r="BH139" s="1420" t="s">
        <v>1241</v>
      </c>
      <c r="BO139" s="1420"/>
      <c r="BP139" s="1421"/>
      <c r="BQ139" s="1420"/>
      <c r="BR139" s="1421"/>
    </row>
    <row r="140" ht="15" customHeight="1" spans="1:70" x14ac:dyDescent="0.25">
      <c r="A140" s="31" t="s">
        <v>1242</v>
      </c>
      <c r="B140" s="187"/>
      <c r="C140" s="187"/>
      <c r="D140" s="187"/>
      <c r="E140" s="31"/>
      <c r="F140" s="31"/>
      <c r="G140" s="1481" t="s">
        <v>281</v>
      </c>
      <c r="H140" s="1443">
        <v>42</v>
      </c>
      <c r="I140" s="1482" t="s">
        <v>1243</v>
      </c>
      <c r="J140" s="1483"/>
      <c r="K140" s="1483"/>
      <c r="L140" s="1483"/>
      <c r="M140" s="1483"/>
      <c r="N140" s="1484"/>
      <c r="O140" s="1485">
        <f>ОТЧЁТ!U51</f>
        <v>2767.6205</v>
      </c>
      <c r="P140" s="1490">
        <f>ОТЧЁТ!V51</f>
        <v>3799.126</v>
      </c>
      <c r="Q140" s="1460">
        <f>ОТЧЁТ!W51</f>
        <v>4327.531</v>
      </c>
      <c r="R140" s="1460">
        <f>ОТЧЁТ!X51</f>
        <v>4573.977</v>
      </c>
      <c r="S140" s="1460">
        <f>ОТЧЁТ!Y51</f>
        <v>8303.202</v>
      </c>
      <c r="T140" s="1460">
        <f>ОТЧЁТ!Z51</f>
        <v>12552.212</v>
      </c>
      <c r="U140" s="1460">
        <f>ОТЧЁТ!AA51</f>
        <v>15922.788</v>
      </c>
      <c r="V140" s="1460">
        <f>ОТЧЁТ!AB51</f>
        <v>18973.6736</v>
      </c>
      <c r="W140" s="1460">
        <f>ОТЧЁТ!AC51</f>
        <v>23273.0895</v>
      </c>
      <c r="X140" s="1460">
        <f>ОТЧЁТ!AD51</f>
        <v>29490.6226</v>
      </c>
      <c r="Y140" s="1460">
        <f>ОТЧЁТ!AE51</f>
        <v>37020.602</v>
      </c>
      <c r="Z140" s="1460">
        <f>ОТЧЁТ!AF51</f>
        <v>46223.8665</v>
      </c>
      <c r="AA140" s="1460">
        <f>ОТЧЁТ!AG51</f>
        <v>57752.1325</v>
      </c>
      <c r="AB140" s="1460">
        <f>ОТЧЁТ!AH51</f>
        <v>71601.658</v>
      </c>
      <c r="AC140" s="1460">
        <f>ОТЧЁТ!AI51</f>
        <v>68116.5</v>
      </c>
      <c r="AD140" s="1460">
        <f>ОТЧЁТ!AJ51</f>
        <v>82054.6</v>
      </c>
      <c r="AE140" s="1460">
        <f>ОТЧЁТ!AK51</f>
        <v>100960.3907</v>
      </c>
      <c r="AF140" s="1460">
        <f>ОТЧЁТ!AL51</f>
        <v>113092.1725</v>
      </c>
      <c r="AG140" s="1460">
        <f>ОТЧЁТ!AM51</f>
        <v>123165.48509999999</v>
      </c>
      <c r="AH140" s="1460">
        <f>ОТЧЁТ!AN51</f>
        <v>132844.9</v>
      </c>
      <c r="AI140" s="1460">
        <f>ОТЧЁТ!AO51</f>
        <v>145956.1</v>
      </c>
      <c r="AJ140" s="1460">
        <f>ОТЧЁТ!AP51</f>
        <v>153856.5</v>
      </c>
      <c r="AK140" s="1460">
        <f>ОТЧЁТ!AQ51</f>
        <v>166329.3</v>
      </c>
      <c r="AL140" s="1460">
        <f>ОТЧЁТ!AR51</f>
        <v>185534.2</v>
      </c>
      <c r="AM140" s="1460">
        <f>AM139/(1+AM93)</f>
        <v>190181.37956681044</v>
      </c>
      <c r="AN140" s="1460">
        <f t="shared" ref="AN140:BC140" si="51">AN139/(1+AN93)</f>
        <v>203610.33994240887</v>
      </c>
      <c r="AO140" s="1460">
        <f t="shared" si="51"/>
        <v>231776.72142285196</v>
      </c>
      <c r="AP140" s="1460">
        <f t="shared" si="51"/>
        <v>256259.67422413372</v>
      </c>
      <c r="AQ140" s="1460">
        <f t="shared" si="51"/>
        <v>282800.87456461875</v>
      </c>
      <c r="AR140" s="1460">
        <f t="shared" si="51"/>
        <v>311756.4179282928</v>
      </c>
      <c r="AS140" s="1460">
        <f t="shared" si="51"/>
        <v>343471.49607568205</v>
      </c>
      <c r="AT140" s="1460">
        <f t="shared" si="51"/>
        <v>378294.9472148231</v>
      </c>
      <c r="AU140" s="1460">
        <f t="shared" si="51"/>
        <v>416590.25150981615</v>
      </c>
      <c r="AV140" s="1460">
        <f t="shared" si="51"/>
        <v>458744.2231009167</v>
      </c>
      <c r="AW140" s="1460">
        <f t="shared" si="51"/>
        <v>505174.2625315675</v>
      </c>
      <c r="AX140" s="1460">
        <f t="shared" si="51"/>
        <v>556334.7756354593</v>
      </c>
      <c r="AY140" s="1460">
        <f t="shared" si="51"/>
        <v>612723.1888346155</v>
      </c>
      <c r="AZ140" s="1460">
        <f t="shared" si="51"/>
        <v>674885.8703685636</v>
      </c>
      <c r="BA140" s="1460">
        <f t="shared" si="51"/>
        <v>743424.1855282215</v>
      </c>
      <c r="BB140" s="1460">
        <f t="shared" si="51"/>
        <v>819000.8599665243</v>
      </c>
      <c r="BC140" s="1460">
        <f t="shared" si="51"/>
        <v>902346.7904344847</v>
      </c>
      <c r="BD140" s="1462" t="str">
        <f t="shared" si="41"/>
        <v>XO</v>
      </c>
      <c r="BH140" s="1420" t="s">
        <v>1244</v>
      </c>
      <c r="BI140" s="1421"/>
      <c r="BJ140" s="1420"/>
      <c r="BK140" s="1421"/>
      <c r="BO140" s="1420"/>
      <c r="BP140" s="1421"/>
      <c r="BQ140" s="1420"/>
      <c r="BR140" s="1421"/>
    </row>
    <row r="141" ht="17.5" customHeight="1" spans="1:70" x14ac:dyDescent="0.25">
      <c r="A141" s="31" t="s">
        <v>1245</v>
      </c>
      <c r="B141" s="187"/>
      <c r="C141" s="187"/>
      <c r="D141" s="187"/>
      <c r="E141" s="31"/>
      <c r="F141" s="31"/>
      <c r="G141" s="1481" t="s">
        <v>895</v>
      </c>
      <c r="H141" s="1443">
        <v>43</v>
      </c>
      <c r="I141" s="1482" t="s">
        <v>1246</v>
      </c>
      <c r="J141" s="1483"/>
      <c r="K141" s="1483"/>
      <c r="L141" s="1483"/>
      <c r="M141" s="1483"/>
      <c r="N141" s="1484"/>
      <c r="O141" s="1485">
        <v>1</v>
      </c>
      <c r="P141" s="1369">
        <f>ОТЧЁТ!V180</f>
        <v>1.4230255714814841</v>
      </c>
      <c r="Q141" s="1369">
        <f>ОТЧЁТ!W180</f>
        <v>1.6020944641617485</v>
      </c>
      <c r="R141" s="1369">
        <f>ОТЧЁТ!X180</f>
        <v>1.7915975405266318</v>
      </c>
      <c r="S141" s="1369">
        <f>ОТЧЁТ!Y180</f>
        <v>3.0909273639762795</v>
      </c>
      <c r="T141" s="1369">
        <f>ОТЧЁТ!Z180</f>
        <v>4.298327894095345</v>
      </c>
      <c r="U141" s="1369">
        <f>ОТЧЁТ!AA180</f>
        <v>5.21015822142103</v>
      </c>
      <c r="V141" s="1369">
        <f>ОТЧЁТ!AB180</f>
        <v>5.9296464112464475</v>
      </c>
      <c r="W141" s="1369">
        <f>ОТЧЁТ!AC180</f>
        <v>6.774861199391402</v>
      </c>
      <c r="X141" s="1369">
        <f>ОТЧЁТ!AD180</f>
        <v>7.988132464613644</v>
      </c>
      <c r="Y141" s="1369">
        <f>ОТЧЁТ!AE180</f>
        <v>9.575350609009634</v>
      </c>
      <c r="Z141" s="1369">
        <f>ОТЧЁТ!AF180</f>
        <v>10.995998689731229</v>
      </c>
      <c r="AA141" s="1369">
        <f>ОТЧЁТ!AG180</f>
        <v>12.595094794725632</v>
      </c>
      <c r="AB141" s="1369">
        <f>ОТЧЁТ!AH180</f>
        <v>14.90816825584335</v>
      </c>
      <c r="AC141" s="1369">
        <f>ОТЧЁТ!AI180</f>
        <v>15.145649385720535</v>
      </c>
      <c r="AD141" s="1369">
        <f>ОТЧЁТ!AJ180</f>
        <v>17.430127110309737</v>
      </c>
      <c r="AE141" s="1369">
        <f>ОТЧЁТ!AK180</f>
        <v>20.653842144150566</v>
      </c>
      <c r="AF141" s="1369">
        <f>ОТЧЁТ!AL180</f>
        <v>22.264364965078673</v>
      </c>
      <c r="AG141" s="1369">
        <f>ОТЧЁТ!AM180</f>
        <v>23.62038435752821</v>
      </c>
      <c r="AH141" s="1369">
        <f>ОТЧЁТ!AN180</f>
        <v>25.327500226014692</v>
      </c>
      <c r="AI141" s="1369">
        <f>ОТЧЁТ!AO180</f>
        <v>27.68439242590484</v>
      </c>
      <c r="AJ141" s="1369">
        <f>ОТЧЁТ!AP180</f>
        <v>28.768445092272216</v>
      </c>
      <c r="AK141" s="1369">
        <f>ОТЧЁТ!AQ180</f>
        <v>30.292761918932754</v>
      </c>
      <c r="AL141" s="1369">
        <f>ОТЧЁТ!AR180</f>
        <v>33.151373247864946</v>
      </c>
      <c r="AM141" s="1468">
        <f>AM139/AM131</f>
        <v>32.69756860657747</v>
      </c>
      <c r="AN141" s="1468">
        <f t="shared" ref="AN141:BC141" si="52">AN139/AN131</f>
        <v>34.12337281823583</v>
      </c>
      <c r="AO141" s="1468">
        <f t="shared" si="52"/>
        <v>37.176992855719824</v>
      </c>
      <c r="AP141" s="1468">
        <f t="shared" si="52"/>
        <v>39.71927312578176</v>
      </c>
      <c r="AQ141" s="1468">
        <f t="shared" si="52"/>
        <v>42.416097971447634</v>
      </c>
      <c r="AR141" s="1468">
        <f t="shared" si="52"/>
        <v>45.276073379471974</v>
      </c>
      <c r="AS141" s="1468">
        <f t="shared" si="52"/>
        <v>48.30809606939332</v>
      </c>
      <c r="AT141" s="1468">
        <f t="shared" si="52"/>
        <v>51.52142347094125</v>
      </c>
      <c r="AU141" s="1468">
        <f t="shared" si="52"/>
        <v>54.925724245657115</v>
      </c>
      <c r="AV141" s="1468">
        <f t="shared" si="52"/>
        <v>58.53111823387987</v>
      </c>
      <c r="AW141" s="1468">
        <f t="shared" si="52"/>
        <v>62.34821082018568</v>
      </c>
      <c r="AX141" s="1468">
        <f t="shared" si="52"/>
        <v>66.38812465088472</v>
      </c>
      <c r="AY141" s="1468">
        <f t="shared" si="52"/>
        <v>70.6625304736065</v>
      </c>
      <c r="AZ141" s="1468">
        <f t="shared" si="52"/>
        <v>75.18367818661015</v>
      </c>
      <c r="BA141" s="1468">
        <f t="shared" si="52"/>
        <v>79.96442877851868</v>
      </c>
      <c r="BB141" s="1468">
        <f t="shared" si="52"/>
        <v>85.0182875958749</v>
      </c>
      <c r="BC141" s="1468">
        <f t="shared" si="52"/>
        <v>90.35943923150938</v>
      </c>
      <c r="BD141" s="1462" t="str">
        <f t="shared" si="41"/>
        <v>Dx</v>
      </c>
      <c r="BH141" s="1420" t="s">
        <v>1168</v>
      </c>
      <c r="BI141" s="1421"/>
      <c r="BJ141" s="1421"/>
      <c r="BK141" s="1421"/>
      <c r="BO141" s="1420"/>
      <c r="BP141" s="1421"/>
      <c r="BQ141" s="1420"/>
      <c r="BR141" s="1421"/>
    </row>
    <row r="142" ht="17.5" customHeight="1" spans="1:70" x14ac:dyDescent="0.25">
      <c r="A142" s="31" t="s">
        <v>1247</v>
      </c>
      <c r="B142" s="187"/>
      <c r="C142" s="187"/>
      <c r="D142" s="187"/>
      <c r="E142" s="31"/>
      <c r="F142" s="31"/>
      <c r="G142" s="1481" t="s">
        <v>879</v>
      </c>
      <c r="H142" s="1443">
        <v>44</v>
      </c>
      <c r="I142" s="1482" t="s">
        <v>1248</v>
      </c>
      <c r="J142" s="1483"/>
      <c r="K142" s="1483"/>
      <c r="L142" s="1483"/>
      <c r="M142" s="1483"/>
      <c r="N142" s="1484"/>
      <c r="O142" s="1485">
        <v>1</v>
      </c>
      <c r="P142" s="1468">
        <f>НАСТРОЙКА!Q13</f>
        <v>1.412247757097261</v>
      </c>
      <c r="Q142" s="1468">
        <f>НАСТРОЙКА!R13</f>
        <v>1.5864611043969121</v>
      </c>
      <c r="R142" s="1468">
        <f>НАСТРОЙКА!S13</f>
        <v>1.7669204828999698</v>
      </c>
      <c r="S142" s="1468">
        <f>НАСТРОЙКА!T13</f>
        <v>3.031677249541913</v>
      </c>
      <c r="T142" s="1468">
        <f>НАСТРОЙКА!U13</f>
        <v>4.189288839815487</v>
      </c>
      <c r="U142" s="1468">
        <f>НАСТРОЙКА!V13</f>
        <v>5.065982250044759</v>
      </c>
      <c r="V142" s="1468">
        <f>НАСТРОЙКА!W13</f>
        <v>5.7822315297952604</v>
      </c>
      <c r="W142" s="1468">
        <f>НАСТРОЙКА!X13</f>
        <v>6.591523740762184</v>
      </c>
      <c r="X142" s="1468">
        <f>НАСТРОЙКА!Y13</f>
        <v>7.7337827274937645</v>
      </c>
      <c r="Y142" s="1468">
        <f>НАСТРОЙКА!Z13</f>
        <v>9.184944042597673</v>
      </c>
      <c r="Z142" s="1468">
        <f>НАСТРОЙКА!AA13</f>
        <v>10.5310440318469</v>
      </c>
      <c r="AA142" s="1468">
        <f>НАСТРОЙКА!AB13</f>
        <v>12.09328500918834</v>
      </c>
      <c r="AB142" s="1468">
        <f>НАСТРОЙКА!AC13</f>
        <v>14.279402745112492</v>
      </c>
      <c r="AC142" s="1468">
        <f>НАСТРОЙКА!AD13</f>
        <v>14.669938798054028</v>
      </c>
      <c r="AD142" s="1468">
        <f>НАСТРОЙКА!AE13</f>
        <v>16.8302129453818</v>
      </c>
      <c r="AE142" s="1468">
        <f>НАСТРОЙКА!AF13</f>
        <v>19.85424571376991</v>
      </c>
      <c r="AF142" s="1468">
        <f>НАСТРОЙКА!AG13</f>
        <v>21.405203901528715</v>
      </c>
      <c r="AG142" s="1468">
        <f>НАСТРОЙКА!AH13</f>
        <v>22.832323118365768</v>
      </c>
      <c r="AH142" s="1468">
        <f>НАСТРОЙКА!AI13</f>
        <v>24.43123573923766</v>
      </c>
      <c r="AI142" s="1468">
        <f>НАСТРОЙКА!AJ13</f>
        <v>27.196038400434425</v>
      </c>
      <c r="AJ142" s="1468">
        <f>НАСТРОЙКА!AK13</f>
        <v>28.328183799288354</v>
      </c>
      <c r="AK142" s="1468">
        <f>НАСТРОЙКА!AL13</f>
        <v>29.877742312507845</v>
      </c>
      <c r="AL142" s="1468">
        <f>НАСТРОЙКА!AM13</f>
        <v>32.51465333840346</v>
      </c>
      <c r="AM142" s="1369">
        <f>AM140/AM135</f>
        <v>31.980297493595838</v>
      </c>
      <c r="AN142" s="1369">
        <f t="shared" ref="AN142:BC142" si="53">AN140/AN135</f>
        <v>33.32843885563077</v>
      </c>
      <c r="AO142" s="1369">
        <f t="shared" si="53"/>
        <v>36.28570647252963</v>
      </c>
      <c r="AP142" s="1369">
        <f t="shared" si="53"/>
        <v>38.753581796906595</v>
      </c>
      <c r="AQ142" s="1369">
        <f t="shared" si="53"/>
        <v>41.37765791453212</v>
      </c>
      <c r="AR142" s="1369">
        <f t="shared" si="53"/>
        <v>44.16378316137025</v>
      </c>
      <c r="AS142" s="1369">
        <f t="shared" si="53"/>
        <v>47.11927477937799</v>
      </c>
      <c r="AT142" s="1369">
        <f t="shared" si="53"/>
        <v>50.252435090880134</v>
      </c>
      <c r="AU142" s="1369">
        <f t="shared" si="53"/>
        <v>53.572305998881035</v>
      </c>
      <c r="AV142" s="1369">
        <f t="shared" si="53"/>
        <v>57.08855039167372</v>
      </c>
      <c r="AW142" s="1369">
        <f t="shared" si="53"/>
        <v>60.81140142212709</v>
      </c>
      <c r="AX142" s="1369">
        <f t="shared" si="53"/>
        <v>64.75164840828636</v>
      </c>
      <c r="AY142" s="1369">
        <f t="shared" si="53"/>
        <v>68.92064284299862</v>
      </c>
      <c r="AZ142" s="1369">
        <f t="shared" si="53"/>
        <v>73.3303158179349</v>
      </c>
      <c r="BA142" s="1369">
        <f t="shared" si="53"/>
        <v>77.99320230797152</v>
      </c>
      <c r="BB142" s="1369">
        <f t="shared" si="53"/>
        <v>82.92246995223321</v>
      </c>
      <c r="BC142" s="1369">
        <f t="shared" si="53"/>
        <v>88.13195112595098</v>
      </c>
      <c r="BD142" s="1462" t="str">
        <f t="shared" si="41"/>
        <v>DOx</v>
      </c>
      <c r="BH142" s="1420" t="s">
        <v>1249</v>
      </c>
      <c r="BI142" s="1421"/>
      <c r="BJ142" s="1421"/>
      <c r="BK142" s="1420"/>
      <c r="BO142" s="1420"/>
      <c r="BP142" s="1421"/>
      <c r="BQ142" s="1420"/>
      <c r="BR142" s="1421"/>
    </row>
    <row r="143" ht="17.5" customHeight="1" spans="1:70" x14ac:dyDescent="0.25">
      <c r="A143" s="31" t="s">
        <v>1250</v>
      </c>
      <c r="B143" s="187"/>
      <c r="C143" s="187"/>
      <c r="D143" s="187"/>
      <c r="E143" s="31"/>
      <c r="F143" s="31"/>
      <c r="G143" s="1481" t="s">
        <v>989</v>
      </c>
      <c r="H143" s="1443">
        <v>45</v>
      </c>
      <c r="I143" s="1482" t="s">
        <v>1251</v>
      </c>
      <c r="J143" s="1483"/>
      <c r="K143" s="1483"/>
      <c r="L143" s="1483"/>
      <c r="M143" s="1483"/>
      <c r="N143" s="1483"/>
      <c r="O143" s="1491">
        <f>ОТЧЁТ!U57</f>
        <v>0.5033850497134363</v>
      </c>
      <c r="P143" s="1468">
        <f>ОТЧЁТ!V57</f>
        <v>0.4953618002876285</v>
      </c>
      <c r="Q143" s="1468">
        <f>ОТЧЁТ!W57</f>
        <v>0.48426929267941665</v>
      </c>
      <c r="R143" s="1468">
        <f>ОТЧЁТ!X57</f>
        <v>0.4544735980569671</v>
      </c>
      <c r="S143" s="1468">
        <f>ОТЧЁТ!Y57</f>
        <v>0.45181578644747206</v>
      </c>
      <c r="T143" s="1468">
        <f>ОТЧЁТ!Z57</f>
        <v>0.4542184044051023</v>
      </c>
      <c r="U143" s="1468">
        <f>ОТЧЁТ!AA57</f>
        <v>0.47453367284444886</v>
      </c>
      <c r="V143" s="1468">
        <f>ОТЧЁТ!AB57</f>
        <v>0.4650009877874736</v>
      </c>
      <c r="W143" s="1468">
        <f>ОТЧЁТ!AC57</f>
        <v>0.4687286466539077</v>
      </c>
      <c r="X143" s="1468">
        <f>ОТЧЁТ!AD57</f>
        <v>0.46217016187985543</v>
      </c>
      <c r="Y143" s="1468">
        <f>ОТЧЁТ!AE57</f>
        <v>0.4612737431649456</v>
      </c>
      <c r="Z143" s="1468">
        <f>ОТЧЁТ!AF57</f>
        <v>0.4634129962414176</v>
      </c>
      <c r="AA143" s="1468">
        <f>ОТЧЁТ!AG57</f>
        <v>0.46816891313324255</v>
      </c>
      <c r="AB143" s="1468">
        <f>ОТЧЁТ!AH57</f>
        <v>0.4687377628534321</v>
      </c>
      <c r="AC143" s="1468">
        <f>ОТЧЁТ!AI57</f>
        <v>0.469065544327923</v>
      </c>
      <c r="AD143" s="1468">
        <f>ОТЧЁТ!AJ57</f>
        <v>0.47569154866767077</v>
      </c>
      <c r="AE143" s="1468">
        <f>ОТЧЁТ!AK57</f>
        <v>0.44775372911459155</v>
      </c>
      <c r="AF143" s="1468">
        <f>ОТЧЁТ!AL57</f>
        <v>0.44246702013857986</v>
      </c>
      <c r="AG143" s="1468">
        <f>ОТЧЁТ!AM57</f>
        <v>0.4477540316276977</v>
      </c>
      <c r="AH143" s="1468">
        <f>ОТЧЁТ!AN57</f>
        <v>0.4476723656851212</v>
      </c>
      <c r="AI143" s="1468">
        <f>ОТЧЁТ!AO57</f>
        <v>0.46190475940081643</v>
      </c>
      <c r="AJ143" s="1468">
        <f>ОТЧЁТ!AP57</f>
        <v>0.4703410970580328</v>
      </c>
      <c r="AK143" s="1468">
        <f>ОТЧЁТ!AQ57</f>
        <v>0.47453242920013833</v>
      </c>
      <c r="AL143" s="1468">
        <f>ОТЧЁТ!AR57</f>
        <v>0.47166714977081325</v>
      </c>
      <c r="AM143" s="1468">
        <f>AM95*AM137/AM141</f>
        <v>0.4750597189212768</v>
      </c>
      <c r="AN143" s="1468">
        <f t="shared" ref="AN143:BC143" si="54">AN95*AN137/AN141</f>
        <v>0.4770943004479142</v>
      </c>
      <c r="AO143" s="1468">
        <f t="shared" si="54"/>
        <v>0.480037354680537</v>
      </c>
      <c r="AP143" s="1468">
        <f t="shared" si="54"/>
        <v>0.48242905138836323</v>
      </c>
      <c r="AQ143" s="1468">
        <f t="shared" si="54"/>
        <v>0.4847235204418645</v>
      </c>
      <c r="AR143" s="1468">
        <f t="shared" si="54"/>
        <v>0.48692834384395695</v>
      </c>
      <c r="AS143" s="1468">
        <f t="shared" si="54"/>
        <v>0.4890503908335084</v>
      </c>
      <c r="AT143" s="1468">
        <f t="shared" si="54"/>
        <v>0.4910959292886945</v>
      </c>
      <c r="AU143" s="1468">
        <f t="shared" si="54"/>
        <v>0.493070701805705</v>
      </c>
      <c r="AV143" s="1468">
        <f t="shared" si="54"/>
        <v>0.4949799823491552</v>
      </c>
      <c r="AW143" s="1468">
        <f t="shared" si="54"/>
        <v>0.49682862155400204</v>
      </c>
      <c r="AX143" s="1468">
        <f t="shared" si="54"/>
        <v>0.49862108489693</v>
      </c>
      <c r="AY143" s="1468">
        <f t="shared" si="54"/>
        <v>0.5003614859949296</v>
      </c>
      <c r="AZ143" s="1468">
        <f t="shared" si="54"/>
        <v>0.5020536162799465</v>
      </c>
      <c r="BA143" s="1468">
        <f t="shared" si="54"/>
        <v>0.5037009717753798</v>
      </c>
      <c r="BB143" s="1468">
        <f t="shared" si="54"/>
        <v>0.5053067774270552</v>
      </c>
      <c r="BC143" s="1468">
        <f t="shared" si="54"/>
        <v>0.5068740092967451</v>
      </c>
      <c r="BD143" s="1462" t="str">
        <f t="shared" si="41"/>
        <v>a</v>
      </c>
      <c r="BH143" s="1420" t="s">
        <v>102</v>
      </c>
      <c r="BI143" s="1421"/>
      <c r="BJ143" s="1421"/>
      <c r="BK143" s="1420"/>
      <c r="BO143" s="1420"/>
      <c r="BP143" s="1421"/>
      <c r="BQ143" s="1420"/>
      <c r="BR143" s="1421"/>
    </row>
    <row r="144" ht="17.5" customHeight="1" spans="1:70" x14ac:dyDescent="0.25">
      <c r="A144" s="31" t="s">
        <v>1252</v>
      </c>
      <c r="B144" s="187"/>
      <c r="C144" s="187"/>
      <c r="D144" s="187"/>
      <c r="E144" s="31"/>
      <c r="F144" s="31"/>
      <c r="G144" s="1481" t="s">
        <v>115</v>
      </c>
      <c r="H144" s="1443">
        <v>46</v>
      </c>
      <c r="I144" s="1482" t="s">
        <v>1064</v>
      </c>
      <c r="J144" s="1483"/>
      <c r="K144" s="1483"/>
      <c r="L144" s="1483"/>
      <c r="M144" s="1483"/>
      <c r="N144" s="1483"/>
      <c r="O144" s="1492">
        <f>ОТЧЁТ!U103</f>
        <v>437</v>
      </c>
      <c r="P144" s="1460">
        <f>ОТЧЁТ!V103</f>
        <v>558.5</v>
      </c>
      <c r="Q144" s="1460">
        <f>ОТЧЁТ!W103</f>
        <v>711.6</v>
      </c>
      <c r="R144" s="1460">
        <f>ОТЧЁТ!X103</f>
        <v>686.8</v>
      </c>
      <c r="S144" s="1460">
        <f>ОТЧЁТ!Y103</f>
        <v>1213.6</v>
      </c>
      <c r="T144" s="1460">
        <f>ОТЧЁТ!Z103</f>
        <v>2097.7</v>
      </c>
      <c r="U144" s="1460">
        <f>ОТЧЁТ!AA103</f>
        <v>2683.7</v>
      </c>
      <c r="V144" s="1460">
        <f>ОТЧЁТ!AB103</f>
        <v>3519.2</v>
      </c>
      <c r="W144" s="1460">
        <f>ОТЧЁТ!AC103</f>
        <v>4138.7</v>
      </c>
      <c r="X144" s="1460">
        <f>ОТЧЁТ!AD103</f>
        <v>5429.9</v>
      </c>
      <c r="Y144" s="1460">
        <f>ОТЧЁТ!AE103</f>
        <v>8579.6</v>
      </c>
      <c r="Z144" s="1460">
        <f>ОТЧЁТ!AF103</f>
        <v>10625.8</v>
      </c>
      <c r="AA144" s="1460">
        <f>ОТЧЁТ!AG103</f>
        <v>13368.262</v>
      </c>
      <c r="AB144" s="1460">
        <f>ОТЧЁТ!AH103</f>
        <v>16003.86</v>
      </c>
      <c r="AC144" s="1460">
        <f>ОТЧЁТ!AI103</f>
        <v>13599.7</v>
      </c>
      <c r="AD144" s="1460">
        <f>ОТЧЁТ!AJ103</f>
        <v>16031.9</v>
      </c>
      <c r="AE144" s="1460">
        <f>ОТЧЁТ!AK103</f>
        <v>20855</v>
      </c>
      <c r="AF144" s="1460">
        <f>ОТЧЁТ!AL103</f>
        <v>23435</v>
      </c>
      <c r="AG144" s="1460">
        <f>ОТЧЁТ!AM103</f>
        <v>24442</v>
      </c>
      <c r="AH144" s="1460">
        <f>ОТЧЁТ!AN103</f>
        <v>26766</v>
      </c>
      <c r="AI144" s="1460">
        <f>ОТЧЁТ!AO103</f>
        <v>26922</v>
      </c>
      <c r="AJ144" s="1460">
        <f>ОТЧЁТ!AP103</f>
        <v>28182</v>
      </c>
      <c r="AK144" s="1460">
        <f>ОТЧЁТ!AQ103</f>
        <v>31047</v>
      </c>
      <c r="AL144" s="1460">
        <f>ОТЧЁТ!AR103</f>
        <v>37320</v>
      </c>
      <c r="AM144" s="1460">
        <f>0.5355*AM89-18298</f>
        <v>38512.75993083161</v>
      </c>
      <c r="AN144" s="1460">
        <f t="shared" ref="AN144:BC144" si="55">0.5355*AN89-18298</f>
        <v>42372.82910737148</v>
      </c>
      <c r="AO144" s="1460">
        <f t="shared" si="55"/>
        <v>50424.726329768135</v>
      </c>
      <c r="AP144" s="1460">
        <f t="shared" si="55"/>
        <v>57360.782846630915</v>
      </c>
      <c r="AQ144" s="1460">
        <f t="shared" si="55"/>
        <v>64841.157916372205</v>
      </c>
      <c r="AR144" s="1460">
        <f t="shared" si="55"/>
        <v>72969.39564347142</v>
      </c>
      <c r="AS144" s="1460">
        <f t="shared" si="55"/>
        <v>81842.52002421336</v>
      </c>
      <c r="AT144" s="1460">
        <f t="shared" si="55"/>
        <v>91556.27269131453</v>
      </c>
      <c r="AU144" s="1460">
        <f t="shared" si="55"/>
        <v>102208.83826421366</v>
      </c>
      <c r="AV144" s="1460">
        <f t="shared" si="55"/>
        <v>113903.6125251455</v>
      </c>
      <c r="AW144" s="1460">
        <f t="shared" si="55"/>
        <v>126751.37917711108</v>
      </c>
      <c r="AX144" s="1460">
        <f t="shared" si="55"/>
        <v>140872.1375195248</v>
      </c>
      <c r="AY144" s="1460">
        <f t="shared" si="55"/>
        <v>156396.7431143721</v>
      </c>
      <c r="AZ144" s="1460">
        <f t="shared" si="55"/>
        <v>173468.4714706925</v>
      </c>
      <c r="BA144" s="1460">
        <f t="shared" si="55"/>
        <v>192244.58119680625</v>
      </c>
      <c r="BB144" s="1460">
        <f t="shared" si="55"/>
        <v>212897.9315942083</v>
      </c>
      <c r="BC144" s="1460">
        <f t="shared" si="55"/>
        <v>235618.69614289523</v>
      </c>
      <c r="BD144" s="1462" t="str">
        <f t="shared" si="41"/>
        <v>DBJ</v>
      </c>
      <c r="BH144" s="1420"/>
      <c r="BI144" s="1421"/>
      <c r="BJ144" s="1421"/>
      <c r="BK144" s="1420"/>
      <c r="BO144" s="1420"/>
      <c r="BP144" s="1421"/>
      <c r="BQ144" s="1420"/>
      <c r="BR144" s="1421"/>
    </row>
    <row r="145" ht="17.5" customHeight="1" spans="1:68" x14ac:dyDescent="0.25">
      <c r="A145" s="31" t="s">
        <v>1253</v>
      </c>
      <c r="B145" s="187"/>
      <c r="C145" s="187"/>
      <c r="D145" s="187"/>
      <c r="E145" s="31"/>
      <c r="F145" s="31"/>
      <c r="G145" s="1481" t="s">
        <v>1254</v>
      </c>
      <c r="H145" s="1443">
        <v>47</v>
      </c>
      <c r="I145" s="1482" t="s">
        <v>1216</v>
      </c>
      <c r="J145" s="1483"/>
      <c r="K145" s="1483"/>
      <c r="L145" s="1483"/>
      <c r="M145" s="1483"/>
      <c r="N145" s="1483"/>
      <c r="O145" s="1492">
        <f>ОТЧЁТ!U87</f>
        <v>220.8</v>
      </c>
      <c r="P145" s="1460">
        <f>ОТЧЁТ!V87</f>
        <v>282.3</v>
      </c>
      <c r="Q145" s="1460">
        <f>ОТЧЁТ!W87</f>
        <v>357.4</v>
      </c>
      <c r="R145" s="1460">
        <f>ОТЧЁТ!X87</f>
        <v>396.9</v>
      </c>
      <c r="S145" s="1460">
        <f>ОТЧЁТ!Y87</f>
        <v>625.1</v>
      </c>
      <c r="T145" s="1460">
        <f>ОТЧЁТ!Z87</f>
        <v>714.6</v>
      </c>
      <c r="U145" s="1460">
        <f>ОТЧЁТ!AA87</f>
        <v>1150.6</v>
      </c>
      <c r="V145" s="1460">
        <f>ОТЧЁТ!AB87</f>
        <v>1609.4</v>
      </c>
      <c r="W145" s="1460">
        <f>ОТЧЁТ!AC87</f>
        <v>2130.5</v>
      </c>
      <c r="X145" s="1460">
        <f>ОТЧЁТ!AD87</f>
        <v>3205.2</v>
      </c>
      <c r="Y145" s="1460">
        <f>ОТЧЁТ!AE87</f>
        <v>4353.9</v>
      </c>
      <c r="Z145" s="1460">
        <f>ОТЧЁТ!AF87</f>
        <v>6032.1</v>
      </c>
      <c r="AA145" s="1460">
        <f>ОТЧЁТ!AG87</f>
        <v>8970.7</v>
      </c>
      <c r="AB145" s="1460">
        <f>ОТЧЁТ!AH87</f>
        <v>12869</v>
      </c>
      <c r="AC145" s="1460">
        <f>ОТЧЁТ!AI87</f>
        <v>12975.9</v>
      </c>
      <c r="AD145" s="1460">
        <f>ОТЧЁТ!AJ87</f>
        <v>15267.6</v>
      </c>
      <c r="AE145" s="1460">
        <f>ОТЧЁТ!AK87</f>
        <v>20011.9</v>
      </c>
      <c r="AF145" s="1460">
        <f>ОТЧЁТ!AL87</f>
        <v>24204.8</v>
      </c>
      <c r="AG145" s="1460">
        <f>ОТЧЁТ!AM87</f>
        <v>27164.6</v>
      </c>
      <c r="AH145" s="1460">
        <f>ОТЧЁТ!AN87</f>
        <v>31155.6</v>
      </c>
      <c r="AI145" s="1460">
        <f>ОТЧЁТ!AO87</f>
        <v>35179.7</v>
      </c>
      <c r="AJ145" s="1460">
        <f>ОТЧЁТ!AP87</f>
        <v>38418</v>
      </c>
      <c r="AK145" s="1460">
        <f>ОТЧЁТ!AQ87</f>
        <v>42442.2</v>
      </c>
      <c r="AL145" s="1460">
        <f>ОТЧЁТ!AR87</f>
        <v>47109.3</v>
      </c>
      <c r="AM145" s="1460">
        <f>0.4832*AM89-7.2803</f>
        <v>51255.01512218084</v>
      </c>
      <c r="AN145" s="1460">
        <f t="shared" ref="AN145:BC145" si="56">0.4832*AN89-7.2803</f>
        <v>54738.08781331821</v>
      </c>
      <c r="AO145" s="1460">
        <f t="shared" si="56"/>
        <v>62003.59059177212</v>
      </c>
      <c r="AP145" s="1460">
        <f t="shared" si="56"/>
        <v>68262.23206506454</v>
      </c>
      <c r="AQ145" s="1460">
        <f t="shared" si="56"/>
        <v>75012.03082080495</v>
      </c>
      <c r="AR145" s="1460">
        <f t="shared" si="56"/>
        <v>82346.41825261511</v>
      </c>
      <c r="AS145" s="1460">
        <f t="shared" si="56"/>
        <v>90352.94243706798</v>
      </c>
      <c r="AT145" s="1460">
        <f t="shared" si="56"/>
        <v>99117.99433014602</v>
      </c>
      <c r="AU145" s="1460">
        <f t="shared" si="56"/>
        <v>108730.16927846508</v>
      </c>
      <c r="AV145" s="1460">
        <f t="shared" si="56"/>
        <v>119282.76483940301</v>
      </c>
      <c r="AW145" s="1460">
        <f t="shared" si="56"/>
        <v>130875.74494440724</v>
      </c>
      <c r="AX145" s="1460">
        <f t="shared" si="56"/>
        <v>143617.38907336022</v>
      </c>
      <c r="AY145" s="1460">
        <f t="shared" si="56"/>
        <v>157625.77268387415</v>
      </c>
      <c r="AZ145" s="1460">
        <f t="shared" si="56"/>
        <v>173030.17817738303</v>
      </c>
      <c r="BA145" s="1460">
        <f t="shared" si="56"/>
        <v>189972.50538496132</v>
      </c>
      <c r="BB145" s="1460">
        <f t="shared" si="56"/>
        <v>208608.73117772446</v>
      </c>
      <c r="BC145" s="1460">
        <f t="shared" si="56"/>
        <v>229110.45560335572</v>
      </c>
      <c r="BD145" s="1462" t="str">
        <f t="shared" si="41"/>
        <v>M2</v>
      </c>
      <c r="BH145" s="1420"/>
      <c r="BI145" s="1421"/>
      <c r="BJ145" s="1421"/>
      <c r="BK145" s="1421"/>
      <c r="BL145" s="1421"/>
      <c r="BM145" s="1421"/>
      <c r="BN145" s="1421"/>
      <c r="BO145" s="1421"/>
      <c r="BP145" s="1421"/>
    </row>
    <row r="146" ht="17.5" customHeight="1" spans="1:63" x14ac:dyDescent="0.25">
      <c r="A146" s="31" t="s">
        <v>1255</v>
      </c>
      <c r="B146" s="187"/>
      <c r="C146" s="187"/>
      <c r="D146" s="187"/>
      <c r="E146" s="31"/>
      <c r="F146" s="31"/>
      <c r="G146" s="1481" t="s">
        <v>795</v>
      </c>
      <c r="H146" s="1443">
        <v>48</v>
      </c>
      <c r="I146" s="1482" t="s">
        <v>1083</v>
      </c>
      <c r="J146" s="1483"/>
      <c r="K146" s="1483"/>
      <c r="L146" s="1483"/>
      <c r="M146" s="1483"/>
      <c r="N146" s="1483"/>
      <c r="O146" s="1493">
        <f>ОТЧЁТ!U91</f>
        <v>64.055</v>
      </c>
      <c r="P146" s="1465">
        <f>ОТЧЁТ!V91</f>
        <v>62.928</v>
      </c>
      <c r="Q146" s="1465">
        <f>ОТЧЁТ!W91</f>
        <v>60.021</v>
      </c>
      <c r="R146" s="1465">
        <f>ОТЧЁТ!X91</f>
        <v>58.437</v>
      </c>
      <c r="S146" s="1465">
        <f>ОТЧЁТ!Y91</f>
        <v>63.082</v>
      </c>
      <c r="T146" s="1465">
        <f>ОТЧЁТ!Z91</f>
        <v>65.07</v>
      </c>
      <c r="U146" s="1465">
        <f>ОТЧЁТ!AA91</f>
        <v>65.123</v>
      </c>
      <c r="V146" s="1465">
        <f>ОТЧЁТ!AB91</f>
        <v>66.659</v>
      </c>
      <c r="W146" s="1465">
        <f>ОТЧЁТ!AC91</f>
        <v>66.339</v>
      </c>
      <c r="X146" s="1465">
        <f>ОТЧЁТ!AD91</f>
        <v>67.319</v>
      </c>
      <c r="Y146" s="1465">
        <f>ОТЧЁТ!AE91</f>
        <v>68.339</v>
      </c>
      <c r="Z146" s="1465">
        <f>ОТЧЁТ!AF91</f>
        <v>69.169</v>
      </c>
      <c r="AA146" s="1465">
        <f>ОТЧЁТ!AG91</f>
        <v>70.77</v>
      </c>
      <c r="AB146" s="1465">
        <f>ОТЧЁТ!AH91</f>
        <v>71.003</v>
      </c>
      <c r="AC146" s="1465">
        <f>ОТЧЁТ!AI91</f>
        <v>69.41</v>
      </c>
      <c r="AD146" s="1465">
        <f>ОТЧЁТ!AJ91</f>
        <v>69.93370846147305</v>
      </c>
      <c r="AE146" s="1465">
        <f>ОТЧЁТ!AK91</f>
        <v>70.85661311334043</v>
      </c>
      <c r="AF146" s="1465">
        <f>ОТЧЁТ!AL91</f>
        <v>71.54541586357954</v>
      </c>
      <c r="AG146" s="1465">
        <f>ОТЧЁТ!AM91</f>
        <v>71.391459581339</v>
      </c>
      <c r="AH146" s="1465">
        <f>ОТЧЁТ!AN91</f>
        <v>71.539043569578</v>
      </c>
      <c r="AI146" s="1465">
        <f>ОТЧЁТ!AO91</f>
        <v>72.323622532452</v>
      </c>
      <c r="AJ146" s="1465">
        <f>ОТЧЁТ!AP91</f>
        <v>72.393</v>
      </c>
      <c r="AK146" s="1465">
        <f>ОТЧЁТ!AQ91</f>
        <v>72.142</v>
      </c>
      <c r="AL146" s="1465">
        <f>ОТЧЁТ!AR91</f>
        <v>72.354</v>
      </c>
      <c r="AM146" s="1468">
        <f>0.0071*AM127+52.535</f>
        <v>73.18983456105296</v>
      </c>
      <c r="AN146" s="1468">
        <f t="shared" ref="AN146:BC146" si="57">0.0071*AN127+52.535</f>
        <v>73.70873092343433</v>
      </c>
      <c r="AO146" s="1468">
        <f t="shared" si="57"/>
        <v>74.6262912141103</v>
      </c>
      <c r="AP146" s="1468">
        <f t="shared" si="57"/>
        <v>75.35563102517942</v>
      </c>
      <c r="AQ146" s="1468">
        <f t="shared" si="57"/>
        <v>76.07163891997726</v>
      </c>
      <c r="AR146" s="1468">
        <f t="shared" si="57"/>
        <v>76.7925600285244</v>
      </c>
      <c r="AS146" s="1468">
        <f t="shared" si="57"/>
        <v>77.53019111922475</v>
      </c>
      <c r="AT146" s="1468">
        <f t="shared" si="57"/>
        <v>78.29240769804689</v>
      </c>
      <c r="AU146" s="1468">
        <f t="shared" si="57"/>
        <v>79.08471297294608</v>
      </c>
      <c r="AV146" s="1468">
        <f t="shared" si="57"/>
        <v>79.91118818123199</v>
      </c>
      <c r="AW146" s="1468">
        <f t="shared" si="57"/>
        <v>80.77507642035835</v>
      </c>
      <c r="AX146" s="1468">
        <f t="shared" si="57"/>
        <v>81.67914204007872</v>
      </c>
      <c r="AY146" s="1468">
        <f t="shared" si="57"/>
        <v>82.6258925631476</v>
      </c>
      <c r="AZ146" s="1468">
        <f t="shared" si="57"/>
        <v>83.6177163974699</v>
      </c>
      <c r="BA146" s="1468">
        <f t="shared" si="57"/>
        <v>84.65696897455216</v>
      </c>
      <c r="BB146" s="1468">
        <f t="shared" si="57"/>
        <v>85.7460273192936</v>
      </c>
      <c r="BC146" s="1468">
        <f t="shared" si="57"/>
        <v>86.88732532044455</v>
      </c>
      <c r="BD146" s="1462" t="str">
        <f t="shared" si="41"/>
        <v>LZ</v>
      </c>
      <c r="BH146" s="1420"/>
      <c r="BI146" s="1421"/>
      <c r="BJ146" s="1421"/>
      <c r="BK146" s="1420"/>
    </row>
    <row r="147" ht="17.5" customHeight="1" spans="1:63" x14ac:dyDescent="0.25">
      <c r="A147" s="31" t="s">
        <v>1256</v>
      </c>
      <c r="B147" s="187"/>
      <c r="C147" s="187"/>
      <c r="D147" s="187"/>
      <c r="E147" s="31"/>
      <c r="F147" s="31"/>
      <c r="G147" s="1481" t="s">
        <v>401</v>
      </c>
      <c r="H147" s="1443">
        <v>49</v>
      </c>
      <c r="I147" s="1482" t="s">
        <v>1257</v>
      </c>
      <c r="J147" s="1483"/>
      <c r="K147" s="1483"/>
      <c r="L147" s="1483"/>
      <c r="M147" s="1483"/>
      <c r="N147" s="1483"/>
      <c r="O147" s="1378">
        <f>ОТЧЁТ!U93</f>
        <v>6.684</v>
      </c>
      <c r="P147" s="1369">
        <f>ОТЧЁТ!V93</f>
        <v>6.732</v>
      </c>
      <c r="Q147" s="1369">
        <f>ОТЧЁТ!W93</f>
        <v>8.058</v>
      </c>
      <c r="R147" s="1369">
        <f>ОТЧЁТ!X93</f>
        <v>8.902</v>
      </c>
      <c r="S147" s="1369">
        <f>ОТЧЁТ!Y93</f>
        <v>9.094</v>
      </c>
      <c r="T147" s="1369">
        <f>ОТЧЁТ!Z93</f>
        <v>7.700000000000003</v>
      </c>
      <c r="U147" s="1369">
        <f>ОТЧЁТ!AA93</f>
        <v>6.421999999999997</v>
      </c>
      <c r="V147" s="1369">
        <f>ОТЧЁТ!AB93</f>
        <v>5.697999999999993</v>
      </c>
      <c r="W147" s="1369">
        <f>ОТЧЁТ!AC93</f>
        <v>5.9339999999999975</v>
      </c>
      <c r="X147" s="1369">
        <f>ОТЧЁТ!AD93</f>
        <v>5.665999999999997</v>
      </c>
      <c r="Y147" s="1369">
        <f>ОТЧЁТ!AE93</f>
        <v>5.242000000000004</v>
      </c>
      <c r="Z147" s="1369">
        <f>ОТЧЁТ!AF93</f>
        <v>5.25</v>
      </c>
      <c r="AA147" s="1369">
        <f>ОТЧЁТ!AG93</f>
        <v>4.5190000000000055</v>
      </c>
      <c r="AB147" s="1369">
        <f>ОТЧЁТ!AH93</f>
        <v>4.697000000000003</v>
      </c>
      <c r="AC147" s="1369">
        <f>ОТЧЁТ!AI93</f>
        <v>6.284000000000006</v>
      </c>
      <c r="AD147" s="1369">
        <f>ОТЧЁТ!AJ93</f>
        <v>5.544165583815838</v>
      </c>
      <c r="AE147" s="1369">
        <f>ОТЧЁТ!AK93</f>
        <v>4.922399755454807</v>
      </c>
      <c r="AF147" s="1369">
        <f>ОТЧЁТ!AL93</f>
        <v>4.130659994510245</v>
      </c>
      <c r="AG147" s="1369">
        <f>ОТЧЁТ!AM93</f>
        <v>4.137443347976</v>
      </c>
      <c r="AH147" s="1369">
        <f>ОТЧЁТ!AN93</f>
        <v>3.889373856792</v>
      </c>
      <c r="AI147" s="1369">
        <f>ОТЧЁТ!AO93</f>
        <v>4.263926593338001</v>
      </c>
      <c r="AJ147" s="1369">
        <f>ОТЧЁТ!AP93</f>
        <v>4.243</v>
      </c>
      <c r="AK147" s="1369">
        <f>ОТЧЁТ!AQ93</f>
        <v>3.967</v>
      </c>
      <c r="AL147" s="1369">
        <f>ОТЧЁТ!AR93</f>
        <v>3.657</v>
      </c>
      <c r="AM147" s="1369">
        <f>AM8-AM146</f>
        <v>2.710165438947044</v>
      </c>
      <c r="AN147" s="1369">
        <f t="shared" ref="AN147:BC147" si="58">AN8-AN146</f>
        <v>4.042269076565674</v>
      </c>
      <c r="AO147" s="1369">
        <f t="shared" si="58"/>
        <v>3.092908785889705</v>
      </c>
      <c r="AP147" s="1369">
        <f t="shared" si="58"/>
        <v>2.3211689748205657</v>
      </c>
      <c r="AQ147" s="1369">
        <f t="shared" si="58"/>
        <v>1.5415610800227313</v>
      </c>
      <c r="AR147" s="1369">
        <f t="shared" si="58"/>
        <v>0.757039971475578</v>
      </c>
      <c r="AS147" s="1369">
        <f t="shared" si="58"/>
        <v>-0.06539111922477048</v>
      </c>
      <c r="AT147" s="1369">
        <f t="shared" si="58"/>
        <v>-0.9124076980468914</v>
      </c>
      <c r="AU147" s="1369">
        <f t="shared" si="58"/>
        <v>-1.7895129729460848</v>
      </c>
      <c r="AV147" s="1369">
        <f t="shared" si="58"/>
        <v>-2.7007881812319994</v>
      </c>
      <c r="AW147" s="1369">
        <f t="shared" si="58"/>
        <v>-3.660076420358351</v>
      </c>
      <c r="AX147" s="1369">
        <f t="shared" si="58"/>
        <v>-4.659542040078733</v>
      </c>
      <c r="AY147" s="1369">
        <f t="shared" si="58"/>
        <v>-5.701692563147617</v>
      </c>
      <c r="AZ147" s="1369">
        <f t="shared" si="58"/>
        <v>-6.788916397469933</v>
      </c>
      <c r="BA147" s="1369">
        <f t="shared" si="58"/>
        <v>-7.934168974552179</v>
      </c>
      <c r="BB147" s="1369">
        <f t="shared" si="58"/>
        <v>-9.118627319293623</v>
      </c>
      <c r="BC147" s="1369">
        <f t="shared" si="58"/>
        <v>-10.355325320444564</v>
      </c>
      <c r="BD147" s="1462" t="str">
        <f t="shared" si="41"/>
        <v>BZ</v>
      </c>
      <c r="BH147" s="1420"/>
      <c r="BI147" s="1421"/>
      <c r="BJ147" s="1421"/>
      <c r="BK147" s="1420"/>
    </row>
    <row r="148" ht="17.5" customHeight="1" spans="1:63" x14ac:dyDescent="0.25">
      <c r="A148" s="31" t="s">
        <v>1258</v>
      </c>
      <c r="B148" s="187"/>
      <c r="C148" s="187"/>
      <c r="D148" s="187"/>
      <c r="E148" s="31"/>
      <c r="F148" s="31"/>
      <c r="G148" s="1481" t="s">
        <v>1076</v>
      </c>
      <c r="H148" s="1443">
        <v>50</v>
      </c>
      <c r="I148" s="1482" t="s">
        <v>1075</v>
      </c>
      <c r="J148" s="1483"/>
      <c r="K148" s="1483"/>
      <c r="L148" s="1483"/>
      <c r="M148" s="1483"/>
      <c r="N148" s="1483"/>
      <c r="O148" s="1492">
        <f>ОТЧЁТ!U89</f>
        <v>910.9</v>
      </c>
      <c r="P148" s="1460">
        <f>ОТЧЁТ!V89</f>
        <v>1357.1</v>
      </c>
      <c r="Q148" s="1460">
        <f>ОТЧЁТ!W89</f>
        <v>1656.4</v>
      </c>
      <c r="R148" s="1460">
        <f>ОТЧЁТ!X89</f>
        <v>1776</v>
      </c>
      <c r="S148" s="1460">
        <f>ОТЧЁТ!Y89</f>
        <v>2908.1</v>
      </c>
      <c r="T148" s="1460">
        <f>ОТЧЁТ!Z89</f>
        <v>3983.9</v>
      </c>
      <c r="U148" s="1460">
        <f>ОТЧЁТ!AA89</f>
        <v>5325.8</v>
      </c>
      <c r="V148" s="1460">
        <f>ОТЧЁТ!AB89</f>
        <v>6831</v>
      </c>
      <c r="W148" s="1460">
        <f>ОТЧЁТ!AC89</f>
        <v>8900.5</v>
      </c>
      <c r="X148" s="1460">
        <f>ОТЧЁТ!AD89</f>
        <v>10976.3</v>
      </c>
      <c r="Y148" s="1460">
        <f>ОТЧЁТ!AE89</f>
        <v>13819</v>
      </c>
      <c r="Z148" s="1460">
        <f>ОТЧЁТ!AF89</f>
        <v>17290.1</v>
      </c>
      <c r="AA148" s="1460">
        <f>ОТЧЁТ!AG89</f>
        <v>21311.5</v>
      </c>
      <c r="AB148" s="1460">
        <f>ОТЧЁТ!AH89</f>
        <v>25244</v>
      </c>
      <c r="AC148" s="1460">
        <f>ОТЧЁТ!AI89</f>
        <v>28697.5</v>
      </c>
      <c r="AD148" s="1460">
        <f>ОТЧЁТ!AJ89</f>
        <v>32498.3</v>
      </c>
      <c r="AE148" s="1460">
        <f>ОТЧЁТ!AK89</f>
        <v>35648.7</v>
      </c>
      <c r="AF148" s="1460">
        <f>ОТЧЁТ!AL89</f>
        <v>39904</v>
      </c>
      <c r="AG148" s="1460">
        <f>ОТЧЁТ!AM89</f>
        <v>44650</v>
      </c>
      <c r="AH148" s="1460">
        <f>ОТЧЁТ!AN89</f>
        <v>47921</v>
      </c>
      <c r="AI148" s="1460">
        <f>ОТЧЁТ!AO89</f>
        <v>53526</v>
      </c>
      <c r="AJ148" s="1460">
        <f>ОТЧЁТ!AP89</f>
        <v>54117</v>
      </c>
      <c r="AK148" s="1460">
        <f>ОТЧЁТ!AQ89</f>
        <v>55368</v>
      </c>
      <c r="AL148" s="1460">
        <f>ОТЧЁТ!AR89</f>
        <v>57500</v>
      </c>
      <c r="AM148" s="1460">
        <f>0.1909*AM89+37701</f>
        <v>57953.42590251308</v>
      </c>
      <c r="AN148" s="1460">
        <f t="shared" ref="AN148:BC148" si="59">0.1909*AN89+37701</f>
        <v>59329.49911596118</v>
      </c>
      <c r="AO148" s="1460">
        <f t="shared" si="59"/>
        <v>62199.91401746543</v>
      </c>
      <c r="AP148" s="1460">
        <f t="shared" si="59"/>
        <v>64672.54368892967</v>
      </c>
      <c r="AQ148" s="1460">
        <f t="shared" si="59"/>
        <v>67339.21707980477</v>
      </c>
      <c r="AR148" s="1460">
        <f t="shared" si="59"/>
        <v>70236.8465515195</v>
      </c>
      <c r="AS148" s="1460">
        <f t="shared" si="59"/>
        <v>73400.0201169418</v>
      </c>
      <c r="AT148" s="1460">
        <f t="shared" si="59"/>
        <v>76862.868640097</v>
      </c>
      <c r="AU148" s="1460">
        <f t="shared" si="59"/>
        <v>80660.39388354507</v>
      </c>
      <c r="AV148" s="1460">
        <f t="shared" si="59"/>
        <v>84829.45533342722</v>
      </c>
      <c r="AW148" s="1460">
        <f t="shared" si="59"/>
        <v>89409.54619030906</v>
      </c>
      <c r="AX148" s="1460">
        <f t="shared" si="59"/>
        <v>94443.44491592397</v>
      </c>
      <c r="AY148" s="1460">
        <f t="shared" si="59"/>
        <v>99977.80011304133</v>
      </c>
      <c r="AZ148" s="1460">
        <f t="shared" si="59"/>
        <v>106063.68796219458</v>
      </c>
      <c r="BA148" s="1460">
        <f t="shared" si="59"/>
        <v>112757.16946866538</v>
      </c>
      <c r="BB148" s="1460">
        <f t="shared" si="59"/>
        <v>120119.86711733774</v>
      </c>
      <c r="BC148" s="1460">
        <f t="shared" si="59"/>
        <v>128219.5757118183</v>
      </c>
      <c r="BD148" s="1462" t="str">
        <f>G148</f>
        <v>DH</v>
      </c>
      <c r="BH148" s="1420"/>
      <c r="BI148" s="1421"/>
      <c r="BJ148" s="1421"/>
      <c r="BK148" s="1420"/>
    </row>
    <row r="149" ht="15.5" customHeight="1" spans="1:56" x14ac:dyDescent="0.25">
      <c r="A149" s="31" t="s">
        <v>1259</v>
      </c>
      <c r="B149" s="187"/>
      <c r="C149" s="187"/>
      <c r="D149" s="187"/>
      <c r="E149" s="31"/>
      <c r="F149" s="31"/>
      <c r="G149" s="1481" t="s">
        <v>1260</v>
      </c>
      <c r="H149" s="1443">
        <v>51</v>
      </c>
      <c r="I149" s="1482" t="s">
        <v>1232</v>
      </c>
      <c r="J149" s="1483"/>
      <c r="K149" s="1483"/>
      <c r="L149" s="1483"/>
      <c r="M149" s="1483"/>
      <c r="N149" s="1483"/>
      <c r="O149" s="1491">
        <v>911</v>
      </c>
      <c r="P149" s="1460">
        <f>P148/P14</f>
        <v>1114.2036124794745</v>
      </c>
      <c r="Q149" s="1460">
        <f t="shared" ref="Q149:AL149" si="60">Q148/Q14</f>
        <v>1225.1660527522595</v>
      </c>
      <c r="R149" s="1460">
        <f t="shared" si="60"/>
        <v>712.3800975248352</v>
      </c>
      <c r="S149" s="1460">
        <f t="shared" si="60"/>
        <v>854.5657862307252</v>
      </c>
      <c r="T149" s="1460">
        <f t="shared" si="60"/>
        <v>973.9577681285596</v>
      </c>
      <c r="U149" s="1460">
        <f t="shared" si="60"/>
        <v>1097.8218276071905</v>
      </c>
      <c r="V149" s="1460">
        <f t="shared" si="60"/>
        <v>1223.36477039425</v>
      </c>
      <c r="W149" s="1460">
        <f t="shared" si="60"/>
        <v>1423.2069842961212</v>
      </c>
      <c r="X149" s="1460">
        <f t="shared" si="60"/>
        <v>1571.2904002535859</v>
      </c>
      <c r="Y149" s="1460">
        <f t="shared" si="60"/>
        <v>1783.797534785666</v>
      </c>
      <c r="Z149" s="1460">
        <f t="shared" si="60"/>
        <v>2047.5756192741967</v>
      </c>
      <c r="AA149" s="1460">
        <f t="shared" si="60"/>
        <v>2256.0193741607286</v>
      </c>
      <c r="AB149" s="1460">
        <f t="shared" si="60"/>
        <v>2359.0314873246793</v>
      </c>
      <c r="AC149" s="1460">
        <f t="shared" si="60"/>
        <v>2464.851363468284</v>
      </c>
      <c r="AD149" s="1460">
        <f t="shared" si="60"/>
        <v>2566.0094993454422</v>
      </c>
      <c r="AE149" s="1460">
        <f t="shared" si="60"/>
        <v>2652.930846971204</v>
      </c>
      <c r="AF149" s="1460">
        <f t="shared" si="60"/>
        <v>2786.268392609167</v>
      </c>
      <c r="AG149" s="1460">
        <f t="shared" si="60"/>
        <v>2928.7500835730348</v>
      </c>
      <c r="AH149" s="1460">
        <f t="shared" si="60"/>
        <v>2766.995109752366</v>
      </c>
      <c r="AI149" s="1460">
        <f t="shared" si="60"/>
        <v>2737.495205555873</v>
      </c>
      <c r="AJ149" s="1460">
        <f t="shared" si="60"/>
        <v>2626.170304619906</v>
      </c>
      <c r="AK149" s="1460">
        <f t="shared" si="60"/>
        <v>2621.0890474179846</v>
      </c>
      <c r="AL149" s="1460">
        <f t="shared" si="60"/>
        <v>2610.796750845255</v>
      </c>
      <c r="AM149" s="1460">
        <f>AM148/AM14</f>
        <v>2553.750608402518</v>
      </c>
      <c r="AN149" s="1460">
        <f t="shared" ref="AN149" si="61">AN148/AN14</f>
        <v>2492.0294115444613</v>
      </c>
      <c r="AO149" s="1460">
        <f t="shared" ref="AO149" si="62">AO148/AO14</f>
        <v>2488.186715701886</v>
      </c>
      <c r="AP149" s="1460">
        <f t="shared" ref="AP149" si="63">AP148/AP14</f>
        <v>2463.904249315779</v>
      </c>
      <c r="AQ149" s="1460">
        <f t="shared" ref="AQ149" si="64">AQ148/AQ14</f>
        <v>2443.3329250431875</v>
      </c>
      <c r="AR149" s="1460">
        <f t="shared" ref="AR149" si="65">AR148/AR14</f>
        <v>2427.114641824096</v>
      </c>
      <c r="AS149" s="1460">
        <f t="shared" ref="AS149" si="66">AS148/AS14</f>
        <v>2415.6397387358898</v>
      </c>
      <c r="AT149" s="1460">
        <f t="shared" ref="AT149" si="67">AT148/AT14</f>
        <v>2409.146866904817</v>
      </c>
      <c r="AU149" s="1460">
        <f t="shared" ref="AU149" si="68">AU148/AU14</f>
        <v>2407.785123049387</v>
      </c>
      <c r="AV149" s="1460">
        <f t="shared" ref="AV149" si="69">AV148/AV14</f>
        <v>2411.652712058527</v>
      </c>
      <c r="AW149" s="1460">
        <f t="shared" ref="AW149" si="70">AW148/AW14</f>
        <v>2420.821014814848</v>
      </c>
      <c r="AX149" s="1460">
        <f t="shared" ref="AX149" si="71">AX148/AX14</f>
        <v>2435.349583869721</v>
      </c>
      <c r="AY149" s="1460">
        <f t="shared" ref="AY149" si="72">AY148/AY14</f>
        <v>2455.2955033238436</v>
      </c>
      <c r="AZ149" s="1460">
        <f t="shared" ref="AZ149" si="73">AZ148/AZ14</f>
        <v>2480.719251341175</v>
      </c>
      <c r="BA149" s="1460">
        <f t="shared" ref="BA149" si="74">BA148/BA14</f>
        <v>2511.688396192769</v>
      </c>
      <c r="BB149" s="1460">
        <f t="shared" ref="BB149" si="75">BB148/BB14</f>
        <v>2548.2799542763178</v>
      </c>
      <c r="BC149" s="1460">
        <f t="shared" ref="BC149" si="76">BC148/BC14</f>
        <v>2590.58192591405</v>
      </c>
      <c r="BD149" s="1462" t="str">
        <f t="shared" si="41"/>
        <v>RDH</v>
      </c>
    </row>
    <row r="150" ht="15.5" customHeight="1" spans="1:56" x14ac:dyDescent="0.25">
      <c r="A150" s="31" t="s">
        <v>1119</v>
      </c>
      <c r="B150" s="187"/>
      <c r="C150" s="187"/>
      <c r="D150" s="187"/>
      <c r="E150" s="31"/>
      <c r="F150" s="31"/>
      <c r="G150" s="1481" t="s">
        <v>1118</v>
      </c>
      <c r="H150" s="1443">
        <v>52</v>
      </c>
      <c r="I150" s="1482" t="s">
        <v>1117</v>
      </c>
      <c r="J150" s="1483"/>
      <c r="K150" s="1483"/>
      <c r="L150" s="1483"/>
      <c r="M150" s="1483"/>
      <c r="N150" s="1483"/>
      <c r="O150" s="1491">
        <f>ОТЧЁТ!U89-ОТЧЁТ!U88</f>
        <v>263.03</v>
      </c>
      <c r="P150" s="1460">
        <f>ОТЧЁТ!V89-ОТЧЁТ!V88</f>
        <v>334.4599999999999</v>
      </c>
      <c r="Q150" s="1460">
        <f>ОТЧЁТ!W89-ОТЧЁТ!W88</f>
        <v>453.5</v>
      </c>
      <c r="R150" s="1460">
        <f>ОТЧЁТ!X89-ОТЧЁТ!X88</f>
        <v>512.953</v>
      </c>
      <c r="S150" s="1460">
        <f>ОТЧЁТ!Y89-ОТЧЁТ!Y88</f>
        <v>974.4939999999999</v>
      </c>
      <c r="T150" s="1460">
        <f>ОТЧЁТ!Z89-ОТЧЁТ!Z88</f>
        <v>1046.67</v>
      </c>
      <c r="U150" s="1460">
        <f>ОТЧЁТ!AA89-ОТЧЁТ!AA88</f>
        <v>1477.4</v>
      </c>
      <c r="V150" s="1460">
        <f>ОТЧЁТ!AB89-ОТЧЁТ!AB88</f>
        <v>1765.8999999999996</v>
      </c>
      <c r="W150" s="1460">
        <f>ОТЧЁТ!AC89-ОТЧЁТ!AC88</f>
        <v>2669.1130000000003</v>
      </c>
      <c r="X150" s="1460">
        <f>ОТЧЁТ!AD89-ОТЧЁТ!AD88</f>
        <v>3131.262999999999</v>
      </c>
      <c r="Y150" s="1460">
        <f>ОТЧЁТ!AE89-ОТЧЁТ!AE88</f>
        <v>4379.173000000001</v>
      </c>
      <c r="Z150" s="1460">
        <f>ОТЧЁТ!AF89-ОТЧЁТ!AF88</f>
        <v>5304.194999999998</v>
      </c>
      <c r="AA150" s="1460">
        <f>ОТЧЁТ!AG89-ОТЧЁТ!AG88</f>
        <v>5785.389999999999</v>
      </c>
      <c r="AB150" s="1460">
        <f>ОТЧЁТ!AH89-ОТЧЁТ!AH88</f>
        <v>5684.240000000002</v>
      </c>
      <c r="AC150" s="1460">
        <f>ОТЧЁТ!AI89-ОТЧЁТ!AI88</f>
        <v>8285.89</v>
      </c>
      <c r="AD150" s="1460">
        <f>ОТЧЁТ!AJ89-ОТЧЁТ!AJ88</f>
        <v>9502.669999999998</v>
      </c>
      <c r="AE150" s="1460">
        <f>ОТЧЁТ!AK89-ОТЧЁТ!AK88</f>
        <v>9262.024599999997</v>
      </c>
      <c r="AF150" s="1460">
        <f>ОТЧЁТ!AL89-ОТЧЁТ!AL88</f>
        <v>9702.838500000002</v>
      </c>
      <c r="AG150" s="1460">
        <f>ОТЧЁТ!AM89-ОТЧЁТ!AM88</f>
        <v>10857.717799999999</v>
      </c>
      <c r="AH150" s="1460">
        <f>ОТЧЁТ!AN89-ОТЧЁТ!AN88</f>
        <v>10490.54</v>
      </c>
      <c r="AI150" s="1460">
        <f>ОТЧЁТ!AO89-ОТЧЁТ!AO88</f>
        <v>15780.510000000002</v>
      </c>
      <c r="AJ150" s="1460">
        <f>ОТЧЁТ!AP89-ОТЧЁТ!AP88</f>
        <v>12871.64</v>
      </c>
      <c r="AK150" s="1460">
        <f>ОТЧЁТ!AQ89-ОТЧЁТ!AQ88</f>
        <v>11483.68</v>
      </c>
      <c r="AL150" s="1460">
        <f>ОТЧЁТ!AR89-ОТЧЁТ!AR88</f>
        <v>9255.629999999997</v>
      </c>
      <c r="AM150" s="1460">
        <f>-0.2007*AM89+30064</f>
        <v>8771.90005953706</v>
      </c>
      <c r="AN150" s="1460">
        <f t="shared" ref="AN150:BC150" si="77">-0.2007*AN89+30064</f>
        <v>7325.185057237242</v>
      </c>
      <c r="AO150" s="1460">
        <f t="shared" si="77"/>
        <v>4307.41517388522</v>
      </c>
      <c r="AP150" s="1460">
        <f t="shared" si="77"/>
        <v>1707.8511347921121</v>
      </c>
      <c r="AQ150" s="1460">
        <f t="shared" si="77"/>
        <v>-1095.7180089932808</v>
      </c>
      <c r="AR150" s="1460">
        <f t="shared" si="77"/>
        <v>-4142.099543687604</v>
      </c>
      <c r="AS150" s="1460">
        <f t="shared" si="77"/>
        <v>-7467.657084705177</v>
      </c>
      <c r="AT150" s="1460">
        <f t="shared" si="77"/>
        <v>-11108.273630526288</v>
      </c>
      <c r="AU150" s="1460">
        <f t="shared" si="77"/>
        <v>-15100.747786419575</v>
      </c>
      <c r="AV150" s="1460">
        <f t="shared" si="77"/>
        <v>-19483.831248920083</v>
      </c>
      <c r="AW150" s="1460">
        <f t="shared" si="77"/>
        <v>-24299.044632765996</v>
      </c>
      <c r="AX150" s="1460">
        <f t="shared" si="77"/>
        <v>-29591.362465300896</v>
      </c>
      <c r="AY150" s="1460">
        <f t="shared" si="77"/>
        <v>-35409.828091605006</v>
      </c>
      <c r="AZ150" s="1460">
        <f t="shared" si="77"/>
        <v>-41808.13972767131</v>
      </c>
      <c r="BA150" s="1460">
        <f t="shared" si="77"/>
        <v>-48845.23631409713</v>
      </c>
      <c r="BB150" s="1460">
        <f t="shared" si="77"/>
        <v>-56585.903773963786</v>
      </c>
      <c r="BC150" s="1460">
        <f t="shared" si="77"/>
        <v>-65101.41720985822</v>
      </c>
      <c r="BD150" s="1462" t="str">
        <f t="shared" si="41"/>
        <v>PDH</v>
      </c>
    </row>
    <row r="151" ht="15.5" customHeight="1" spans="1:56" x14ac:dyDescent="0.25">
      <c r="A151" s="31" t="s">
        <v>1261</v>
      </c>
      <c r="B151" s="187"/>
      <c r="C151" s="187"/>
      <c r="D151" s="187"/>
      <c r="E151" s="31"/>
      <c r="F151" s="31"/>
      <c r="G151" s="1481" t="s">
        <v>368</v>
      </c>
      <c r="H151" s="1443">
        <v>53</v>
      </c>
      <c r="I151" s="1482" t="s">
        <v>1238</v>
      </c>
      <c r="J151" s="1483"/>
      <c r="K151" s="1483"/>
      <c r="L151" s="1483"/>
      <c r="M151" s="1483"/>
      <c r="N151" s="1483"/>
      <c r="O151" s="1491">
        <f>ОТЧЁТ!U88</f>
        <v>647.87</v>
      </c>
      <c r="P151" s="1460">
        <f>ОТЧЁТ!V88</f>
        <v>1022.64</v>
      </c>
      <c r="Q151" s="1460">
        <f>ОТЧЁТ!W88</f>
        <v>1202.9</v>
      </c>
      <c r="R151" s="1460">
        <f>ОТЧЁТ!X88</f>
        <v>1263.047</v>
      </c>
      <c r="S151" s="1460">
        <f>ОТЧЁТ!Y88</f>
        <v>1933.606</v>
      </c>
      <c r="T151" s="1460">
        <f>ОТЧЁТ!Z88</f>
        <v>2937.23</v>
      </c>
      <c r="U151" s="1460">
        <f>ОТЧЁТ!AA88</f>
        <v>3848.4</v>
      </c>
      <c r="V151" s="1460">
        <f>ОТЧЁТ!AB88</f>
        <v>5065.1</v>
      </c>
      <c r="W151" s="1460">
        <f>ОТЧЁТ!AC88</f>
        <v>6231.387</v>
      </c>
      <c r="X151" s="1460">
        <f>ОТЧЁТ!AD88</f>
        <v>7845.037</v>
      </c>
      <c r="Y151" s="1460">
        <f>ОТЧЁТ!AE88</f>
        <v>9439.827</v>
      </c>
      <c r="Z151" s="1460">
        <f>ОТЧЁТ!AF88</f>
        <v>11985.905</v>
      </c>
      <c r="AA151" s="1460">
        <f>ОТЧЁТ!AG88</f>
        <v>15526.11</v>
      </c>
      <c r="AB151" s="1460">
        <f>ОТЧЁТ!AH88</f>
        <v>19559.76</v>
      </c>
      <c r="AC151" s="1460">
        <f>ОТЧЁТ!AI88</f>
        <v>20411.61</v>
      </c>
      <c r="AD151" s="1460">
        <f>ОТЧЁТ!AJ88</f>
        <v>22995.63</v>
      </c>
      <c r="AE151" s="1460">
        <f>ОТЧЁТ!AK88</f>
        <v>26386.6754</v>
      </c>
      <c r="AF151" s="1460">
        <f>ОТЧЁТ!AL88</f>
        <v>30201.1615</v>
      </c>
      <c r="AG151" s="1460">
        <f>ОТЧЁТ!AM88</f>
        <v>33792.2822</v>
      </c>
      <c r="AH151" s="1460">
        <f>ОТЧЁТ!AN88</f>
        <v>37430.46</v>
      </c>
      <c r="AI151" s="1460">
        <f>ОТЧЁТ!AO88</f>
        <v>37745.49</v>
      </c>
      <c r="AJ151" s="1460">
        <f>ОТЧЁТ!AP88</f>
        <v>41245.36</v>
      </c>
      <c r="AK151" s="1460">
        <f>ОТЧЁТ!AQ88</f>
        <v>43884.32</v>
      </c>
      <c r="AL151" s="1460">
        <f>ОТЧЁТ!AR88</f>
        <v>48244.37</v>
      </c>
      <c r="AM151" s="1460">
        <f>0.3889*AM89+7900.7</f>
        <v>49158.78503660208</v>
      </c>
      <c r="AN151" s="1460">
        <f t="shared" ref="AN151:BC151" si="78">0.3889*AN89+7900.7</f>
        <v>51962.11071868678</v>
      </c>
      <c r="AO151" s="1460">
        <f t="shared" si="78"/>
        <v>57809.69770242172</v>
      </c>
      <c r="AP151" s="1460">
        <f t="shared" si="78"/>
        <v>62846.91969944867</v>
      </c>
      <c r="AQ151" s="1460">
        <f t="shared" si="78"/>
        <v>68279.44605728694</v>
      </c>
      <c r="AR151" s="1460">
        <f t="shared" si="78"/>
        <v>74182.47435246692</v>
      </c>
      <c r="AS151" s="1460">
        <f t="shared" si="78"/>
        <v>80626.46701665095</v>
      </c>
      <c r="AT151" s="1460">
        <f t="shared" si="78"/>
        <v>87680.95518142339</v>
      </c>
      <c r="AU151" s="1460">
        <f t="shared" si="78"/>
        <v>95417.24416611147</v>
      </c>
      <c r="AV151" s="1460">
        <f t="shared" si="78"/>
        <v>103910.42383011969</v>
      </c>
      <c r="AW151" s="1460">
        <f t="shared" si="78"/>
        <v>113240.94941545938</v>
      </c>
      <c r="AX151" s="1460">
        <f t="shared" si="78"/>
        <v>123495.96887272307</v>
      </c>
      <c r="AY151" s="1460">
        <f t="shared" si="78"/>
        <v>134770.5143738176</v>
      </c>
      <c r="AZ151" s="1460">
        <f t="shared" si="78"/>
        <v>147168.63791774478</v>
      </c>
      <c r="BA151" s="1460">
        <f t="shared" si="78"/>
        <v>160804.54654983748</v>
      </c>
      <c r="BB151" s="1460">
        <f t="shared" si="78"/>
        <v>175803.77711855766</v>
      </c>
      <c r="BC151" s="1460">
        <f t="shared" si="78"/>
        <v>192304.4406722166</v>
      </c>
      <c r="BD151" s="1462" t="str">
        <f t="shared" si="41"/>
        <v>OT</v>
      </c>
    </row>
    <row r="152" ht="15.5" customHeight="1" spans="1:56" x14ac:dyDescent="0.25">
      <c r="A152" s="31" t="s">
        <v>1262</v>
      </c>
      <c r="B152" s="187"/>
      <c r="C152" s="187"/>
      <c r="D152" s="187"/>
      <c r="E152" s="31"/>
      <c r="F152" s="31"/>
      <c r="G152" s="1481" t="s">
        <v>1076</v>
      </c>
      <c r="H152" s="1443">
        <v>54</v>
      </c>
      <c r="I152" s="1482" t="s">
        <v>1241</v>
      </c>
      <c r="J152" s="1483"/>
      <c r="K152" s="1483"/>
      <c r="L152" s="1483"/>
      <c r="M152" s="1483"/>
      <c r="N152" s="1483"/>
      <c r="O152" s="1491">
        <f>O148</f>
        <v>910.9</v>
      </c>
      <c r="P152" s="1460">
        <f>P148</f>
        <v>1357.1</v>
      </c>
      <c r="Q152" s="1460">
        <f t="shared" ref="Q152:AM152" si="79">Q148</f>
        <v>1656.4</v>
      </c>
      <c r="R152" s="1460">
        <f t="shared" si="79"/>
        <v>1776</v>
      </c>
      <c r="S152" s="1460">
        <f t="shared" si="79"/>
        <v>2908.1</v>
      </c>
      <c r="T152" s="1460">
        <f t="shared" si="79"/>
        <v>3983.9</v>
      </c>
      <c r="U152" s="1460">
        <f t="shared" si="79"/>
        <v>5325.8</v>
      </c>
      <c r="V152" s="1460">
        <f t="shared" si="79"/>
        <v>6831</v>
      </c>
      <c r="W152" s="1460">
        <f t="shared" si="79"/>
        <v>8900.5</v>
      </c>
      <c r="X152" s="1460">
        <f t="shared" si="79"/>
        <v>10976.3</v>
      </c>
      <c r="Y152" s="1460">
        <f t="shared" si="79"/>
        <v>13819</v>
      </c>
      <c r="Z152" s="1460">
        <f t="shared" si="79"/>
        <v>17290.1</v>
      </c>
      <c r="AA152" s="1460">
        <f t="shared" si="79"/>
        <v>21311.5</v>
      </c>
      <c r="AB152" s="1460">
        <f t="shared" si="79"/>
        <v>25244</v>
      </c>
      <c r="AC152" s="1460">
        <f t="shared" si="79"/>
        <v>28697.5</v>
      </c>
      <c r="AD152" s="1460">
        <f t="shared" si="79"/>
        <v>32498.3</v>
      </c>
      <c r="AE152" s="1460">
        <f t="shared" si="79"/>
        <v>35648.7</v>
      </c>
      <c r="AF152" s="1460">
        <f t="shared" si="79"/>
        <v>39904</v>
      </c>
      <c r="AG152" s="1460">
        <f t="shared" si="79"/>
        <v>44650</v>
      </c>
      <c r="AH152" s="1460">
        <f t="shared" si="79"/>
        <v>47921</v>
      </c>
      <c r="AI152" s="1460">
        <f t="shared" si="79"/>
        <v>53526</v>
      </c>
      <c r="AJ152" s="1460">
        <f t="shared" si="79"/>
        <v>54117</v>
      </c>
      <c r="AK152" s="1460">
        <f t="shared" si="79"/>
        <v>55368</v>
      </c>
      <c r="AL152" s="1460">
        <f t="shared" si="79"/>
        <v>57500</v>
      </c>
      <c r="AM152" s="1460">
        <f t="shared" si="79"/>
        <v>57953.42590251308</v>
      </c>
      <c r="AN152" s="1460">
        <f>AN151+AN150</f>
        <v>59287.29577592402</v>
      </c>
      <c r="AO152" s="1460">
        <f t="shared" ref="AO152:BC152" si="80">AO151+AO150</f>
        <v>62117.11287630694</v>
      </c>
      <c r="AP152" s="1460">
        <f t="shared" si="80"/>
        <v>64554.770834240786</v>
      </c>
      <c r="AQ152" s="1460">
        <f t="shared" si="80"/>
        <v>67183.72804829366</v>
      </c>
      <c r="AR152" s="1460">
        <f t="shared" si="80"/>
        <v>70040.3748087793</v>
      </c>
      <c r="AS152" s="1460">
        <f t="shared" si="80"/>
        <v>73158.80993194577</v>
      </c>
      <c r="AT152" s="1460">
        <f t="shared" si="80"/>
        <v>76572.6815508971</v>
      </c>
      <c r="AU152" s="1460">
        <f t="shared" si="80"/>
        <v>80316.4963796919</v>
      </c>
      <c r="AV152" s="1460">
        <f t="shared" si="80"/>
        <v>84426.5925811996</v>
      </c>
      <c r="AW152" s="1460">
        <f t="shared" si="80"/>
        <v>88941.9047826934</v>
      </c>
      <c r="AX152" s="1460">
        <f t="shared" si="80"/>
        <v>93904.60640742216</v>
      </c>
      <c r="AY152" s="1460">
        <f t="shared" si="80"/>
        <v>99360.68628221258</v>
      </c>
      <c r="AZ152" s="1460">
        <f t="shared" si="80"/>
        <v>105360.49819007347</v>
      </c>
      <c r="BA152" s="1460">
        <f t="shared" si="80"/>
        <v>111959.31023574035</v>
      </c>
      <c r="BB152" s="1460">
        <f t="shared" si="80"/>
        <v>119217.87334459387</v>
      </c>
      <c r="BC152" s="1460">
        <f t="shared" si="80"/>
        <v>127203.02346235837</v>
      </c>
      <c r="BD152" s="1462" t="str">
        <f t="shared" si="41"/>
        <v>DH</v>
      </c>
    </row>
    <row r="153" ht="15.5" customHeight="1" spans="1:56" x14ac:dyDescent="0.25">
      <c r="A153" s="31" t="s">
        <v>1263</v>
      </c>
      <c r="B153" s="187"/>
      <c r="C153" s="187"/>
      <c r="D153" s="187"/>
      <c r="E153" s="31"/>
      <c r="F153" s="31"/>
      <c r="G153" s="1481" t="s">
        <v>421</v>
      </c>
      <c r="H153" s="1443">
        <v>55</v>
      </c>
      <c r="I153" s="1482" t="s">
        <v>1264</v>
      </c>
      <c r="J153" s="1483"/>
      <c r="K153" s="1483"/>
      <c r="L153" s="1483"/>
      <c r="M153" s="1483"/>
      <c r="N153" s="1483"/>
      <c r="O153" s="1491">
        <f>ОТЧЁТ!U100</f>
        <v>169.8543</v>
      </c>
      <c r="P153" s="1460">
        <f>ОТЧЁТ!V100</f>
        <v>285.8148</v>
      </c>
      <c r="Q153" s="1460">
        <f>ОТЧЁТ!W100</f>
        <v>356.27</v>
      </c>
      <c r="R153" s="1460">
        <f>ОТЧЁТ!X100</f>
        <v>419.8877</v>
      </c>
      <c r="S153" s="1460">
        <f>ОТЧЁТ!Y100</f>
        <v>758.1155</v>
      </c>
      <c r="T153" s="1460">
        <f>ОТЧЁТ!Z100</f>
        <v>1248.484</v>
      </c>
      <c r="U153" s="1460">
        <f>ОТЧЁТ!AA100</f>
        <v>1402.5825</v>
      </c>
      <c r="V153" s="1460">
        <f>ОТЧЁТ!AB100</f>
        <v>1847.243</v>
      </c>
      <c r="W153" s="1460">
        <f>ОТЧЁТ!AC100</f>
        <v>2112.523</v>
      </c>
      <c r="X153" s="1460">
        <f>ОТЧЁТ!AD100</f>
        <v>2875.4506</v>
      </c>
      <c r="Y153" s="1460">
        <f>ОТЧЁТ!AE100</f>
        <v>4248.3591</v>
      </c>
      <c r="Z153" s="1460">
        <f>ОТЧЁТ!AF100</f>
        <v>5386.7113</v>
      </c>
      <c r="AA153" s="1460">
        <f>ОТЧЁТ!AG100</f>
        <v>6334.316900000001</v>
      </c>
      <c r="AB153" s="1460">
        <f>ОТЧЁТ!AH100</f>
        <v>8218.4221</v>
      </c>
      <c r="AC153" s="1460">
        <f>ОТЧЁТ!AI100</f>
        <v>6474.4973</v>
      </c>
      <c r="AD153" s="1460">
        <f>ОТЧЁТ!AJ100</f>
        <v>8219.168</v>
      </c>
      <c r="AE153" s="1460">
        <f>ОТЧЁТ!AK100</f>
        <v>8747.0033</v>
      </c>
      <c r="AF153" s="1460">
        <f>ОТЧЁТ!AL100</f>
        <v>9830.6888</v>
      </c>
      <c r="AG153" s="1460">
        <f>ОТЧЁТ!AM100</f>
        <v>10062.319500000001</v>
      </c>
      <c r="AH153" s="1460">
        <f>ОТЧЁТ!AN100</f>
        <v>11004.2402</v>
      </c>
      <c r="AI153" s="1460">
        <f>ОТЧЁТ!AO100</f>
        <v>9271.0213</v>
      </c>
      <c r="AJ153" s="1460">
        <f>ОТЧЁТ!AP100</f>
        <v>9418.86</v>
      </c>
      <c r="AK153" s="1460">
        <f>ОТЧЁТ!AQ100</f>
        <v>9985.58</v>
      </c>
      <c r="AL153" s="1460">
        <f>ОТЧЁТ!AR100</f>
        <v>12224.900000000001</v>
      </c>
      <c r="AM153" s="1465">
        <f>AM94*(AM140+AM124)</f>
        <v>13519.92430978069</v>
      </c>
      <c r="AN153" s="1465">
        <f t="shared" ref="AN153:BC153" si="81">AN94*(AN140+AN124)</f>
        <v>15121.915228344984</v>
      </c>
      <c r="AO153" s="1465">
        <f t="shared" si="81"/>
        <v>17549.09063581963</v>
      </c>
      <c r="AP153" s="1465">
        <f t="shared" si="81"/>
        <v>19707.263654273323</v>
      </c>
      <c r="AQ153" s="1465">
        <f t="shared" si="81"/>
        <v>21965.804537836037</v>
      </c>
      <c r="AR153" s="1465">
        <f t="shared" si="81"/>
        <v>24364.222255522265</v>
      </c>
      <c r="AS153" s="1465">
        <f t="shared" si="81"/>
        <v>26938.796699141603</v>
      </c>
      <c r="AT153" s="1465">
        <f t="shared" si="81"/>
        <v>29723.940670646458</v>
      </c>
      <c r="AU153" s="1465">
        <f t="shared" si="81"/>
        <v>32753.398585045983</v>
      </c>
      <c r="AV153" s="1465">
        <f t="shared" si="81"/>
        <v>36061.25968240293</v>
      </c>
      <c r="AW153" s="1465">
        <f t="shared" si="81"/>
        <v>39682.811790804175</v>
      </c>
      <c r="AX153" s="1465">
        <f t="shared" si="81"/>
        <v>43655.27441385906</v>
      </c>
      <c r="AY153" s="1465">
        <f t="shared" si="81"/>
        <v>48018.448742302564</v>
      </c>
      <c r="AZ153" s="1465">
        <f t="shared" si="81"/>
        <v>52815.316615277574</v>
      </c>
      <c r="BA153" s="1465">
        <f t="shared" si="81"/>
        <v>58092.61437191286</v>
      </c>
      <c r="BB153" s="1465">
        <f t="shared" si="81"/>
        <v>63901.40231836611</v>
      </c>
      <c r="BC153" s="1465">
        <f t="shared" si="81"/>
        <v>70297.6465135678</v>
      </c>
      <c r="BD153" s="1462" t="str">
        <f t="shared" si="41"/>
        <v>CN2</v>
      </c>
    </row>
    <row r="154" ht="15.5" customHeight="1" spans="1:56" x14ac:dyDescent="0.25">
      <c r="A154" s="31" t="s">
        <v>1265</v>
      </c>
      <c r="B154" s="187"/>
      <c r="C154" s="187"/>
      <c r="D154" s="187"/>
      <c r="E154" s="31"/>
      <c r="F154" s="31"/>
      <c r="G154" s="1481" t="s">
        <v>424</v>
      </c>
      <c r="H154" s="1443">
        <v>56</v>
      </c>
      <c r="I154" s="1482" t="s">
        <v>1266</v>
      </c>
      <c r="J154" s="1483"/>
      <c r="K154" s="1483"/>
      <c r="L154" s="1483"/>
      <c r="M154" s="1483"/>
      <c r="N154" s="1483"/>
      <c r="O154" s="1491">
        <f>ОТЧЁТ!U101</f>
        <v>610.792</v>
      </c>
      <c r="P154" s="1460">
        <f>ОТЧЁТ!V101</f>
        <v>699.367</v>
      </c>
      <c r="Q154" s="1460">
        <f>ОТЧЁТ!W101</f>
        <v>783.3437</v>
      </c>
      <c r="R154" s="1460">
        <f>ОТЧЁТ!X101</f>
        <v>946.6884</v>
      </c>
      <c r="S154" s="1460">
        <f>ОТЧЁТ!Y101</f>
        <v>2131.5119</v>
      </c>
      <c r="T154" s="1460">
        <f>ОТЧЁТ!Z101</f>
        <v>3119.9324</v>
      </c>
      <c r="U154" s="1460">
        <f>ОТЧЁТ!AA101</f>
        <v>3692.6014</v>
      </c>
      <c r="V154" s="1460">
        <f>ОТЧЁТ!AB101</f>
        <v>3906.8679</v>
      </c>
      <c r="W154" s="1460">
        <f>ОТЧЁТ!AC101</f>
        <v>4864.3283</v>
      </c>
      <c r="X154" s="1460">
        <f>ОТЧЁТ!AD101</f>
        <v>6306.7037</v>
      </c>
      <c r="Y154" s="1460">
        <f>ОТЧЁТ!AE101</f>
        <v>7887.1394</v>
      </c>
      <c r="Z154" s="1460">
        <f>ОТЧЁТ!AF101</f>
        <v>9544.5843</v>
      </c>
      <c r="AA154" s="1460">
        <f>ОТЧЁТ!AG101</f>
        <v>11387.0816</v>
      </c>
      <c r="AB154" s="1460">
        <f>ОТЧЁТ!AH101</f>
        <v>13498.7</v>
      </c>
      <c r="AC154" s="1460">
        <f>ОТЧЁТ!AI101</f>
        <v>11921.086</v>
      </c>
      <c r="AD154" s="1460">
        <f>ОТЧЁТ!AJ101</f>
        <v>15093.737</v>
      </c>
      <c r="AE154" s="1460">
        <f>ОТЧЁТ!AK101</f>
        <v>25148.861699999998</v>
      </c>
      <c r="AF154" s="1460">
        <f>ОТЧЁТ!AL101</f>
        <v>28132.0328</v>
      </c>
      <c r="AG154" s="1460">
        <f>ОТЧЁТ!AM101</f>
        <v>29279.2934</v>
      </c>
      <c r="AH154" s="1460">
        <f>ОТЧЁТ!AN101</f>
        <v>30623.78</v>
      </c>
      <c r="AI154" s="1460">
        <f>ОТЧЁТ!AO101</f>
        <v>34077.79</v>
      </c>
      <c r="AJ154" s="1460">
        <f>ОТЧЁТ!AP101</f>
        <v>35349.99</v>
      </c>
      <c r="AK154" s="1460">
        <f>ОТЧЁТ!AQ101</f>
        <v>38231.45</v>
      </c>
      <c r="AL154" s="1460">
        <f>ОТЧЁТ!AR101</f>
        <v>43406.53</v>
      </c>
      <c r="AM154" s="1460">
        <f>AM125-AM151-AM153</f>
        <v>43410.478199521276</v>
      </c>
      <c r="AN154" s="1460">
        <f t="shared" ref="AN154:BC154" si="82">AN125-AN151-AN153</f>
        <v>46213.507400067174</v>
      </c>
      <c r="AO154" s="1460">
        <f t="shared" si="82"/>
        <v>52974.967646386365</v>
      </c>
      <c r="AP154" s="1460">
        <f t="shared" si="82"/>
        <v>58732.05912364666</v>
      </c>
      <c r="AQ154" s="1460">
        <f t="shared" si="82"/>
        <v>65009.94626084753</v>
      </c>
      <c r="AR154" s="1460">
        <f t="shared" si="82"/>
        <v>71887.28218467454</v>
      </c>
      <c r="AS154" s="1460">
        <f t="shared" si="82"/>
        <v>79438.5085049607</v>
      </c>
      <c r="AT154" s="1460">
        <f t="shared" si="82"/>
        <v>87738.47051826544</v>
      </c>
      <c r="AU154" s="1460">
        <f t="shared" si="82"/>
        <v>96865.46978705667</v>
      </c>
      <c r="AV154" s="1460">
        <f t="shared" si="82"/>
        <v>106903.40990511606</v>
      </c>
      <c r="AW154" s="1460">
        <f t="shared" si="82"/>
        <v>117943.42679954611</v>
      </c>
      <c r="AX154" s="1460">
        <f t="shared" si="82"/>
        <v>130085.24134371633</v>
      </c>
      <c r="AY154" s="1460">
        <f t="shared" si="82"/>
        <v>143438.381635275</v>
      </c>
      <c r="AZ154" s="1460">
        <f t="shared" si="82"/>
        <v>158123.36847480678</v>
      </c>
      <c r="BA154" s="1460">
        <f t="shared" si="82"/>
        <v>174272.9253467954</v>
      </c>
      <c r="BB154" s="1460">
        <f t="shared" si="82"/>
        <v>192033.25491267152</v>
      </c>
      <c r="BC154" s="1460">
        <f t="shared" si="82"/>
        <v>211565.41261420675</v>
      </c>
      <c r="BD154" s="1462" t="str">
        <f t="shared" si="41"/>
        <v>WPR</v>
      </c>
    </row>
    <row r="155" ht="15.5" customHeight="1" spans="1:56" x14ac:dyDescent="0.25">
      <c r="A155" s="31" t="s">
        <v>1267</v>
      </c>
      <c r="B155" s="187"/>
      <c r="C155" s="187"/>
      <c r="D155" s="187"/>
      <c r="E155" s="31"/>
      <c r="F155" s="31"/>
      <c r="G155" s="1481" t="s">
        <v>300</v>
      </c>
      <c r="H155" s="1443">
        <v>57</v>
      </c>
      <c r="I155" s="1482" t="s">
        <v>102</v>
      </c>
      <c r="J155" s="1483"/>
      <c r="K155" s="1483"/>
      <c r="L155" s="1483"/>
      <c r="M155" s="1483"/>
      <c r="N155" s="1483"/>
      <c r="O155" s="1491">
        <f>ОТЧЁТ!U58</f>
        <v>1319.6253</v>
      </c>
      <c r="P155" s="1460">
        <f>ОТЧЁТ!V58</f>
        <v>1828.2092000000002</v>
      </c>
      <c r="Q155" s="1460">
        <f>ОТЧЁТ!W58</f>
        <v>2127.919</v>
      </c>
      <c r="R155" s="1460">
        <f>ОТЧЁТ!X58</f>
        <v>2383.2596</v>
      </c>
      <c r="S155" s="1460">
        <f>ОТЧЁТ!Y58</f>
        <v>4327.8727</v>
      </c>
      <c r="T155" s="1460">
        <f>ОТЧЁТ!Z58</f>
        <v>6472.1991</v>
      </c>
      <c r="U155" s="1460">
        <f>ОТЧЁТ!AA58</f>
        <v>7846.0933</v>
      </c>
      <c r="V155" s="1460">
        <f>ОТЧЁТ!AB58</f>
        <v>9569.970899999998</v>
      </c>
      <c r="W155" s="1460">
        <f>ОТЧЁТ!AC58</f>
        <v>11619.750299999998</v>
      </c>
      <c r="X155" s="1460">
        <f>ОТЧЁТ!AD58</f>
        <v>14858.766999999998</v>
      </c>
      <c r="Y155" s="1460">
        <f>ОТЧЁТ!AE58</f>
        <v>18517.6658</v>
      </c>
      <c r="Z155" s="1460">
        <f>ОТЧЁТ!AF58</f>
        <v>22977.343699999998</v>
      </c>
      <c r="AA155" s="1460">
        <f>ОТЧЁТ!AG58</f>
        <v>28484.4712</v>
      </c>
      <c r="AB155" s="1460">
        <f>ОТЧЁТ!AH58</f>
        <v>35182.698399999994</v>
      </c>
      <c r="AC155" s="1460">
        <f>ОТЧЁТ!AI58</f>
        <v>33831.376</v>
      </c>
      <c r="AD155" s="1460">
        <f>ОТЧЁТ!AJ58</f>
        <v>40040.06300000001</v>
      </c>
      <c r="AE155" s="1460">
        <f>ОТЧЁТ!AK58</f>
        <v>52084.130800000006</v>
      </c>
      <c r="AF155" s="1460">
        <f>ОТЧЁТ!AL58</f>
        <v>58996.2332</v>
      </c>
      <c r="AG155" s="1460">
        <f>ОТЧЁТ!AM58</f>
        <v>63869.449899999985</v>
      </c>
      <c r="AH155" s="1460">
        <f>ОТЧЁТ!AN58</f>
        <v>68766.4</v>
      </c>
      <c r="AI155" s="1460">
        <f>ОТЧЁТ!AO58</f>
        <v>74627.40000000001</v>
      </c>
      <c r="AJ155" s="1460">
        <f>ОТЧЁТ!AP58</f>
        <v>77475.26</v>
      </c>
      <c r="AK155" s="1460">
        <f>ОТЧЁТ!AQ58</f>
        <v>83155.59999999999</v>
      </c>
      <c r="AL155" s="1460">
        <f>ОТЧЁТ!AR58</f>
        <v>92799.50000000001</v>
      </c>
      <c r="AM155" s="1465">
        <f>AM140-AM138</f>
        <v>94172.9354966064</v>
      </c>
      <c r="AN155" s="1465">
        <f t="shared" ref="AN155:BC155" si="83">AN140-AN138</f>
        <v>100238.723490322</v>
      </c>
      <c r="AO155" s="1465">
        <f t="shared" si="83"/>
        <v>113297.06275193272</v>
      </c>
      <c r="AP155" s="1465">
        <f t="shared" si="83"/>
        <v>124566.44817382848</v>
      </c>
      <c r="AQ155" s="1465">
        <f t="shared" si="83"/>
        <v>136751.42621515243</v>
      </c>
      <c r="AR155" s="1465">
        <f t="shared" si="83"/>
        <v>150006.81817451507</v>
      </c>
      <c r="AS155" s="1465">
        <f t="shared" si="83"/>
        <v>164482.67555170043</v>
      </c>
      <c r="AT155" s="1465">
        <f t="shared" si="83"/>
        <v>180330.1873648233</v>
      </c>
      <c r="AU155" s="1465">
        <f t="shared" si="83"/>
        <v>197706.2486792739</v>
      </c>
      <c r="AV155" s="1465">
        <f t="shared" si="83"/>
        <v>216777.12256750205</v>
      </c>
      <c r="AW155" s="1465">
        <f t="shared" si="83"/>
        <v>237721.50705736456</v>
      </c>
      <c r="AX155" s="1465">
        <f t="shared" si="83"/>
        <v>260733.23761138553</v>
      </c>
      <c r="AY155" s="1465">
        <f t="shared" si="83"/>
        <v>286023.7963407619</v>
      </c>
      <c r="AZ155" s="1465">
        <f t="shared" si="83"/>
        <v>313824.75533596746</v>
      </c>
      <c r="BA155" s="1465">
        <f t="shared" si="83"/>
        <v>344390.24980823195</v>
      </c>
      <c r="BB155" s="1465">
        <f t="shared" si="83"/>
        <v>377999.55451518967</v>
      </c>
      <c r="BC155" s="1465">
        <f t="shared" si="83"/>
        <v>414959.82192552875</v>
      </c>
      <c r="BD155" s="1462" t="str">
        <f t="shared" si="41"/>
        <v>WDC</v>
      </c>
    </row>
    <row r="156" ht="15.5" customHeight="1" spans="1:56" x14ac:dyDescent="0.25">
      <c r="A156" s="123" t="s">
        <v>1268</v>
      </c>
      <c r="B156" s="31"/>
      <c r="C156" s="187"/>
      <c r="D156" s="187"/>
      <c r="E156" s="31"/>
      <c r="F156" s="31"/>
      <c r="G156" s="1481" t="s">
        <v>648</v>
      </c>
      <c r="H156" s="1443">
        <v>58</v>
      </c>
      <c r="I156" s="1483" t="s">
        <v>1269</v>
      </c>
      <c r="J156" s="1483"/>
      <c r="K156" s="1483"/>
      <c r="L156" s="1483"/>
      <c r="M156" s="1483"/>
      <c r="N156" s="1484"/>
      <c r="O156" s="1491">
        <f>O27</f>
        <v>1</v>
      </c>
      <c r="P156" s="1468">
        <f>ОТЧЁТ!V191</f>
        <v>1.695396731545807</v>
      </c>
      <c r="Q156" s="1468">
        <f>ОТЧЁТ!W191</f>
        <v>2.415292468742241</v>
      </c>
      <c r="R156" s="1468">
        <f>ОТЧЁТ!X191</f>
        <v>2.6727462335842294</v>
      </c>
      <c r="S156" s="1468">
        <f>ОТЧЁТ!Y191</f>
        <v>3.4893420575027583</v>
      </c>
      <c r="T156" s="1468">
        <f>ОТЧЁТ!Z191</f>
        <v>3.9448052793534916</v>
      </c>
      <c r="U156" s="1468">
        <f>ОТЧЁТ!AA191</f>
        <v>4.396024616222597</v>
      </c>
      <c r="V156" s="1468">
        <f>ОТЧЁТ!AB191</f>
        <v>5.884382361829743</v>
      </c>
      <c r="W156" s="1468">
        <f>ОТЧЁТ!AC191</f>
        <v>5.90091640449027</v>
      </c>
      <c r="X156" s="1468">
        <f>ОТЧЁТ!AD191</f>
        <v>5.736138604273994</v>
      </c>
      <c r="Y156" s="1468">
        <f>ОТЧЁТ!AE191</f>
        <v>7.718849506887088</v>
      </c>
      <c r="Z156" s="1468">
        <f>ОТЧЁТ!AF191</f>
        <v>7.333907061981483</v>
      </c>
      <c r="AA156" s="1468">
        <f>ОТЧЁТ!AG191</f>
        <v>7.941801279807624</v>
      </c>
      <c r="AB156" s="1468">
        <f>ОТЧЁТ!AH191</f>
        <v>9.313557709187231</v>
      </c>
      <c r="AC156" s="1468">
        <f>ОТЧЁТ!AI191</f>
        <v>10.66694831320229</v>
      </c>
      <c r="AD156" s="1468">
        <f>ОТЧЁТ!AJ191</f>
        <v>11.27644871677545</v>
      </c>
      <c r="AE156" s="1468">
        <f>ОТЧЁТ!AK191</f>
        <v>12.282914423380722</v>
      </c>
      <c r="AF156" s="1468">
        <f>ОТЧЁТ!AL191</f>
        <v>13.249096044334456</v>
      </c>
      <c r="AG156" s="1468">
        <f>ОТЧЁТ!AM191</f>
        <v>14.15863931501705</v>
      </c>
      <c r="AH156" s="1468">
        <f>ОТЧЁТ!AN191</f>
        <v>14.240158664898729</v>
      </c>
      <c r="AI156" s="1468">
        <f>ОТЧЁТ!AO191</f>
        <v>14.837823597492827</v>
      </c>
      <c r="AJ156" s="1468">
        <f>ОТЧЁТ!AP191</f>
        <v>15.707409284457475</v>
      </c>
      <c r="AK156" s="1468">
        <f>ОТЧЁТ!AQ191</f>
        <v>14.777985159687598</v>
      </c>
      <c r="AL156" s="1468">
        <f>ОТЧЁТ!AR191</f>
        <v>15.400454434924034</v>
      </c>
      <c r="AM156" s="1369">
        <f t="shared" ref="AM156:BC156" si="84">0.1975*AM14+11.04</f>
        <v>15.521957469960693</v>
      </c>
      <c r="AN156" s="1369">
        <f t="shared" si="84"/>
        <v>15.742021581735763</v>
      </c>
      <c r="AO156" s="1369">
        <f t="shared" si="84"/>
        <v>15.977122660822552</v>
      </c>
      <c r="AP156" s="1369">
        <f t="shared" si="84"/>
        <v>16.22397879386368</v>
      </c>
      <c r="AQ156" s="1369">
        <f t="shared" si="84"/>
        <v>16.483177733556865</v>
      </c>
      <c r="AR156" s="1369">
        <f t="shared" si="84"/>
        <v>16.755336620234708</v>
      </c>
      <c r="AS156" s="1369">
        <f t="shared" si="84"/>
        <v>17.041103451246443</v>
      </c>
      <c r="AT156" s="1369">
        <f t="shared" si="84"/>
        <v>17.341158623808766</v>
      </c>
      <c r="AU156" s="1369">
        <f t="shared" si="84"/>
        <v>17.656216554999205</v>
      </c>
      <c r="AV156" s="1369">
        <f t="shared" si="84"/>
        <v>17.987027382749165</v>
      </c>
      <c r="AW156" s="1369">
        <f t="shared" si="84"/>
        <v>18.334378751886625</v>
      </c>
      <c r="AX156" s="1369">
        <f t="shared" si="84"/>
        <v>18.699097689480954</v>
      </c>
      <c r="AY156" s="1369">
        <f t="shared" si="84"/>
        <v>19.082052573955004</v>
      </c>
      <c r="AZ156" s="1369">
        <f t="shared" si="84"/>
        <v>19.484155202652754</v>
      </c>
      <c r="BA156" s="1369">
        <f t="shared" si="84"/>
        <v>19.906362962785394</v>
      </c>
      <c r="BB156" s="1369">
        <f t="shared" si="84"/>
        <v>20.349681110924664</v>
      </c>
      <c r="BC156" s="1369">
        <f t="shared" si="84"/>
        <v>20.815165166470898</v>
      </c>
      <c r="BD156" s="1462" t="str">
        <f t="shared" si="41"/>
        <v>Dww</v>
      </c>
    </row>
    <row r="157" ht="15.5" customHeight="1" spans="1:56" x14ac:dyDescent="0.25">
      <c r="A157" s="187" t="s">
        <v>1270</v>
      </c>
      <c r="B157" s="187"/>
      <c r="C157" s="187"/>
      <c r="D157" s="187"/>
      <c r="E157" s="31"/>
      <c r="F157" s="31"/>
      <c r="G157" s="1481" t="s">
        <v>394</v>
      </c>
      <c r="H157" s="1443">
        <v>60</v>
      </c>
      <c r="I157" s="1494" t="s">
        <v>1271</v>
      </c>
      <c r="J157" s="1458"/>
      <c r="K157" s="1458"/>
      <c r="L157" s="1458"/>
      <c r="M157" s="1458"/>
      <c r="N157" s="1495"/>
      <c r="O157" s="1485"/>
      <c r="P157" s="1465"/>
      <c r="Q157" s="1465"/>
      <c r="R157" s="1465"/>
      <c r="S157" s="1465"/>
      <c r="T157" s="1465"/>
      <c r="U157" s="1465"/>
      <c r="V157" s="1465"/>
      <c r="W157" s="1465"/>
      <c r="X157" s="1465"/>
      <c r="Y157" s="1465"/>
      <c r="Z157" s="1465"/>
      <c r="AA157" s="1465"/>
      <c r="AB157" s="1465"/>
      <c r="AC157" s="1465"/>
      <c r="AD157" s="1465"/>
      <c r="AE157" s="1465"/>
      <c r="AF157" s="1465"/>
      <c r="AG157" s="1465"/>
      <c r="AH157" s="1465"/>
      <c r="AI157" s="1465"/>
      <c r="AJ157" s="1465"/>
      <c r="AK157" s="1460"/>
      <c r="AL157" s="1460"/>
      <c r="AM157" s="1460">
        <f>0.7*AM102+0.2*AL102+0.1*AK102</f>
        <v>18560.343029264724</v>
      </c>
      <c r="AN157" s="1460">
        <f t="shared" ref="AN157:BC157" si="85">0.7*AN102+0.2*AM102+0.1*AL102</f>
        <v>20234.110390578746</v>
      </c>
      <c r="AO157" s="1460">
        <f t="shared" si="85"/>
        <v>22878.09564751599</v>
      </c>
      <c r="AP157" s="1460">
        <f t="shared" si="85"/>
        <v>25569.67644536664</v>
      </c>
      <c r="AQ157" s="1460">
        <f t="shared" si="85"/>
        <v>28475.184014537946</v>
      </c>
      <c r="AR157" s="1460">
        <f t="shared" si="85"/>
        <v>31566.463025302044</v>
      </c>
      <c r="AS157" s="1460">
        <f t="shared" si="85"/>
        <v>34936.10889936008</v>
      </c>
      <c r="AT157" s="1460">
        <f t="shared" si="85"/>
        <v>38625.53771071082</v>
      </c>
      <c r="AU157" s="1460">
        <f t="shared" si="85"/>
        <v>42675.88333536457</v>
      </c>
      <c r="AV157" s="1460">
        <f t="shared" si="85"/>
        <v>47129.53259720064</v>
      </c>
      <c r="AW157" s="1460">
        <f t="shared" si="85"/>
        <v>52031.27639002734</v>
      </c>
      <c r="AX157" s="1460">
        <f t="shared" si="85"/>
        <v>57429.22419799409</v>
      </c>
      <c r="AY157" s="1460">
        <f t="shared" si="85"/>
        <v>63375.580185255996</v>
      </c>
      <c r="AZ157" s="1460">
        <f t="shared" si="85"/>
        <v>69927.34683210686</v>
      </c>
      <c r="BA157" s="1460">
        <f t="shared" si="85"/>
        <v>77147.00113979958</v>
      </c>
      <c r="BB157" s="1460">
        <f t="shared" si="85"/>
        <v>85103.17487385626</v>
      </c>
      <c r="BC157" s="1460">
        <f t="shared" si="85"/>
        <v>93871.36164128964</v>
      </c>
      <c r="BD157" s="1462" t="str">
        <f t="shared" si="41"/>
        <v>FA</v>
      </c>
    </row>
    <row r="158" ht="15.5" customHeight="1" spans="1:56" x14ac:dyDescent="0.25">
      <c r="A158" s="187" t="s">
        <v>1272</v>
      </c>
      <c r="B158" s="187"/>
      <c r="C158" s="187"/>
      <c r="D158" s="187"/>
      <c r="E158" s="31"/>
      <c r="F158" s="31"/>
      <c r="G158" s="1481" t="s">
        <v>351</v>
      </c>
      <c r="H158" s="1443">
        <v>61</v>
      </c>
      <c r="I158" s="1494" t="s">
        <v>1273</v>
      </c>
      <c r="J158" s="1458"/>
      <c r="K158" s="1458"/>
      <c r="L158" s="1458"/>
      <c r="M158" s="1458"/>
      <c r="N158" s="1495"/>
      <c r="O158" s="1485">
        <f>ОТЧЁТ!U83</f>
        <v>230.407</v>
      </c>
      <c r="P158" s="1465">
        <f>ОТЧЁТ!V83</f>
        <v>334.302</v>
      </c>
      <c r="Q158" s="1465">
        <f>ОТЧЁТ!W83</f>
        <v>406.472</v>
      </c>
      <c r="R158" s="1465">
        <f>ОТЧЁТ!X83</f>
        <v>428.564</v>
      </c>
      <c r="S158" s="1465">
        <f>ОТЧЁТ!Y83</f>
        <v>597.306</v>
      </c>
      <c r="T158" s="1465">
        <f>ОТЧЁТ!Z83</f>
        <v>843.378</v>
      </c>
      <c r="U158" s="1465">
        <f>ОТЧЁТ!AA83</f>
        <v>1117.655</v>
      </c>
      <c r="V158" s="1465">
        <f>ОТЧЁТ!AB83</f>
        <v>1615.063</v>
      </c>
      <c r="W158" s="1465">
        <f>ОТЧЁТ!AC83</f>
        <v>1815.658</v>
      </c>
      <c r="X158" s="1465">
        <f>ОТЧЁТ!AD83</f>
        <v>1972.112</v>
      </c>
      <c r="Y158" s="1465">
        <f>ОТЧЁТ!AE83</f>
        <v>2943.686</v>
      </c>
      <c r="Z158" s="1465">
        <f>ОТЧЁТ!AF83</f>
        <v>3252.436</v>
      </c>
      <c r="AA158" s="1465">
        <f>ОТЧЁТ!AG83</f>
        <v>4296.411</v>
      </c>
      <c r="AB158" s="1465">
        <f>ОТЧЁТ!AH83</f>
        <v>5744.847</v>
      </c>
      <c r="AC158" s="1465">
        <f>ОТЧЁТ!AI83</f>
        <v>6356.223</v>
      </c>
      <c r="AD158" s="1465">
        <f>ОТЧЁТ!AJ83</f>
        <v>6275.931</v>
      </c>
      <c r="AE158" s="1465">
        <f>ОТЧЁТ!AK83</f>
        <v>8813.314</v>
      </c>
      <c r="AF158" s="1465">
        <f>ОТЧЁТ!AL83</f>
        <v>10338.4</v>
      </c>
      <c r="AG158" s="1465">
        <f>ОТЧЁТ!AM83</f>
        <v>11160.485</v>
      </c>
      <c r="AH158" s="1465">
        <f>ОТЧЁТ!AN83</f>
        <v>10888</v>
      </c>
      <c r="AI158" s="1465">
        <f>ОТЧЁТ!AO83</f>
        <v>10721</v>
      </c>
      <c r="AJ158" s="1465">
        <f>ОТЧЁТ!AP83</f>
        <v>13256</v>
      </c>
      <c r="AK158" s="1465">
        <f>ОТЧЁТ!AQ83</f>
        <v>12484.1</v>
      </c>
      <c r="AL158" s="1465">
        <f>ОТЧЁТ!AR83</f>
        <v>14909.4</v>
      </c>
      <c r="AM158" s="1460">
        <f>0.9558*AM157-1632.2</f>
        <v>16107.775867371223</v>
      </c>
      <c r="AN158" s="1460">
        <f t="shared" ref="AN158:BC158" si="86">0.9558*AN157-1632.2</f>
        <v>17707.562711315164</v>
      </c>
      <c r="AO158" s="1460">
        <f t="shared" si="86"/>
        <v>20234.683819895785</v>
      </c>
      <c r="AP158" s="1460">
        <f t="shared" si="86"/>
        <v>22807.296746481432</v>
      </c>
      <c r="AQ158" s="1460">
        <f t="shared" si="86"/>
        <v>25584.380881095367</v>
      </c>
      <c r="AR158" s="1460">
        <f t="shared" si="86"/>
        <v>28539.02535958369</v>
      </c>
      <c r="AS158" s="1460">
        <f t="shared" si="86"/>
        <v>31759.73288600836</v>
      </c>
      <c r="AT158" s="1460">
        <f t="shared" si="86"/>
        <v>35286.088943897405</v>
      </c>
      <c r="AU158" s="1460">
        <f t="shared" si="86"/>
        <v>39157.409291941454</v>
      </c>
      <c r="AV158" s="1460">
        <f t="shared" si="86"/>
        <v>43414.20725640437</v>
      </c>
      <c r="AW158" s="1460">
        <f t="shared" si="86"/>
        <v>48099.29397358814</v>
      </c>
      <c r="AX158" s="1460">
        <f t="shared" si="86"/>
        <v>53258.65248844275</v>
      </c>
      <c r="AY158" s="1460">
        <f t="shared" si="86"/>
        <v>58942.179541067686</v>
      </c>
      <c r="AZ158" s="1460">
        <f t="shared" si="86"/>
        <v>65204.35810212775</v>
      </c>
      <c r="BA158" s="1460">
        <f t="shared" si="86"/>
        <v>72104.90368942045</v>
      </c>
      <c r="BB158" s="1460">
        <f t="shared" si="86"/>
        <v>79709.41454443181</v>
      </c>
      <c r="BC158" s="1460">
        <f t="shared" si="86"/>
        <v>88090.04745674464</v>
      </c>
      <c r="BD158" s="1462" t="str">
        <f t="shared" si="41"/>
        <v>WW</v>
      </c>
    </row>
    <row r="159" ht="15.5" customHeight="1" spans="1:56" x14ac:dyDescent="0.25">
      <c r="A159" s="123" t="s">
        <v>1274</v>
      </c>
      <c r="B159" s="31"/>
      <c r="C159" s="187"/>
      <c r="D159" s="123"/>
      <c r="E159" s="24"/>
      <c r="F159" s="24"/>
      <c r="G159" s="1481" t="s">
        <v>652</v>
      </c>
      <c r="H159" s="1443">
        <v>62</v>
      </c>
      <c r="I159" s="1494" t="s">
        <v>1275</v>
      </c>
      <c r="J159" s="1458"/>
      <c r="K159" s="1458"/>
      <c r="L159" s="1458"/>
      <c r="M159" s="1458"/>
      <c r="N159" s="1483"/>
      <c r="O159" s="1496">
        <v>230.407</v>
      </c>
      <c r="P159" s="1465">
        <f>ОТЧЁТ!V193</f>
        <v>197.18216614420064</v>
      </c>
      <c r="Q159" s="1465">
        <f>ОТЧЁТ!W193</f>
        <v>168.2910062695925</v>
      </c>
      <c r="R159" s="1465">
        <f>ОТЧЁТ!X193</f>
        <v>160.34593730407522</v>
      </c>
      <c r="S159" s="1465">
        <f>ОТЧЁТ!Y193</f>
        <v>171.18012225705328</v>
      </c>
      <c r="T159" s="1465">
        <f>ОТЧЁТ!Z193</f>
        <v>213.79458307210035</v>
      </c>
      <c r="U159" s="1465">
        <f>ОТЧЁТ!AA193</f>
        <v>254.24220689655175</v>
      </c>
      <c r="V159" s="1465">
        <f>ОТЧЁТ!AB193</f>
        <v>274.4660188087774</v>
      </c>
      <c r="W159" s="1465">
        <f>ОТЧЁТ!AC193</f>
        <v>307.69085266457677</v>
      </c>
      <c r="X159" s="1465">
        <f>ОТЧЁТ!AD193</f>
        <v>343.804802507837</v>
      </c>
      <c r="Y159" s="1465">
        <f>ОТЧЁТ!AE193</f>
        <v>381.3633103448276</v>
      </c>
      <c r="Z159" s="1465">
        <f>ОТЧЁТ!AF193</f>
        <v>443.4793040752351</v>
      </c>
      <c r="AA159" s="1465">
        <f>ОТЧЁТ!AG193</f>
        <v>540.9869686520377</v>
      </c>
      <c r="AB159" s="1465">
        <f>ОТЧЁТ!AH193</f>
        <v>616.8262633228841</v>
      </c>
      <c r="AC159" s="1465">
        <f>ОТЧЁТ!AI193</f>
        <v>595.880172413793</v>
      </c>
      <c r="AD159" s="1465">
        <f>ОТЧЁТ!AJ193</f>
        <v>556.5520810344827</v>
      </c>
      <c r="AE159" s="1465">
        <f>ОТЧЁТ!AK193</f>
        <v>717.5262886488664</v>
      </c>
      <c r="AF159" s="1465">
        <f>ОТЧЁТ!AL193</f>
        <v>780.3098389056421</v>
      </c>
      <c r="AG159" s="1465">
        <f>ОТЧЁТ!AM193</f>
        <v>788.2455899673125</v>
      </c>
      <c r="AH159" s="1465">
        <f>ОТЧЁТ!AN193</f>
        <v>764.5982222682932</v>
      </c>
      <c r="AI159" s="1465">
        <f>ОТЧЁТ!AO193</f>
        <v>722.545320043537</v>
      </c>
      <c r="AJ159" s="1465">
        <f>ОТЧЁТ!AP193</f>
        <v>843.9329338108512</v>
      </c>
      <c r="AK159" s="1465">
        <f>ОТЧЁТ!AQ193</f>
        <v>844.7768667446619</v>
      </c>
      <c r="AL159" s="1465">
        <f>ОТЧЁТ!AR193</f>
        <v>968.1142892893824</v>
      </c>
      <c r="AM159" s="1460">
        <f>AM158/AM160</f>
        <v>1037.7412706190087</v>
      </c>
      <c r="AN159" s="1460">
        <f t="shared" ref="AN159:BC159" si="87">AN158/AN160</f>
        <v>1124.8595118088178</v>
      </c>
      <c r="AO159" s="1460">
        <f t="shared" si="87"/>
        <v>1266.478592513606</v>
      </c>
      <c r="AP159" s="1460">
        <f t="shared" si="87"/>
        <v>1405.7770314090728</v>
      </c>
      <c r="AQ159" s="1460">
        <f t="shared" si="87"/>
        <v>1552.1510047792572</v>
      </c>
      <c r="AR159" s="1460">
        <f t="shared" si="87"/>
        <v>1703.2797374609784</v>
      </c>
      <c r="AS159" s="1460">
        <f t="shared" si="87"/>
        <v>1863.7134019443647</v>
      </c>
      <c r="AT159" s="1460">
        <f t="shared" si="87"/>
        <v>2034.817263908244</v>
      </c>
      <c r="AU159" s="1460">
        <f t="shared" si="87"/>
        <v>2217.7689750216828</v>
      </c>
      <c r="AV159" s="1460">
        <f t="shared" si="87"/>
        <v>2413.6399157340293</v>
      </c>
      <c r="AW159" s="1460">
        <f t="shared" si="87"/>
        <v>2623.4482566603833</v>
      </c>
      <c r="AX159" s="1460">
        <f t="shared" si="87"/>
        <v>2848.193713561004</v>
      </c>
      <c r="AY159" s="1460">
        <f t="shared" si="87"/>
        <v>3088.880470936212</v>
      </c>
      <c r="AZ159" s="1460">
        <f t="shared" si="87"/>
        <v>3346.53247338382</v>
      </c>
      <c r="BA159" s="1460">
        <f t="shared" si="87"/>
        <v>3622.2038061005587</v>
      </c>
      <c r="BB159" s="1460">
        <f t="shared" si="87"/>
        <v>3916.9859276880784</v>
      </c>
      <c r="BC159" s="1460">
        <f t="shared" si="87"/>
        <v>4232.0128979154215</v>
      </c>
      <c r="BD159" s="1462" t="str">
        <f t="shared" si="41"/>
        <v>WWS</v>
      </c>
    </row>
    <row r="160" ht="15.5" customHeight="1" spans="1:56" x14ac:dyDescent="0.25">
      <c r="A160" s="123" t="s">
        <v>1268</v>
      </c>
      <c r="B160" s="31"/>
      <c r="C160" s="187"/>
      <c r="D160" s="123"/>
      <c r="E160" s="24"/>
      <c r="F160" s="24"/>
      <c r="G160" s="1481" t="s">
        <v>648</v>
      </c>
      <c r="H160" s="1443">
        <v>63</v>
      </c>
      <c r="I160" s="1482" t="s">
        <v>1048</v>
      </c>
      <c r="J160" s="1483"/>
      <c r="K160" s="1483"/>
      <c r="L160" s="1483"/>
      <c r="M160" s="1483"/>
      <c r="N160" s="1483"/>
      <c r="O160" s="1496">
        <v>1</v>
      </c>
      <c r="P160" s="1465">
        <f>P26</f>
        <v>1.695396731545807</v>
      </c>
      <c r="Q160" s="1465">
        <f t="shared" ref="Q160:BC160" si="88">Q26</f>
        <v>2.415292468742241</v>
      </c>
      <c r="R160" s="1465">
        <f t="shared" si="88"/>
        <v>2.6727462335842294</v>
      </c>
      <c r="S160" s="1465">
        <f t="shared" si="88"/>
        <v>3.4893420575027583</v>
      </c>
      <c r="T160" s="1465">
        <f t="shared" si="88"/>
        <v>3.9448052793534916</v>
      </c>
      <c r="U160" s="1465">
        <f t="shared" si="88"/>
        <v>4.396024616222597</v>
      </c>
      <c r="V160" s="1465">
        <f t="shared" si="88"/>
        <v>5.884382361829743</v>
      </c>
      <c r="W160" s="1465">
        <f t="shared" si="88"/>
        <v>5.90091640449027</v>
      </c>
      <c r="X160" s="1465">
        <f t="shared" si="88"/>
        <v>5.736138604273994</v>
      </c>
      <c r="Y160" s="1465">
        <f t="shared" si="88"/>
        <v>7.718849506887088</v>
      </c>
      <c r="Z160" s="1465">
        <f t="shared" si="88"/>
        <v>7.333907061981483</v>
      </c>
      <c r="AA160" s="1465">
        <f t="shared" si="88"/>
        <v>7.941801279807624</v>
      </c>
      <c r="AB160" s="1465">
        <f t="shared" si="88"/>
        <v>9.313557709187231</v>
      </c>
      <c r="AC160" s="1465">
        <f t="shared" si="88"/>
        <v>10.66694831320229</v>
      </c>
      <c r="AD160" s="1465">
        <f t="shared" si="88"/>
        <v>11.27644871677545</v>
      </c>
      <c r="AE160" s="1465">
        <f t="shared" si="88"/>
        <v>12.282914423380722</v>
      </c>
      <c r="AF160" s="1465">
        <f t="shared" si="88"/>
        <v>13.249096044334456</v>
      </c>
      <c r="AG160" s="1465">
        <f t="shared" si="88"/>
        <v>14.15863931501705</v>
      </c>
      <c r="AH160" s="1465">
        <f t="shared" si="88"/>
        <v>14.240158664898729</v>
      </c>
      <c r="AI160" s="1465">
        <f t="shared" si="88"/>
        <v>14.837823597492827</v>
      </c>
      <c r="AJ160" s="1465">
        <f t="shared" si="88"/>
        <v>15.707409284457475</v>
      </c>
      <c r="AK160" s="1465">
        <f t="shared" si="88"/>
        <v>14.777985159687598</v>
      </c>
      <c r="AL160" s="1465">
        <f t="shared" si="88"/>
        <v>15.400454434924034</v>
      </c>
      <c r="AM160" s="1465">
        <f t="shared" si="88"/>
        <v>15.521957469960693</v>
      </c>
      <c r="AN160" s="1465">
        <f t="shared" si="88"/>
        <v>15.742021581735763</v>
      </c>
      <c r="AO160" s="1465">
        <f t="shared" si="88"/>
        <v>15.977122660822552</v>
      </c>
      <c r="AP160" s="1465">
        <f t="shared" si="88"/>
        <v>16.22397879386368</v>
      </c>
      <c r="AQ160" s="1465">
        <f t="shared" si="88"/>
        <v>16.483177733556865</v>
      </c>
      <c r="AR160" s="1465">
        <f t="shared" si="88"/>
        <v>16.755336620234708</v>
      </c>
      <c r="AS160" s="1465">
        <f t="shared" si="88"/>
        <v>17.041103451246443</v>
      </c>
      <c r="AT160" s="1465">
        <f t="shared" si="88"/>
        <v>17.341158623808766</v>
      </c>
      <c r="AU160" s="1465">
        <f t="shared" si="88"/>
        <v>17.656216554999205</v>
      </c>
      <c r="AV160" s="1465">
        <f t="shared" si="88"/>
        <v>17.987027382749165</v>
      </c>
      <c r="AW160" s="1465">
        <f t="shared" si="88"/>
        <v>18.334378751886625</v>
      </c>
      <c r="AX160" s="1465">
        <f t="shared" si="88"/>
        <v>18.699097689480954</v>
      </c>
      <c r="AY160" s="1465">
        <f t="shared" si="88"/>
        <v>19.082052573955004</v>
      </c>
      <c r="AZ160" s="1465">
        <f t="shared" si="88"/>
        <v>19.484155202652754</v>
      </c>
      <c r="BA160" s="1465">
        <f t="shared" si="88"/>
        <v>19.906362962785394</v>
      </c>
      <c r="BB160" s="1465">
        <f t="shared" si="88"/>
        <v>20.349681110924664</v>
      </c>
      <c r="BC160" s="1465">
        <f t="shared" si="88"/>
        <v>20.815165166470898</v>
      </c>
      <c r="BD160" s="1462" t="str">
        <f t="shared" si="41"/>
        <v>Dww</v>
      </c>
    </row>
    <row r="161" ht="15.5" customHeight="1" spans="1:56" x14ac:dyDescent="0.25">
      <c r="A161" s="123" t="s">
        <v>1276</v>
      </c>
      <c r="B161" s="31"/>
      <c r="C161" s="187"/>
      <c r="D161" s="123"/>
      <c r="E161" s="24"/>
      <c r="F161" s="24"/>
      <c r="G161" s="1481" t="s">
        <v>862</v>
      </c>
      <c r="H161" s="1443">
        <v>64</v>
      </c>
      <c r="I161" s="1482" t="s">
        <v>1277</v>
      </c>
      <c r="J161" s="1458"/>
      <c r="K161" s="1458"/>
      <c r="L161" s="1458"/>
      <c r="M161" s="1458"/>
      <c r="N161" s="1483"/>
      <c r="O161" s="1496"/>
      <c r="P161" s="1465">
        <v>202.48816614420022</v>
      </c>
      <c r="Q161" s="1465">
        <v>189.49378226959257</v>
      </c>
      <c r="R161" s="1465">
        <v>176.18441097607518</v>
      </c>
      <c r="S161" s="1465">
        <v>160.65281675639685</v>
      </c>
      <c r="T161" s="1465">
        <v>187.42368279295744</v>
      </c>
      <c r="U161" s="1465">
        <v>206.53724829158108</v>
      </c>
      <c r="V161" s="1465">
        <v>220.9834596616493</v>
      </c>
      <c r="W161" s="1465">
        <v>237.46825250439923</v>
      </c>
      <c r="X161" s="1465">
        <v>256.2534253235163</v>
      </c>
      <c r="Y161" s="1465">
        <v>275.7325737719432</v>
      </c>
      <c r="Z161" s="1465">
        <v>307.5158675685802</v>
      </c>
      <c r="AA161" s="1465">
        <v>361.1526632992362</v>
      </c>
      <c r="AB161" s="1465">
        <v>401.51238985596126</v>
      </c>
      <c r="AC161" s="1465">
        <v>397.6000187144756</v>
      </c>
      <c r="AD161" s="1465">
        <v>364.71603233039366</v>
      </c>
      <c r="AE161" s="1465">
        <v>454.0714484285828</v>
      </c>
      <c r="AF161" s="1465">
        <v>485.7673275393671</v>
      </c>
      <c r="AG161" s="1465">
        <v>495.32648732647453</v>
      </c>
      <c r="AH161" s="1465">
        <v>489.4185862581188</v>
      </c>
      <c r="AI161" s="1465">
        <v>475.74637297970753</v>
      </c>
      <c r="AJ161" s="1465">
        <v>533.5215581413215</v>
      </c>
      <c r="AK161" s="1465">
        <v>530.5291248424985</v>
      </c>
      <c r="AL161" s="1465">
        <v>607.5894325534139</v>
      </c>
      <c r="AM161" s="1460">
        <f>0.545*AM159+75.668</f>
        <v>641.2369924873598</v>
      </c>
      <c r="AN161" s="1460">
        <f t="shared" ref="AN161:BC161" si="89">0.545*AN159+75.668</f>
        <v>688.7164339358058</v>
      </c>
      <c r="AO161" s="1460">
        <f t="shared" si="89"/>
        <v>765.8988329199153</v>
      </c>
      <c r="AP161" s="1460">
        <f t="shared" si="89"/>
        <v>841.8164821179447</v>
      </c>
      <c r="AQ161" s="1460">
        <f t="shared" si="89"/>
        <v>921.5902976046953</v>
      </c>
      <c r="AR161" s="1460">
        <f t="shared" si="89"/>
        <v>1003.9554569162333</v>
      </c>
      <c r="AS161" s="1460">
        <f t="shared" si="89"/>
        <v>1091.3918040596789</v>
      </c>
      <c r="AT161" s="1460">
        <f t="shared" si="89"/>
        <v>1184.643408829993</v>
      </c>
      <c r="AU161" s="1460">
        <f t="shared" si="89"/>
        <v>1284.3520913868174</v>
      </c>
      <c r="AV161" s="1460">
        <f t="shared" si="89"/>
        <v>1391.1017540750458</v>
      </c>
      <c r="AW161" s="1460">
        <f t="shared" si="89"/>
        <v>1505.4472998799092</v>
      </c>
      <c r="AX161" s="1460">
        <f t="shared" si="89"/>
        <v>1627.9335738907475</v>
      </c>
      <c r="AY161" s="1460">
        <f t="shared" si="89"/>
        <v>1759.107856660236</v>
      </c>
      <c r="AZ161" s="1460">
        <f t="shared" si="89"/>
        <v>1899.528197994182</v>
      </c>
      <c r="BA161" s="1460">
        <f t="shared" si="89"/>
        <v>2049.7690743248045</v>
      </c>
      <c r="BB161" s="1460">
        <f t="shared" si="89"/>
        <v>2210.425330590003</v>
      </c>
      <c r="BC161" s="1460">
        <f t="shared" si="89"/>
        <v>2382.115029363905</v>
      </c>
      <c r="BD161" s="1462" t="str">
        <f t="shared" si="41"/>
        <v>WBS</v>
      </c>
    </row>
    <row r="162" ht="15.5" customHeight="1" spans="1:56" x14ac:dyDescent="0.25">
      <c r="A162" s="123" t="s">
        <v>1060</v>
      </c>
      <c r="B162" s="31"/>
      <c r="C162" s="187"/>
      <c r="D162" s="123"/>
      <c r="E162" s="24"/>
      <c r="F162" s="24"/>
      <c r="G162" s="1481" t="s">
        <v>658</v>
      </c>
      <c r="H162" s="1443">
        <v>65</v>
      </c>
      <c r="I162" s="1494" t="s">
        <v>1278</v>
      </c>
      <c r="J162" s="1458"/>
      <c r="K162" s="1458"/>
      <c r="L162" s="1458"/>
      <c r="M162" s="1458"/>
      <c r="N162" s="1483"/>
      <c r="O162" s="1496">
        <f>ОТЧЁТ!U197</f>
        <v>5306</v>
      </c>
      <c r="P162" s="1465">
        <f>ОТЧЁТ!V197</f>
        <v>5300.694</v>
      </c>
      <c r="Q162" s="1465">
        <f>ОТЧЁТ!W197</f>
        <v>5279.491224</v>
      </c>
      <c r="R162" s="1465">
        <f>ОТЧЁТ!X197</f>
        <v>5263.652750328</v>
      </c>
      <c r="S162" s="1465">
        <f>ОТЧЁТ!Y197</f>
        <v>5274.180055828657</v>
      </c>
      <c r="T162" s="1465">
        <f>ОТЧЁТ!Z197</f>
        <v>5300.5509561078</v>
      </c>
      <c r="U162" s="1465">
        <f>ОТЧЁТ!AA197</f>
        <v>5348.25591471277</v>
      </c>
      <c r="V162" s="1465">
        <f>ОТЧЁТ!AB197</f>
        <v>5401.7384738598985</v>
      </c>
      <c r="W162" s="1465">
        <f>ОТЧЁТ!AC197</f>
        <v>5471.961074020077</v>
      </c>
      <c r="X162" s="1465">
        <f>ОТЧЁТ!AD197</f>
        <v>5559.5124512043985</v>
      </c>
      <c r="Y162" s="1465">
        <f>ОТЧЁТ!AE197</f>
        <v>5665.143187777283</v>
      </c>
      <c r="Z162" s="1465">
        <f>ОТЧЁТ!AF197</f>
        <v>5801.106624283938</v>
      </c>
      <c r="AA162" s="1465">
        <f>ОТЧЁТ!AG197</f>
        <v>5980.940929636739</v>
      </c>
      <c r="AB162" s="1465">
        <f>ОТЧЁТ!AH197</f>
        <v>6196.254803103662</v>
      </c>
      <c r="AC162" s="1465">
        <f>ОТЧЁТ!AI197</f>
        <v>6394.53495680298</v>
      </c>
      <c r="AD162" s="1465">
        <f>ОТЧЁТ!AJ197</f>
        <v>6586.37100550707</v>
      </c>
      <c r="AE162" s="1465">
        <f>ОТЧЁТ!AK197</f>
        <v>6849.825845727352</v>
      </c>
      <c r="AF162" s="1465">
        <f>ОТЧЁТ!AL197</f>
        <v>7144.368357093628</v>
      </c>
      <c r="AG162" s="1465">
        <f>ОТЧЁТ!AM197</f>
        <v>7437.287459734466</v>
      </c>
      <c r="AH162" s="1465">
        <f>ОТЧЁТ!AN197</f>
        <v>7712.467095744641</v>
      </c>
      <c r="AI162" s="1465">
        <f>ОТЧЁТ!AO197</f>
        <v>7959.266042808469</v>
      </c>
      <c r="AJ162" s="1465">
        <f>ОТЧЁТ!AP197</f>
        <v>8269.677418477999</v>
      </c>
      <c r="AK162" s="1465">
        <f>ОТЧЁТ!AQ197</f>
        <v>8583.925160380162</v>
      </c>
      <c r="AL162" s="1465">
        <f>ОТЧЁТ!AR197</f>
        <v>8944.450017116129</v>
      </c>
      <c r="AM162" s="1460">
        <f>AL162+AM159-AM161</f>
        <v>9340.954295247777</v>
      </c>
      <c r="AN162" s="1460">
        <f t="shared" ref="AN162:BC162" si="90">AM162+AN159-AN161</f>
        <v>9777.097373120789</v>
      </c>
      <c r="AO162" s="1460">
        <f t="shared" si="90"/>
        <v>10277.67713271448</v>
      </c>
      <c r="AP162" s="1460">
        <f t="shared" si="90"/>
        <v>10841.637682005607</v>
      </c>
      <c r="AQ162" s="1460">
        <f t="shared" si="90"/>
        <v>11472.19838918017</v>
      </c>
      <c r="AR162" s="1460">
        <f t="shared" si="90"/>
        <v>12171.522669724915</v>
      </c>
      <c r="AS162" s="1460">
        <f t="shared" si="90"/>
        <v>12943.8442676096</v>
      </c>
      <c r="AT162" s="1460">
        <f t="shared" si="90"/>
        <v>13794.018122687852</v>
      </c>
      <c r="AU162" s="1460">
        <f t="shared" si="90"/>
        <v>14727.435006322718</v>
      </c>
      <c r="AV162" s="1460">
        <f t="shared" si="90"/>
        <v>15749.9731679817</v>
      </c>
      <c r="AW162" s="1460">
        <f t="shared" si="90"/>
        <v>16867.97412476217</v>
      </c>
      <c r="AX162" s="1460">
        <f t="shared" si="90"/>
        <v>18088.23426443243</v>
      </c>
      <c r="AY162" s="1460">
        <f t="shared" si="90"/>
        <v>19418.006878708406</v>
      </c>
      <c r="AZ162" s="1460">
        <f t="shared" si="90"/>
        <v>20865.011154098043</v>
      </c>
      <c r="BA162" s="1460">
        <f t="shared" si="90"/>
        <v>22437.445885873796</v>
      </c>
      <c r="BB162" s="1460">
        <f t="shared" si="90"/>
        <v>24144.006482971872</v>
      </c>
      <c r="BC162" s="1460">
        <f t="shared" si="90"/>
        <v>25993.90435152339</v>
      </c>
      <c r="BD162" s="1462" t="str">
        <f t="shared" si="41"/>
        <v>FS</v>
      </c>
    </row>
    <row r="163" ht="15.5" customHeight="1" spans="1:56" x14ac:dyDescent="0.25">
      <c r="A163" s="123" t="s">
        <v>1279</v>
      </c>
      <c r="B163" s="31"/>
      <c r="C163" s="187"/>
      <c r="D163" s="123"/>
      <c r="E163" s="24"/>
      <c r="F163" s="24"/>
      <c r="G163" s="1481" t="s">
        <v>646</v>
      </c>
      <c r="H163" s="1443">
        <v>66</v>
      </c>
      <c r="I163" s="1494"/>
      <c r="J163" s="1458"/>
      <c r="K163" s="1458"/>
      <c r="L163" s="1458"/>
      <c r="M163" s="1458"/>
      <c r="N163" s="1483"/>
      <c r="O163" s="1496">
        <v>1</v>
      </c>
      <c r="P163" s="1465">
        <f>P25</f>
        <v>2.4661634872716665</v>
      </c>
      <c r="Q163" s="1465">
        <f t="shared" ref="Q163:BC163" si="91">Q25</f>
        <v>2.5165818894824628</v>
      </c>
      <c r="R163" s="1465">
        <f t="shared" si="91"/>
        <v>2.6836249787031963</v>
      </c>
      <c r="S163" s="1465">
        <f t="shared" si="91"/>
        <v>2.701164323022275</v>
      </c>
      <c r="T163" s="1465">
        <f t="shared" si="91"/>
        <v>3.2947518370474893</v>
      </c>
      <c r="U163" s="1465">
        <f t="shared" si="91"/>
        <v>3.7846782806927575</v>
      </c>
      <c r="V163" s="1465">
        <f t="shared" si="91"/>
        <v>4.522803189792793</v>
      </c>
      <c r="W163" s="1465">
        <f t="shared" si="91"/>
        <v>5.542638112686384</v>
      </c>
      <c r="X163" s="1465">
        <f t="shared" si="91"/>
        <v>6.272852216104846</v>
      </c>
      <c r="Y163" s="1465">
        <f t="shared" si="91"/>
        <v>7.324439758120246</v>
      </c>
      <c r="Z163" s="1465">
        <f t="shared" si="91"/>
        <v>8.186196716537998</v>
      </c>
      <c r="AA163" s="1465">
        <f t="shared" si="91"/>
        <v>10.097240670067599</v>
      </c>
      <c r="AB163" s="1465">
        <f t="shared" si="91"/>
        <v>12.014838376677151</v>
      </c>
      <c r="AC163" s="1465">
        <f t="shared" si="91"/>
        <v>12.870829474853368</v>
      </c>
      <c r="AD163" s="1465">
        <f t="shared" si="91"/>
        <v>14.148307151553455</v>
      </c>
      <c r="AE163" s="1465">
        <f t="shared" si="91"/>
        <v>15.766970202222982</v>
      </c>
      <c r="AF163" s="1465">
        <f t="shared" si="91"/>
        <v>16.974068796381736</v>
      </c>
      <c r="AG163" s="1465">
        <f t="shared" si="91"/>
        <v>17.95315842273053</v>
      </c>
      <c r="AH163" s="1465">
        <f t="shared" si="91"/>
        <v>19.115802786548628</v>
      </c>
      <c r="AI163" s="1465">
        <f t="shared" si="91"/>
        <v>20.193444864834213</v>
      </c>
      <c r="AJ163" s="1465">
        <f t="shared" si="91"/>
        <v>22.17789046888298</v>
      </c>
      <c r="AK163" s="1465">
        <f t="shared" si="91"/>
        <v>22.675989872141365</v>
      </c>
      <c r="AL163" s="1465">
        <f t="shared" si="91"/>
        <v>23.085153319082956</v>
      </c>
      <c r="AM163" s="1465">
        <f t="shared" si="91"/>
        <v>24.669713611800503</v>
      </c>
      <c r="AN163" s="1465">
        <f t="shared" si="91"/>
        <v>25.9000669901399</v>
      </c>
      <c r="AO163" s="1465">
        <f t="shared" si="91"/>
        <v>27.2144903396469</v>
      </c>
      <c r="AP163" s="1465">
        <f t="shared" si="91"/>
        <v>28.594634856629245</v>
      </c>
      <c r="AQ163" s="1465">
        <f t="shared" si="91"/>
        <v>30.04378659946071</v>
      </c>
      <c r="AR163" s="1465">
        <f t="shared" si="91"/>
        <v>31.565395929433745</v>
      </c>
      <c r="AS163" s="1465">
        <f t="shared" si="91"/>
        <v>33.16308572590544</v>
      </c>
      <c r="AT163" s="1465">
        <f t="shared" si="91"/>
        <v>34.84066001220071</v>
      </c>
      <c r="AU163" s="1465">
        <f t="shared" si="91"/>
        <v>36.60211301281075</v>
      </c>
      <c r="AV163" s="1465">
        <f t="shared" si="91"/>
        <v>38.45163866345129</v>
      </c>
      <c r="AW163" s="1465">
        <f t="shared" si="91"/>
        <v>40.393640596623854</v>
      </c>
      <c r="AX163" s="1465">
        <f t="shared" si="91"/>
        <v>42.432742626455045</v>
      </c>
      <c r="AY163" s="1465">
        <f t="shared" si="91"/>
        <v>44.573799757777806</v>
      </c>
      <c r="AZ163" s="1465">
        <f t="shared" si="91"/>
        <v>46.8219097456667</v>
      </c>
      <c r="BA163" s="1465">
        <f t="shared" si="91"/>
        <v>49.18242523295004</v>
      </c>
      <c r="BB163" s="1465">
        <f t="shared" si="91"/>
        <v>51.660966494597545</v>
      </c>
      <c r="BC163" s="1465">
        <f t="shared" si="91"/>
        <v>54.26343481932743</v>
      </c>
      <c r="BD163" s="1462" t="str">
        <f t="shared" si="41"/>
        <v>Df</v>
      </c>
    </row>
    <row r="164" ht="15.5" customHeight="1" spans="1:56" x14ac:dyDescent="0.25">
      <c r="A164" s="123" t="s">
        <v>1280</v>
      </c>
      <c r="B164" s="31"/>
      <c r="C164" s="187"/>
      <c r="D164" s="123"/>
      <c r="E164" s="24"/>
      <c r="F164" s="24"/>
      <c r="G164" s="1497" t="s">
        <v>347</v>
      </c>
      <c r="H164" s="1443">
        <v>67</v>
      </c>
      <c r="I164" s="1498"/>
      <c r="J164" s="1458"/>
      <c r="K164" s="1458"/>
      <c r="L164" s="1458"/>
      <c r="M164" s="1458"/>
      <c r="N164" s="1483"/>
      <c r="O164" s="1496">
        <f>O162</f>
        <v>5306</v>
      </c>
      <c r="P164" s="1460">
        <f>ОТЧЁТ!V210</f>
        <v>13250.16</v>
      </c>
      <c r="Q164" s="1460">
        <f>ОТЧЁТ!W210</f>
        <v>13411.951</v>
      </c>
      <c r="R164" s="1460">
        <f>ОТЧЁТ!X210</f>
        <v>14277.54</v>
      </c>
      <c r="S164" s="1460">
        <f>ОТЧЁТ!Y210</f>
        <v>14334.783</v>
      </c>
      <c r="T164" s="1460">
        <f>ОТЧЁТ!Z210</f>
        <v>17464.172</v>
      </c>
      <c r="U164" s="1460">
        <f>ОТЧЁТ!AA210</f>
        <v>21495.236</v>
      </c>
      <c r="V164" s="1460">
        <f>ОТЧЁТ!AB210</f>
        <v>26333.273</v>
      </c>
      <c r="W164" s="1460">
        <f>ОТЧЁТ!AC210</f>
        <v>32173.286</v>
      </c>
      <c r="X164" s="1460">
        <f>ОТЧЁТ!AD210</f>
        <v>34873.724</v>
      </c>
      <c r="Y164" s="1460">
        <f>ОТЧЁТ!AE210</f>
        <v>41493.568</v>
      </c>
      <c r="Z164" s="1460">
        <f>ОТЧЁТ!AF210</f>
        <v>47489.498</v>
      </c>
      <c r="AA164" s="1460">
        <f>ОТЧЁТ!AG210</f>
        <v>60391.454</v>
      </c>
      <c r="AB164" s="1460">
        <f>ОТЧЁТ!AH210</f>
        <v>74471.182</v>
      </c>
      <c r="AC164" s="1460">
        <f>ОТЧЁТ!AI210</f>
        <v>82302.969</v>
      </c>
      <c r="AD164" s="1460">
        <f>ОТЧЁТ!AJ210</f>
        <v>93186</v>
      </c>
      <c r="AE164" s="1460">
        <f>ОТЧЁТ!AK210</f>
        <v>108001</v>
      </c>
      <c r="AF164" s="1460">
        <f>ОТЧЁТ!AL210</f>
        <v>121269</v>
      </c>
      <c r="AG164" s="1460">
        <f>ОТЧЁТ!AM210</f>
        <v>133522.8</v>
      </c>
      <c r="AH164" s="1460">
        <f>ОТЧЁТ!AN210</f>
        <v>147430</v>
      </c>
      <c r="AI164" s="1460">
        <f>ОТЧЁТ!AO210</f>
        <v>160725</v>
      </c>
      <c r="AJ164" s="1460">
        <f>ОТЧЁТ!AP210</f>
        <v>183404</v>
      </c>
      <c r="AK164" s="1460">
        <f>ОТЧЁТ!AQ210</f>
        <v>194649</v>
      </c>
      <c r="AL164" s="1460">
        <f>ОТЧЁТ!AR210</f>
        <v>206484</v>
      </c>
      <c r="AM164" s="1460">
        <f>AM163*AM162</f>
        <v>230438.66732468046</v>
      </c>
      <c r="AN164" s="1460">
        <f t="shared" ref="AN164:BC164" si="92">AN163*AN162</f>
        <v>253227.47693294927</v>
      </c>
      <c r="AO164" s="1460">
        <f t="shared" si="92"/>
        <v>279701.74504226807</v>
      </c>
      <c r="AP164" s="1460">
        <f t="shared" si="92"/>
        <v>310012.67076482263</v>
      </c>
      <c r="AQ164" s="1460">
        <f t="shared" si="92"/>
        <v>344668.2802312059</v>
      </c>
      <c r="AR164" s="1460">
        <f t="shared" si="92"/>
        <v>384198.93213394535</v>
      </c>
      <c r="AS164" s="1460">
        <f t="shared" si="92"/>
        <v>429257.81706950685</v>
      </c>
      <c r="AT164" s="1460">
        <f t="shared" si="92"/>
        <v>480592.69561470253</v>
      </c>
      <c r="AU164" s="1460">
        <f t="shared" si="92"/>
        <v>539055.2404902492</v>
      </c>
      <c r="AV164" s="1460">
        <f t="shared" si="92"/>
        <v>605612.2772142856</v>
      </c>
      <c r="AW164" s="1460">
        <f t="shared" si="92"/>
        <v>681358.884388794</v>
      </c>
      <c r="AX164" s="1460">
        <f t="shared" si="92"/>
        <v>767533.3891096867</v>
      </c>
      <c r="AY164" s="1460">
        <f t="shared" si="92"/>
        <v>865534.3503067004</v>
      </c>
      <c r="AZ164" s="1460">
        <f t="shared" si="92"/>
        <v>976939.6690995076</v>
      </c>
      <c r="BA164" s="1460">
        <f t="shared" si="92"/>
        <v>1103528.0047003503</v>
      </c>
      <c r="BB164" s="1460">
        <f t="shared" si="92"/>
        <v>1247302.709962156</v>
      </c>
      <c r="BC164" s="1460">
        <f t="shared" si="92"/>
        <v>1410518.534478721</v>
      </c>
      <c r="BD164" s="1462" t="str">
        <f t="shared" si="41"/>
        <v>F</v>
      </c>
    </row>
    <row r="165" ht="15.5" customHeight="1" spans="1:56" x14ac:dyDescent="0.25">
      <c r="A165" s="31"/>
      <c r="B165" s="187"/>
      <c r="C165" s="187"/>
      <c r="D165" s="187"/>
      <c r="E165" s="31"/>
      <c r="F165" s="31"/>
      <c r="G165" s="1481" t="s">
        <v>596</v>
      </c>
      <c r="H165" s="1443">
        <v>68</v>
      </c>
      <c r="I165" s="1494" t="s">
        <v>1281</v>
      </c>
      <c r="J165" s="1458"/>
      <c r="K165" s="1458"/>
      <c r="L165" s="1458"/>
      <c r="M165" s="1458"/>
      <c r="N165" s="1483"/>
      <c r="O165" s="1491">
        <f t="shared" ref="O165:BC165" si="93">O135/O146</f>
        <v>43.206939348996954</v>
      </c>
      <c r="P165" s="1465">
        <f t="shared" si="93"/>
        <v>42.7492868993135</v>
      </c>
      <c r="Q165" s="1465">
        <f t="shared" si="93"/>
        <v>45.44724189473684</v>
      </c>
      <c r="R165" s="1465">
        <f t="shared" si="93"/>
        <v>44.298503885723704</v>
      </c>
      <c r="S165" s="1465">
        <f t="shared" si="93"/>
        <v>43.41673739769028</v>
      </c>
      <c r="T165" s="1465">
        <f t="shared" si="93"/>
        <v>46.04676815125376</v>
      </c>
      <c r="U165" s="1465">
        <f t="shared" si="93"/>
        <v>48.263748607689806</v>
      </c>
      <c r="V165" s="1465">
        <f t="shared" si="93"/>
        <v>49.22629539903151</v>
      </c>
      <c r="W165" s="1465">
        <f t="shared" si="93"/>
        <v>53.22299360111471</v>
      </c>
      <c r="X165" s="1465">
        <f t="shared" si="93"/>
        <v>56.64405273852399</v>
      </c>
      <c r="Y165" s="1465">
        <f t="shared" si="93"/>
        <v>58.97912732881757</v>
      </c>
      <c r="Z165" s="1465">
        <f t="shared" si="93"/>
        <v>63.457556425113935</v>
      </c>
      <c r="AA165" s="1465">
        <f t="shared" si="93"/>
        <v>67.47991724969835</v>
      </c>
      <c r="AB165" s="1465">
        <f t="shared" si="93"/>
        <v>70.62140234848118</v>
      </c>
      <c r="AC165" s="1465">
        <f t="shared" si="93"/>
        <v>66.89628158851706</v>
      </c>
      <c r="AD165" s="1465">
        <f t="shared" si="93"/>
        <v>69.7150852939227</v>
      </c>
      <c r="AE165" s="1465">
        <f t="shared" si="93"/>
        <v>71.76575210476639</v>
      </c>
      <c r="AF165" s="1465">
        <f t="shared" si="93"/>
        <v>73.84674636436351</v>
      </c>
      <c r="AG165" s="1465">
        <f t="shared" si="93"/>
        <v>75.56012344053151</v>
      </c>
      <c r="AH165" s="1465">
        <f t="shared" si="93"/>
        <v>76.00747797621544</v>
      </c>
      <c r="AI165" s="1465">
        <f t="shared" si="93"/>
        <v>74.20555775569582</v>
      </c>
      <c r="AJ165" s="1465">
        <f t="shared" si="93"/>
        <v>75.0240565513269</v>
      </c>
      <c r="AK165" s="1465">
        <f t="shared" si="93"/>
        <v>77.16721104305692</v>
      </c>
      <c r="AL165" s="1465">
        <f t="shared" si="93"/>
        <v>78.86463585351076</v>
      </c>
      <c r="AM165" s="1465">
        <f t="shared" si="93"/>
        <v>81.25212510567005</v>
      </c>
      <c r="AN165" s="1465">
        <f t="shared" si="93"/>
        <v>82.88308811037199</v>
      </c>
      <c r="AO165" s="1465">
        <f t="shared" si="93"/>
        <v>85.59381301494962</v>
      </c>
      <c r="AP165" s="1465">
        <f t="shared" si="93"/>
        <v>87.75112852325573</v>
      </c>
      <c r="AQ165" s="1465">
        <f t="shared" si="93"/>
        <v>89.84461880747001</v>
      </c>
      <c r="AR165" s="1465">
        <f t="shared" si="93"/>
        <v>91.92422731616456</v>
      </c>
      <c r="AS165" s="1465">
        <f t="shared" si="93"/>
        <v>94.02021710424364</v>
      </c>
      <c r="AT165" s="1465">
        <f t="shared" si="93"/>
        <v>96.15099444859257</v>
      </c>
      <c r="AU165" s="1465">
        <f t="shared" si="93"/>
        <v>98.3277766988718</v>
      </c>
      <c r="AV165" s="1465">
        <f t="shared" si="93"/>
        <v>100.55739281512251</v>
      </c>
      <c r="AW165" s="1465">
        <f t="shared" si="93"/>
        <v>102.84396847408554</v>
      </c>
      <c r="AX165" s="1465">
        <f t="shared" si="93"/>
        <v>105.1899410465458</v>
      </c>
      <c r="AY165" s="1465">
        <f t="shared" si="93"/>
        <v>107.5966706433011</v>
      </c>
      <c r="AZ165" s="1465">
        <f t="shared" si="93"/>
        <v>110.06480728610761</v>
      </c>
      <c r="BA165" s="1465">
        <f t="shared" si="93"/>
        <v>112.5945107896797</v>
      </c>
      <c r="BB165" s="1465">
        <f t="shared" si="93"/>
        <v>115.18558177489867</v>
      </c>
      <c r="BC165" s="1465">
        <f t="shared" si="93"/>
        <v>117.83753920498619</v>
      </c>
      <c r="BD165" s="1462" t="str">
        <f t="shared" si="41"/>
        <v>POS</v>
      </c>
    </row>
    <row r="166" ht="15.5" customHeight="1" spans="1:56" x14ac:dyDescent="0.25">
      <c r="A166" s="31"/>
      <c r="B166" s="187"/>
      <c r="C166" s="187"/>
      <c r="D166" s="187"/>
      <c r="E166" s="31"/>
      <c r="F166" s="31"/>
      <c r="G166" s="1481" t="s">
        <v>1010</v>
      </c>
      <c r="H166" s="1443">
        <v>69</v>
      </c>
      <c r="I166" s="1494" t="s">
        <v>1282</v>
      </c>
      <c r="J166" s="1458"/>
      <c r="K166" s="1458"/>
      <c r="L166" s="1458"/>
      <c r="M166" s="1458"/>
      <c r="N166" s="1483"/>
      <c r="O166" s="1499">
        <f t="shared" ref="O166:AL166" si="94">O33/O135</f>
        <v>1.9171703634945614</v>
      </c>
      <c r="P166" s="1468">
        <f t="shared" si="94"/>
        <v>1.9704250958138552</v>
      </c>
      <c r="Q166" s="1468">
        <f t="shared" si="94"/>
        <v>1.9354471355331357</v>
      </c>
      <c r="R166" s="1468">
        <f t="shared" si="94"/>
        <v>2.033341195075381</v>
      </c>
      <c r="S166" s="1468">
        <f t="shared" si="94"/>
        <v>1.9257163303076856</v>
      </c>
      <c r="T166" s="1468">
        <f t="shared" si="94"/>
        <v>1.769053850054135</v>
      </c>
      <c r="U166" s="1468">
        <f t="shared" si="94"/>
        <v>1.7015970778881055</v>
      </c>
      <c r="V166" s="1468">
        <f t="shared" si="94"/>
        <v>1.6461810810986461</v>
      </c>
      <c r="W166" s="1468">
        <f t="shared" si="94"/>
        <v>1.5497968728187064</v>
      </c>
      <c r="X166" s="1468">
        <f t="shared" si="94"/>
        <v>1.4579570581331533</v>
      </c>
      <c r="Y166" s="1468">
        <f t="shared" si="94"/>
        <v>1.4055423294585465</v>
      </c>
      <c r="Z166" s="1468">
        <f t="shared" si="94"/>
        <v>1.3216486183338398</v>
      </c>
      <c r="AA166" s="1468">
        <f t="shared" si="94"/>
        <v>1.2524078359395117</v>
      </c>
      <c r="AB166" s="1468">
        <f t="shared" si="94"/>
        <v>1.2357090647936515</v>
      </c>
      <c r="AC166" s="1468">
        <f t="shared" si="94"/>
        <v>1.3771617223186268</v>
      </c>
      <c r="AD166" s="1468">
        <f t="shared" si="94"/>
        <v>1.3509300704649387</v>
      </c>
      <c r="AE166" s="1468">
        <f t="shared" si="94"/>
        <v>1.3470443655642725</v>
      </c>
      <c r="AF166" s="1468">
        <f t="shared" si="94"/>
        <v>1.3522302918994573</v>
      </c>
      <c r="AG166" s="1468">
        <f t="shared" si="94"/>
        <v>1.3787186423774092</v>
      </c>
      <c r="AH166" s="1468">
        <f t="shared" si="94"/>
        <v>1.4183841588743782</v>
      </c>
      <c r="AI166" s="1468">
        <f t="shared" si="94"/>
        <v>1.4830521296437271</v>
      </c>
      <c r="AJ166" s="1468">
        <f t="shared" si="94"/>
        <v>1.5226197259879768</v>
      </c>
      <c r="AK166" s="1468">
        <f t="shared" si="94"/>
        <v>1.5419310005614826</v>
      </c>
      <c r="AL166" s="1468">
        <f t="shared" si="94"/>
        <v>1.567504490326893</v>
      </c>
      <c r="AM166" s="1468">
        <f>AM162/AM135</f>
        <v>1.5707452428651858</v>
      </c>
      <c r="AN166" s="1468">
        <f t="shared" ref="AN166:BC166" si="95">AN162/AN135</f>
        <v>1.6003872498703775</v>
      </c>
      <c r="AO166" s="1468">
        <f t="shared" si="95"/>
        <v>1.6090173912535912</v>
      </c>
      <c r="AP166" s="1468">
        <f t="shared" si="95"/>
        <v>1.6395568050029952</v>
      </c>
      <c r="AQ166" s="1468">
        <f t="shared" si="95"/>
        <v>1.678540426036336</v>
      </c>
      <c r="AR166" s="1468">
        <f t="shared" si="95"/>
        <v>1.7242323077149073</v>
      </c>
      <c r="AS166" s="1468">
        <f t="shared" si="95"/>
        <v>1.7757064609884956</v>
      </c>
      <c r="AT166" s="1468">
        <f t="shared" si="95"/>
        <v>1.832387679127938</v>
      </c>
      <c r="AU166" s="1468">
        <f t="shared" si="95"/>
        <v>1.8939057068135985</v>
      </c>
      <c r="AV166" s="1468">
        <f t="shared" si="95"/>
        <v>1.9600097212996064</v>
      </c>
      <c r="AW166" s="1468">
        <f t="shared" si="95"/>
        <v>2.0305174308338145</v>
      </c>
      <c r="AX166" s="1468">
        <f t="shared" si="95"/>
        <v>2.1052845098159185</v>
      </c>
      <c r="AY166" s="1468">
        <f t="shared" si="95"/>
        <v>2.1841861728063026</v>
      </c>
      <c r="AZ166" s="1468">
        <f t="shared" si="95"/>
        <v>2.267106076230595</v>
      </c>
      <c r="BA166" s="1468">
        <f t="shared" si="95"/>
        <v>2.353929681488263</v>
      </c>
      <c r="BB166" s="1468">
        <f t="shared" si="95"/>
        <v>2.4445403539534643</v>
      </c>
      <c r="BC166" s="1468">
        <f t="shared" si="95"/>
        <v>2.5388171511953033</v>
      </c>
      <c r="BD166" s="287" t="str">
        <f t="shared" si="41"/>
        <v>FOS</v>
      </c>
    </row>
    <row r="167" ht="16.25" customHeight="1" spans="1:56" x14ac:dyDescent="0.25">
      <c r="A167" s="31"/>
      <c r="B167" s="187"/>
      <c r="C167" s="187"/>
      <c r="D167" s="187"/>
      <c r="E167" s="31"/>
      <c r="F167" s="31"/>
      <c r="G167" s="202"/>
      <c r="H167" s="1443">
        <v>70</v>
      </c>
      <c r="I167" s="1500"/>
      <c r="J167" s="1501"/>
      <c r="K167" s="1501"/>
      <c r="L167" s="1501"/>
      <c r="M167" s="1501"/>
      <c r="N167" s="1502"/>
      <c r="O167" s="1503">
        <v>1995</v>
      </c>
      <c r="P167" s="1452">
        <v>1996</v>
      </c>
      <c r="Q167" s="1452">
        <v>1997</v>
      </c>
      <c r="R167" s="1452">
        <v>1998</v>
      </c>
      <c r="S167" s="1452">
        <v>1999</v>
      </c>
      <c r="T167" s="1452">
        <v>2000</v>
      </c>
      <c r="U167" s="1452">
        <v>2001</v>
      </c>
      <c r="V167" s="1452">
        <v>2002</v>
      </c>
      <c r="W167" s="1452">
        <v>2003</v>
      </c>
      <c r="X167" s="1452">
        <v>2004</v>
      </c>
      <c r="Y167" s="1452">
        <v>2005</v>
      </c>
      <c r="Z167" s="1452">
        <v>2006</v>
      </c>
      <c r="AA167" s="1452">
        <v>2007</v>
      </c>
      <c r="AB167" s="1452">
        <v>2008</v>
      </c>
      <c r="AC167" s="1452">
        <v>2009</v>
      </c>
      <c r="AD167" s="1504">
        <v>2010</v>
      </c>
      <c r="AE167" s="1452">
        <v>2011</v>
      </c>
      <c r="AF167" s="1452">
        <v>2012</v>
      </c>
      <c r="AG167" s="1452">
        <v>2013</v>
      </c>
      <c r="AH167" s="1452">
        <v>2014</v>
      </c>
      <c r="AI167" s="1452">
        <v>2015</v>
      </c>
      <c r="AJ167" s="1452">
        <v>2016</v>
      </c>
      <c r="AK167" s="1452">
        <v>2017</v>
      </c>
      <c r="AL167" s="1452">
        <v>2018</v>
      </c>
      <c r="AM167" s="1452">
        <v>2019</v>
      </c>
      <c r="AN167" s="1452">
        <v>2020</v>
      </c>
      <c r="AO167" s="1452">
        <v>2021</v>
      </c>
      <c r="AP167" s="1452">
        <v>2022</v>
      </c>
      <c r="AQ167" s="1452">
        <v>2023</v>
      </c>
      <c r="AR167" s="1452">
        <v>2024</v>
      </c>
      <c r="AS167" s="1452">
        <v>2025</v>
      </c>
      <c r="AT167" s="1452">
        <v>2026</v>
      </c>
      <c r="AU167" s="1452">
        <v>2027</v>
      </c>
      <c r="AV167" s="1452">
        <v>2028</v>
      </c>
      <c r="AW167" s="1452">
        <v>2029</v>
      </c>
      <c r="AX167" s="1452">
        <v>2030</v>
      </c>
      <c r="AY167" s="1452">
        <v>2031</v>
      </c>
      <c r="AZ167" s="1452">
        <v>2032</v>
      </c>
      <c r="BA167" s="1452">
        <v>2033</v>
      </c>
      <c r="BB167" s="1452">
        <v>2034</v>
      </c>
      <c r="BC167" s="1452">
        <v>2035</v>
      </c>
      <c r="BD167" s="287">
        <f t="shared" ref="BD167:BD189" si="96">G167</f>
        <v>0</v>
      </c>
    </row>
    <row r="168" ht="15.5" customHeight="1" hidden="1" spans="1:56" x14ac:dyDescent="0.25">
      <c r="A168" s="26"/>
      <c r="B168" s="26"/>
      <c r="C168" s="26"/>
      <c r="D168" s="26"/>
      <c r="E168" s="24"/>
      <c r="F168" s="26"/>
      <c r="G168" s="1481"/>
      <c r="H168" s="1443"/>
      <c r="I168" s="1505"/>
      <c r="J168" s="287"/>
      <c r="K168" s="287"/>
      <c r="L168" s="287"/>
      <c r="M168" s="287"/>
      <c r="N168" s="1495"/>
      <c r="O168" s="1485"/>
      <c r="P168" s="1468"/>
      <c r="Q168" s="1468"/>
      <c r="R168" s="1468"/>
      <c r="S168" s="1468"/>
      <c r="T168" s="1468"/>
      <c r="U168" s="1468"/>
      <c r="V168" s="1460"/>
      <c r="W168" s="1460"/>
      <c r="X168" s="1460"/>
      <c r="Y168" s="1460"/>
      <c r="Z168" s="1460"/>
      <c r="AA168" s="1460"/>
      <c r="AB168" s="1460"/>
      <c r="AC168" s="1460"/>
      <c r="AD168" s="1460"/>
      <c r="AE168" s="1460"/>
      <c r="AF168" s="1460"/>
      <c r="AG168" s="1460"/>
      <c r="AH168" s="1460"/>
      <c r="AI168" s="1460"/>
      <c r="AJ168" s="1468"/>
      <c r="AK168" s="1468"/>
      <c r="AL168" s="1468"/>
      <c r="AM168" s="1468"/>
      <c r="AN168" s="1468"/>
      <c r="AO168" s="1468"/>
      <c r="AP168" s="1468"/>
      <c r="AQ168" s="1468"/>
      <c r="AR168" s="1468"/>
      <c r="AS168" s="1468"/>
      <c r="AT168" s="1468"/>
      <c r="AU168" s="1468"/>
      <c r="AV168" s="1468"/>
      <c r="AW168" s="1468"/>
      <c r="AX168" s="1468"/>
      <c r="AY168" s="1468"/>
      <c r="AZ168" s="1468"/>
      <c r="BA168" s="1468"/>
      <c r="BB168" s="1468"/>
      <c r="BC168" s="1468"/>
      <c r="BD168" s="287">
        <f t="shared" si="96"/>
        <v>0</v>
      </c>
    </row>
    <row r="169" ht="15.5" customHeight="1" spans="1:56" x14ac:dyDescent="0.25">
      <c r="A169" s="26"/>
      <c r="B169" s="26"/>
      <c r="C169" s="26"/>
      <c r="D169" s="26"/>
      <c r="E169" s="26"/>
      <c r="G169" s="1506"/>
      <c r="H169" s="1443"/>
      <c r="I169" s="1507" t="s">
        <v>1283</v>
      </c>
      <c r="J169" s="1508"/>
      <c r="K169" s="1508"/>
      <c r="L169" s="1508"/>
      <c r="M169" s="1508"/>
      <c r="N169" s="1509"/>
      <c r="BD169" s="287">
        <f t="shared" si="96"/>
        <v>0</v>
      </c>
    </row>
    <row r="170" ht="15.5" customHeight="1" spans="1:56" x14ac:dyDescent="0.25">
      <c r="A170" s="26" t="s">
        <v>1284</v>
      </c>
      <c r="B170" s="26"/>
      <c r="C170" s="26"/>
      <c r="D170" s="26"/>
      <c r="E170" s="1465"/>
      <c r="F170" s="103"/>
      <c r="G170" s="1506" t="s">
        <v>1285</v>
      </c>
      <c r="H170" s="1443"/>
      <c r="I170" s="1510" t="s">
        <v>1286</v>
      </c>
      <c r="J170" s="1449"/>
      <c r="K170" s="1449"/>
      <c r="L170" s="1449"/>
      <c r="M170" s="1449"/>
      <c r="N170" s="1511"/>
      <c r="BD170" s="287" t="str">
        <f t="shared" si="96"/>
        <v>RXOS</v>
      </c>
    </row>
    <row r="171" ht="16.25" customHeight="1" spans="1:56" x14ac:dyDescent="0.25">
      <c r="A171" s="26"/>
      <c r="B171" s="26"/>
      <c r="C171" s="26"/>
      <c r="D171" s="26"/>
      <c r="E171" s="26"/>
      <c r="G171" s="1506" t="s">
        <v>589</v>
      </c>
      <c r="H171" s="1443"/>
      <c r="I171" s="1512" t="s">
        <v>1287</v>
      </c>
      <c r="J171" s="1513"/>
      <c r="K171" s="1513"/>
      <c r="L171" s="1322"/>
      <c r="M171" s="1322"/>
      <c r="N171" s="1514"/>
      <c r="BD171" s="287" t="str">
        <f t="shared" si="96"/>
        <v>XOS</v>
      </c>
    </row>
    <row r="172" ht="16.25" customHeight="1" spans="1:56" x14ac:dyDescent="0.25">
      <c r="A172" s="26"/>
      <c r="B172" s="26"/>
      <c r="C172" s="26"/>
      <c r="D172" s="26"/>
      <c r="E172" s="26"/>
      <c r="G172" s="1506"/>
      <c r="H172" s="1443"/>
      <c r="I172" s="1515" t="s">
        <v>1288</v>
      </c>
      <c r="J172" s="1516"/>
      <c r="K172" s="1516"/>
      <c r="L172" s="1516"/>
      <c r="M172" s="1517"/>
      <c r="N172" s="1518"/>
      <c r="O172" s="1519"/>
      <c r="AB172" s="24"/>
      <c r="AD172" s="24"/>
      <c r="BD172" s="287">
        <f t="shared" si="96"/>
        <v>0</v>
      </c>
    </row>
    <row r="173" ht="17.5" customHeight="1" spans="1:56" x14ac:dyDescent="0.25">
      <c r="A173" s="24"/>
      <c r="B173" s="24"/>
      <c r="C173" s="24"/>
      <c r="D173" s="24"/>
      <c r="E173" s="24"/>
      <c r="H173" s="1443"/>
      <c r="I173" s="1520" t="s">
        <v>1289</v>
      </c>
      <c r="J173" s="1520"/>
      <c r="K173" s="1520"/>
      <c r="L173" s="1520"/>
      <c r="M173" s="1521"/>
      <c r="N173" s="1522"/>
      <c r="O173" s="1523"/>
      <c r="AB173" s="24"/>
      <c r="AD173" s="24"/>
      <c r="BD173" s="287">
        <f t="shared" si="96"/>
        <v>0</v>
      </c>
    </row>
    <row r="174" ht="15.5" customHeight="1" spans="1:56" x14ac:dyDescent="0.25">
      <c r="A174" s="187" t="s">
        <v>1290</v>
      </c>
      <c r="B174" s="187"/>
      <c r="C174" s="187"/>
      <c r="D174" s="187"/>
      <c r="E174" s="187"/>
      <c r="H174" s="1443"/>
      <c r="I174" s="287" t="s">
        <v>199</v>
      </c>
      <c r="J174" s="287"/>
      <c r="K174" s="287"/>
      <c r="L174" s="1458"/>
      <c r="M174" s="1458"/>
      <c r="N174" s="1458"/>
      <c r="O174" s="1523"/>
      <c r="AB174" s="24"/>
      <c r="AD174" s="24"/>
      <c r="BD174" s="287">
        <f t="shared" si="96"/>
        <v>0</v>
      </c>
    </row>
    <row r="175" ht="15.5" customHeight="1" spans="1:56" x14ac:dyDescent="0.25">
      <c r="A175" s="187" t="s">
        <v>1291</v>
      </c>
      <c r="B175" s="187"/>
      <c r="C175" s="187"/>
      <c r="D175" s="187"/>
      <c r="E175" s="187"/>
      <c r="G175" s="26" t="s">
        <v>944</v>
      </c>
      <c r="H175" s="1443"/>
      <c r="I175" s="287" t="s">
        <v>1292</v>
      </c>
      <c r="J175" s="287"/>
      <c r="K175" s="287"/>
      <c r="L175" s="1458"/>
      <c r="M175" s="1458"/>
      <c r="N175" s="1458"/>
      <c r="O175" s="1523">
        <v>1</v>
      </c>
      <c r="P175" s="265">
        <f t="shared" ref="P175:BC175" si="97">P127/$O127</f>
        <v>0.9639999999999999</v>
      </c>
      <c r="Q175" s="265">
        <f t="shared" si="97"/>
        <v>0.9774959999999997</v>
      </c>
      <c r="R175" s="265">
        <f t="shared" si="97"/>
        <v>0.9256887119999997</v>
      </c>
      <c r="S175" s="265">
        <f t="shared" si="97"/>
        <v>0.984932789568</v>
      </c>
      <c r="T175" s="265">
        <f t="shared" si="97"/>
        <v>1.0834260685247998</v>
      </c>
      <c r="U175" s="265">
        <f t="shared" si="97"/>
        <v>1.1386807980195648</v>
      </c>
      <c r="V175" s="265">
        <f t="shared" si="97"/>
        <v>1.1921987955264843</v>
      </c>
      <c r="W175" s="265">
        <f t="shared" si="97"/>
        <v>1.279229307599918</v>
      </c>
      <c r="X175" s="265">
        <f t="shared" si="97"/>
        <v>1.3713338177471124</v>
      </c>
      <c r="Y175" s="265">
        <f t="shared" si="97"/>
        <v>1.459099182082927</v>
      </c>
      <c r="Z175" s="265">
        <f t="shared" si="97"/>
        <v>1.5787453150137272</v>
      </c>
      <c r="AA175" s="265">
        <f t="shared" si="97"/>
        <v>1.712938666789894</v>
      </c>
      <c r="AB175" s="265">
        <f t="shared" si="97"/>
        <v>1.8020114774629683</v>
      </c>
      <c r="AC175" s="265">
        <f t="shared" si="97"/>
        <v>1.6596525707433945</v>
      </c>
      <c r="AD175" s="265">
        <f t="shared" si="97"/>
        <v>1.734336936426847</v>
      </c>
      <c r="AE175" s="265">
        <f t="shared" si="97"/>
        <v>1.8089134246932008</v>
      </c>
      <c r="AF175" s="265">
        <f t="shared" si="97"/>
        <v>1.8750455190419224</v>
      </c>
      <c r="AG175" s="265">
        <f t="shared" si="97"/>
        <v>1.9085217286102594</v>
      </c>
      <c r="AH175" s="265">
        <f t="shared" si="97"/>
        <v>1.9226180848563927</v>
      </c>
      <c r="AI175" s="265">
        <f t="shared" si="97"/>
        <v>1.8783978689046958</v>
      </c>
      <c r="AJ175" s="265">
        <f t="shared" si="97"/>
        <v>1.882154664642504</v>
      </c>
      <c r="AK175" s="265">
        <f t="shared" si="97"/>
        <v>1.9160334486060695</v>
      </c>
      <c r="AL175" s="265">
        <f t="shared" si="97"/>
        <v>1.9696823851670402</v>
      </c>
      <c r="AM175" s="265">
        <f t="shared" si="97"/>
        <v>2.036464169559801</v>
      </c>
      <c r="AN175" s="265">
        <f t="shared" si="97"/>
        <v>2.087624775401549</v>
      </c>
      <c r="AO175" s="265">
        <f t="shared" si="97"/>
        <v>2.178091665845489</v>
      </c>
      <c r="AP175" s="265">
        <f t="shared" si="97"/>
        <v>2.2500009512133055</v>
      </c>
      <c r="AQ175" s="265">
        <f t="shared" si="97"/>
        <v>2.3205957758083766</v>
      </c>
      <c r="AR175" s="265">
        <f t="shared" si="97"/>
        <v>2.3916750188928955</v>
      </c>
      <c r="AS175" s="265">
        <f t="shared" si="97"/>
        <v>2.4644017832794307</v>
      </c>
      <c r="AT175" s="265">
        <f t="shared" si="97"/>
        <v>2.539552554767217</v>
      </c>
      <c r="AU175" s="265">
        <f t="shared" si="97"/>
        <v>2.6176699223460345</v>
      </c>
      <c r="AV175" s="265">
        <f t="shared" si="97"/>
        <v>2.699156275757811</v>
      </c>
      <c r="AW175" s="265">
        <f t="shared" si="97"/>
        <v>2.7843313683147004</v>
      </c>
      <c r="AX175" s="265">
        <f t="shared" si="97"/>
        <v>2.8734677511818374</v>
      </c>
      <c r="AY175" s="265">
        <f t="shared" si="97"/>
        <v>2.966812653656985</v>
      </c>
      <c r="AZ175" s="265">
        <f t="shared" si="97"/>
        <v>3.0646015609049453</v>
      </c>
      <c r="BA175" s="265">
        <f t="shared" si="97"/>
        <v>3.167066706781321</v>
      </c>
      <c r="BB175" s="265">
        <f t="shared" si="97"/>
        <v>3.274442454143057</v>
      </c>
      <c r="BC175" s="265">
        <f t="shared" si="97"/>
        <v>3.3869687723405733</v>
      </c>
      <c r="BD175" s="287" t="str">
        <f t="shared" si="96"/>
        <v>^Pw</v>
      </c>
    </row>
    <row r="176" ht="15.5" customHeight="1" spans="1:56" x14ac:dyDescent="0.25">
      <c r="A176" s="187" t="s">
        <v>1293</v>
      </c>
      <c r="B176" s="187"/>
      <c r="C176" s="187"/>
      <c r="D176" s="187"/>
      <c r="E176" s="187"/>
      <c r="G176" s="26" t="s">
        <v>776</v>
      </c>
      <c r="H176" s="1443"/>
      <c r="I176" s="287" t="s">
        <v>209</v>
      </c>
      <c r="J176" s="1458"/>
      <c r="K176" s="1458"/>
      <c r="L176" s="1458"/>
      <c r="M176" s="1458"/>
      <c r="N176" s="1458"/>
      <c r="O176" s="1523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2"/>
      <c r="AL176" s="242"/>
      <c r="AM176" s="242"/>
      <c r="AN176" s="242"/>
      <c r="AO176" s="242"/>
      <c r="AP176" s="242"/>
      <c r="AQ176" s="242"/>
      <c r="AR176" s="242"/>
      <c r="AS176" s="242"/>
      <c r="AT176" s="242"/>
      <c r="AU176" s="242"/>
      <c r="AV176" s="242"/>
      <c r="AW176" s="242"/>
      <c r="AX176" s="242"/>
      <c r="AY176" s="242"/>
      <c r="AZ176" s="242"/>
      <c r="BA176" s="242"/>
      <c r="BB176" s="242"/>
      <c r="BC176" s="242"/>
      <c r="BD176" s="287" t="str">
        <f t="shared" si="96"/>
        <v>Pw</v>
      </c>
    </row>
    <row r="177" ht="15.5" customHeight="1" spans="1:56" x14ac:dyDescent="0.25">
      <c r="A177" s="187" t="s">
        <v>1294</v>
      </c>
      <c r="B177" s="187"/>
      <c r="C177" s="187"/>
      <c r="D177" s="187"/>
      <c r="E177" s="187"/>
      <c r="G177" s="123" t="s">
        <v>895</v>
      </c>
      <c r="H177" s="1443"/>
      <c r="I177" s="287" t="s">
        <v>894</v>
      </c>
      <c r="J177" s="287"/>
      <c r="K177" s="287"/>
      <c r="L177" s="1458"/>
      <c r="M177" s="1458"/>
      <c r="N177" s="1458"/>
      <c r="O177" s="1524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2"/>
      <c r="AL177" s="242"/>
      <c r="AM177" s="242"/>
      <c r="AN177" s="242"/>
      <c r="AO177" s="242"/>
      <c r="AP177" s="242"/>
      <c r="AQ177" s="242"/>
      <c r="AR177" s="242"/>
      <c r="AS177" s="242"/>
      <c r="AT177" s="242"/>
      <c r="AU177" s="242"/>
      <c r="AV177" s="242"/>
      <c r="AW177" s="242"/>
      <c r="AX177" s="242"/>
      <c r="AY177" s="242"/>
      <c r="AZ177" s="242"/>
      <c r="BA177" s="242"/>
      <c r="BB177" s="242"/>
      <c r="BC177" s="242"/>
      <c r="BD177" s="287" t="str">
        <f t="shared" si="96"/>
        <v>Dx</v>
      </c>
    </row>
    <row r="178" ht="15.5" customHeight="1" spans="1:56" x14ac:dyDescent="0.25">
      <c r="A178" s="187" t="s">
        <v>1295</v>
      </c>
      <c r="B178" s="187"/>
      <c r="C178" s="187"/>
      <c r="D178" s="187"/>
      <c r="E178" s="187"/>
      <c r="G178" s="26" t="s">
        <v>893</v>
      </c>
      <c r="H178" s="1443"/>
      <c r="I178" s="287" t="s">
        <v>1161</v>
      </c>
      <c r="J178" s="287"/>
      <c r="K178" s="287"/>
      <c r="L178" s="1458"/>
      <c r="M178" s="1458"/>
      <c r="N178" s="1458"/>
      <c r="O178" s="1524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242"/>
      <c r="AP178" s="242"/>
      <c r="AQ178" s="242"/>
      <c r="AR178" s="242"/>
      <c r="AS178" s="242"/>
      <c r="AT178" s="242"/>
      <c r="AU178" s="242"/>
      <c r="AV178" s="242"/>
      <c r="AW178" s="242"/>
      <c r="AX178" s="242"/>
      <c r="AY178" s="242"/>
      <c r="AZ178" s="242"/>
      <c r="BA178" s="242"/>
      <c r="BB178" s="242"/>
      <c r="BC178" s="242"/>
      <c r="BD178" s="287" t="str">
        <f t="shared" si="96"/>
        <v>Px</v>
      </c>
    </row>
    <row r="179" ht="15.5" customHeight="1" spans="1:56" x14ac:dyDescent="0.25">
      <c r="A179" s="187" t="s">
        <v>1296</v>
      </c>
      <c r="B179" s="187"/>
      <c r="C179" s="187"/>
      <c r="D179" s="187"/>
      <c r="E179" s="187"/>
      <c r="G179" s="26" t="s">
        <v>879</v>
      </c>
      <c r="H179" s="1443"/>
      <c r="I179" s="287" t="s">
        <v>1195</v>
      </c>
      <c r="J179" s="287"/>
      <c r="K179" s="287"/>
      <c r="L179" s="1458"/>
      <c r="M179" s="1458"/>
      <c r="N179" s="1458"/>
      <c r="O179" s="1524">
        <v>1</v>
      </c>
      <c r="P179" s="279">
        <f t="shared" ref="P179:AX179" si="98">P129/P135</f>
        <v>0.0003583473772235402</v>
      </c>
      <c r="Q179" s="279">
        <f t="shared" si="98"/>
        <v>0.0003583473772235402</v>
      </c>
      <c r="R179" s="279">
        <f t="shared" si="98"/>
        <v>0.0003575921667341334</v>
      </c>
      <c r="S179" s="279">
        <f t="shared" si="98"/>
        <v>0.0003596200996267655</v>
      </c>
      <c r="T179" s="279">
        <f t="shared" si="98"/>
        <v>0.00036159242192819203</v>
      </c>
      <c r="U179" s="279">
        <f t="shared" si="98"/>
        <v>0.000362281825973813</v>
      </c>
      <c r="V179" s="279">
        <f t="shared" si="98"/>
        <v>0.00036332286570362274</v>
      </c>
      <c r="W179" s="279">
        <f t="shared" si="98"/>
        <v>0.0003623098837360476</v>
      </c>
      <c r="X179" s="279">
        <f t="shared" si="98"/>
        <v>0.00035962610681948434</v>
      </c>
      <c r="Y179" s="279">
        <f t="shared" si="98"/>
        <v>0.00036200773666597103</v>
      </c>
      <c r="Z179" s="279">
        <f t="shared" si="98"/>
        <v>0.00035968078151752124</v>
      </c>
      <c r="AA179" s="279">
        <f t="shared" si="98"/>
        <v>0.00035868901465671923</v>
      </c>
      <c r="AB179" s="279">
        <f t="shared" si="98"/>
        <v>0.00035937223182749394</v>
      </c>
      <c r="AC179" s="279">
        <f t="shared" si="98"/>
        <v>0.0003574317770120107</v>
      </c>
      <c r="AD179" s="279">
        <f t="shared" si="98"/>
        <v>0.0003557297209310011</v>
      </c>
      <c r="AE179" s="279">
        <f t="shared" si="98"/>
        <v>0.00035572972093100104</v>
      </c>
      <c r="AF179" s="279">
        <f t="shared" si="98"/>
        <v>0.0003548939840176834</v>
      </c>
      <c r="AG179" s="279">
        <f t="shared" si="98"/>
        <v>0.0003538002935698374</v>
      </c>
      <c r="AH179" s="279">
        <f t="shared" si="98"/>
        <v>0.00035358478697825936</v>
      </c>
      <c r="AI179" s="279">
        <f t="shared" si="98"/>
        <v>0.0003500023676573044</v>
      </c>
      <c r="AJ179" s="279">
        <f t="shared" si="98"/>
        <v>0.0003465438462377658</v>
      </c>
      <c r="AK179" s="279">
        <f t="shared" si="98"/>
        <v>0.00034417720533662984</v>
      </c>
      <c r="AL179" s="279">
        <f t="shared" si="98"/>
        <v>0.00034518455325468827</v>
      </c>
      <c r="AM179" s="279">
        <f t="shared" si="98"/>
        <v>0.0003424453546709714</v>
      </c>
      <c r="AN179" s="279">
        <f t="shared" si="98"/>
        <v>0.0003417177865335835</v>
      </c>
      <c r="AO179" s="279">
        <f t="shared" si="98"/>
        <v>0.00034099021839619577</v>
      </c>
      <c r="AP179" s="279">
        <f t="shared" si="98"/>
        <v>0.00034026265025880793</v>
      </c>
      <c r="AQ179" s="279">
        <f t="shared" si="98"/>
        <v>0.00033953508212142025</v>
      </c>
      <c r="AR179" s="279">
        <f t="shared" si="98"/>
        <v>0.0003388075139840324</v>
      </c>
      <c r="AS179" s="279">
        <f t="shared" si="98"/>
        <v>0.0003380799458466447</v>
      </c>
      <c r="AT179" s="279">
        <f t="shared" si="98"/>
        <v>0.0003373523777092569</v>
      </c>
      <c r="AU179" s="279">
        <f t="shared" si="98"/>
        <v>0.0003366248095718691</v>
      </c>
      <c r="AV179" s="279">
        <f t="shared" si="98"/>
        <v>0.0003358972414344813</v>
      </c>
      <c r="AW179" s="279">
        <f t="shared" si="98"/>
        <v>0.00033516967329709355</v>
      </c>
      <c r="AX179" s="279">
        <f t="shared" si="98"/>
        <v>0.00033444210515970577</v>
      </c>
      <c r="AY179" s="279"/>
      <c r="AZ179" s="279"/>
      <c r="BA179" s="279"/>
      <c r="BB179" s="279"/>
      <c r="BC179" s="279"/>
      <c r="BD179" s="287" t="str">
        <f t="shared" si="96"/>
        <v>DOx</v>
      </c>
    </row>
    <row r="180" ht="15.5" customHeight="1" spans="1:56" x14ac:dyDescent="0.25">
      <c r="A180" s="187" t="s">
        <v>1297</v>
      </c>
      <c r="B180" s="187"/>
      <c r="C180" s="187"/>
      <c r="D180" s="187"/>
      <c r="E180" s="187"/>
      <c r="G180" s="26" t="s">
        <v>1298</v>
      </c>
      <c r="H180" s="1443"/>
      <c r="I180" s="287" t="s">
        <v>1165</v>
      </c>
      <c r="J180" s="287"/>
      <c r="K180" s="287"/>
      <c r="L180" s="1458"/>
      <c r="M180" s="1458"/>
      <c r="N180" s="1458"/>
      <c r="O180" s="1525"/>
      <c r="P180" s="1359"/>
      <c r="Q180" s="1359"/>
      <c r="R180" s="1359"/>
      <c r="S180" s="1359"/>
      <c r="T180" s="1359"/>
      <c r="U180" s="1359"/>
      <c r="V180" s="1359"/>
      <c r="W180" s="1359"/>
      <c r="X180" s="1359"/>
      <c r="Y180" s="1359"/>
      <c r="Z180" s="1359"/>
      <c r="AA180" s="1359"/>
      <c r="AB180" s="1359"/>
      <c r="AC180" s="1359"/>
      <c r="AD180" s="1359"/>
      <c r="AE180" s="1359"/>
      <c r="AF180" s="1359"/>
      <c r="AG180" s="1359"/>
      <c r="AH180" s="1359"/>
      <c r="AI180" s="1359"/>
      <c r="AJ180" s="1359"/>
      <c r="AK180" s="1359"/>
      <c r="AL180" s="1359"/>
      <c r="AM180" s="1359"/>
      <c r="AN180" s="1359"/>
      <c r="AO180" s="1359"/>
      <c r="AP180" s="1359"/>
      <c r="AQ180" s="1359"/>
      <c r="AR180" s="1359"/>
      <c r="AS180" s="1359"/>
      <c r="AT180" s="1359"/>
      <c r="AU180" s="1359"/>
      <c r="AV180" s="1359"/>
      <c r="AW180" s="1359"/>
      <c r="AX180" s="1359"/>
      <c r="AY180" s="1359"/>
      <c r="AZ180" s="1359"/>
      <c r="BA180" s="1359"/>
      <c r="BB180" s="1359"/>
      <c r="BC180" s="1359"/>
      <c r="BD180" s="287" t="str">
        <f t="shared" si="96"/>
        <v>PОx</v>
      </c>
    </row>
    <row r="181" ht="15.5" customHeight="1" spans="1:56" x14ac:dyDescent="0.25">
      <c r="A181" s="187" t="s">
        <v>1299</v>
      </c>
      <c r="B181" s="187"/>
      <c r="C181" s="187"/>
      <c r="D181" s="187"/>
      <c r="E181" s="187"/>
      <c r="G181" s="26" t="s">
        <v>900</v>
      </c>
      <c r="H181" s="1443"/>
      <c r="I181" s="287" t="s">
        <v>1300</v>
      </c>
      <c r="J181" s="287"/>
      <c r="K181" s="1458"/>
      <c r="L181" s="1458"/>
      <c r="M181" s="1458"/>
      <c r="N181" s="1458"/>
      <c r="O181" s="1523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6"/>
      <c r="AE181" s="276"/>
      <c r="AF181" s="276"/>
      <c r="AG181" s="276"/>
      <c r="AH181" s="276"/>
      <c r="AI181" s="276"/>
      <c r="AJ181" s="276"/>
      <c r="AK181" s="276"/>
      <c r="AL181" s="276"/>
      <c r="AM181" s="276"/>
      <c r="AN181" s="276"/>
      <c r="AO181" s="276"/>
      <c r="AP181" s="276"/>
      <c r="AQ181" s="276"/>
      <c r="AR181" s="276"/>
      <c r="AS181" s="276"/>
      <c r="AT181" s="276"/>
      <c r="AU181" s="276"/>
      <c r="AV181" s="276"/>
      <c r="AW181" s="276"/>
      <c r="AX181" s="276"/>
      <c r="AY181" s="276"/>
      <c r="AZ181" s="276"/>
      <c r="BA181" s="276"/>
      <c r="BB181" s="276"/>
      <c r="BC181" s="276"/>
      <c r="BD181" s="287" t="str">
        <f t="shared" si="96"/>
        <v>Pz</v>
      </c>
    </row>
    <row r="182" ht="15.5" customHeight="1" spans="1:56" x14ac:dyDescent="0.25">
      <c r="A182" s="121" t="s">
        <v>1301</v>
      </c>
      <c r="B182" s="121"/>
      <c r="C182" s="121"/>
      <c r="D182" s="187"/>
      <c r="E182" s="187"/>
      <c r="G182" s="26" t="s">
        <v>1302</v>
      </c>
      <c r="H182" s="1443"/>
      <c r="I182" s="287" t="s">
        <v>1303</v>
      </c>
      <c r="J182" s="287"/>
      <c r="K182" s="287"/>
      <c r="L182" s="1458"/>
      <c r="M182" s="1458"/>
      <c r="N182" s="1458"/>
      <c r="O182" s="1523">
        <v>1</v>
      </c>
      <c r="P182" s="265">
        <f>P116/$O116</f>
        <v>1.0551238685898738</v>
      </c>
      <c r="Q182" s="265">
        <f t="shared" ref="Q182:BC182" si="99">Q116/$O116</f>
        <v>1.0637144494078237</v>
      </c>
      <c r="R182" s="265">
        <f t="shared" si="99"/>
        <v>0.8831435098620776</v>
      </c>
      <c r="S182" s="265">
        <f t="shared" si="99"/>
        <v>0.9435169819309864</v>
      </c>
      <c r="T182" s="265">
        <f t="shared" si="99"/>
        <v>1.2247490822844354</v>
      </c>
      <c r="U182" s="265">
        <f t="shared" si="99"/>
        <v>1.3476545615734206</v>
      </c>
      <c r="V182" s="265">
        <f t="shared" si="99"/>
        <v>1.4665088426814834</v>
      </c>
      <c r="W182" s="265">
        <f t="shared" si="99"/>
        <v>1.6632756085335</v>
      </c>
      <c r="X182" s="265">
        <f t="shared" si="99"/>
        <v>1.8635096058631688</v>
      </c>
      <c r="Y182" s="265">
        <f t="shared" si="99"/>
        <v>2.018480610292013</v>
      </c>
      <c r="Z182" s="265">
        <f t="shared" si="99"/>
        <v>2.2752161070197054</v>
      </c>
      <c r="AA182" s="265">
        <f t="shared" si="99"/>
        <v>2.574224804669774</v>
      </c>
      <c r="AB182" s="265">
        <f t="shared" si="99"/>
        <v>2.7497210051148255</v>
      </c>
      <c r="AC182" s="265">
        <f t="shared" si="99"/>
        <v>1.8560505362598563</v>
      </c>
      <c r="AD182" s="265">
        <f t="shared" si="99"/>
        <v>2.330390730221253</v>
      </c>
      <c r="AE182" s="265">
        <f t="shared" si="99"/>
        <v>2.683219177751119</v>
      </c>
      <c r="AF182" s="265">
        <f t="shared" si="99"/>
        <v>2.7827564782033063</v>
      </c>
      <c r="AG182" s="265">
        <f t="shared" si="99"/>
        <v>2.7806418221752773</v>
      </c>
      <c r="AH182" s="265">
        <f t="shared" si="99"/>
        <v>2.5425932511944835</v>
      </c>
      <c r="AI182" s="265">
        <f t="shared" si="99"/>
        <v>2.1845595087999583</v>
      </c>
      <c r="AJ182" s="265">
        <f t="shared" si="99"/>
        <v>2.1739835580660896</v>
      </c>
      <c r="AK182" s="265">
        <f t="shared" si="99"/>
        <v>2.459327825213312</v>
      </c>
      <c r="AL182" s="265">
        <f t="shared" si="99"/>
        <v>2.5430346985333676</v>
      </c>
      <c r="AM182" s="265">
        <f t="shared" si="99"/>
        <v>2.593258822525401</v>
      </c>
      <c r="AN182" s="265">
        <f t="shared" si="99"/>
        <v>2.6233932969206215</v>
      </c>
      <c r="AO182" s="265">
        <f t="shared" si="99"/>
        <v>2.6414739815577537</v>
      </c>
      <c r="AP182" s="265">
        <f t="shared" si="99"/>
        <v>2.652322392340033</v>
      </c>
      <c r="AQ182" s="265">
        <f t="shared" si="99"/>
        <v>2.658831438809401</v>
      </c>
      <c r="AR182" s="265">
        <f t="shared" si="99"/>
        <v>2.662736866691022</v>
      </c>
      <c r="AS182" s="265">
        <f t="shared" si="99"/>
        <v>2.6650801234199943</v>
      </c>
      <c r="AT182" s="265">
        <f t="shared" si="99"/>
        <v>2.6664860774573778</v>
      </c>
      <c r="AU182" s="265">
        <f t="shared" si="99"/>
        <v>2.667329649879808</v>
      </c>
      <c r="AV182" s="265">
        <f t="shared" si="99"/>
        <v>2.667835793333266</v>
      </c>
      <c r="AW182" s="265">
        <f t="shared" si="99"/>
        <v>2.668139479405341</v>
      </c>
      <c r="AX182" s="265">
        <f t="shared" si="99"/>
        <v>2.6683216910485856</v>
      </c>
      <c r="AY182" s="265">
        <f t="shared" si="99"/>
        <v>2.6684310180345325</v>
      </c>
      <c r="AZ182" s="265">
        <f t="shared" si="99"/>
        <v>2.668496614226101</v>
      </c>
      <c r="BA182" s="265">
        <f t="shared" si="99"/>
        <v>2.6685359719410418</v>
      </c>
      <c r="BB182" s="265">
        <f t="shared" si="99"/>
        <v>2.6685595865700065</v>
      </c>
      <c r="BC182" s="265">
        <f t="shared" si="99"/>
        <v>2.6685737553473854</v>
      </c>
      <c r="BD182" s="287" t="str">
        <f t="shared" si="96"/>
        <v>Pеm</v>
      </c>
    </row>
    <row r="183" ht="15.5" customHeight="1" spans="1:56" x14ac:dyDescent="0.25">
      <c r="A183" s="121" t="s">
        <v>1304</v>
      </c>
      <c r="B183" s="121"/>
      <c r="C183" s="121"/>
      <c r="D183" s="187"/>
      <c r="E183" s="187"/>
      <c r="G183" s="26" t="s">
        <v>882</v>
      </c>
      <c r="H183" s="1443"/>
      <c r="I183" s="287" t="s">
        <v>1305</v>
      </c>
      <c r="J183" s="287"/>
      <c r="K183" s="287"/>
      <c r="L183" s="1458"/>
      <c r="M183" s="1458"/>
      <c r="N183" s="1458"/>
      <c r="O183" s="1523">
        <f>1</f>
        <v>1</v>
      </c>
      <c r="P183" s="354">
        <f t="shared" ref="P183:BC183" si="100">P119/$O119</f>
        <v>1.013</v>
      </c>
      <c r="Q183" s="354">
        <f t="shared" si="100"/>
        <v>1.0170519999999998</v>
      </c>
      <c r="R183" s="354">
        <f t="shared" si="100"/>
        <v>0.8400849519999999</v>
      </c>
      <c r="S183" s="354">
        <f t="shared" si="100"/>
        <v>0.6972705101599999</v>
      </c>
      <c r="T183" s="354">
        <f t="shared" si="100"/>
        <v>0.9231861554518398</v>
      </c>
      <c r="U183" s="354">
        <f t="shared" si="100"/>
        <v>1.0958219665213338</v>
      </c>
      <c r="V183" s="354">
        <f t="shared" si="100"/>
        <v>1.2558119736334485</v>
      </c>
      <c r="W183" s="354">
        <f t="shared" si="100"/>
        <v>1.4730674450720351</v>
      </c>
      <c r="X183" s="354">
        <f t="shared" si="100"/>
        <v>1.8162921597738195</v>
      </c>
      <c r="Y183" s="354">
        <f t="shared" si="100"/>
        <v>2.1177966582962737</v>
      </c>
      <c r="Z183" s="354">
        <f t="shared" si="100"/>
        <v>2.56888734651338</v>
      </c>
      <c r="AA183" s="354">
        <f t="shared" si="100"/>
        <v>3.2419358312998856</v>
      </c>
      <c r="AB183" s="354">
        <f t="shared" si="100"/>
        <v>3.7217423343322684</v>
      </c>
      <c r="AC183" s="354">
        <f t="shared" si="100"/>
        <v>2.590332664695259</v>
      </c>
      <c r="AD183" s="354">
        <f t="shared" si="100"/>
        <v>3.2586384921866354</v>
      </c>
      <c r="AE183" s="354">
        <f t="shared" si="100"/>
        <v>3.920142106100522</v>
      </c>
      <c r="AF183" s="354">
        <f t="shared" si="100"/>
        <v>4.300395890392273</v>
      </c>
      <c r="AG183" s="354">
        <f t="shared" si="100"/>
        <v>4.450909746556002</v>
      </c>
      <c r="AH183" s="354">
        <f t="shared" si="100"/>
        <v>4.125993335057414</v>
      </c>
      <c r="AI183" s="354">
        <f t="shared" si="100"/>
        <v>3.090369007958003</v>
      </c>
      <c r="AJ183" s="1526">
        <f t="shared" si="100"/>
        <v>2.979115723671515</v>
      </c>
      <c r="AK183" s="1526">
        <f t="shared" si="100"/>
        <v>3.497481859590358</v>
      </c>
      <c r="AL183" s="1526">
        <f t="shared" si="100"/>
        <v>3.5919138697992974</v>
      </c>
      <c r="AM183" s="1526">
        <f t="shared" si="100"/>
        <v>3.7594795354810144</v>
      </c>
      <c r="AN183" s="1526">
        <f t="shared" si="100"/>
        <v>3.878647499036463</v>
      </c>
      <c r="AO183" s="1526">
        <f t="shared" si="100"/>
        <v>4.0726307350523765</v>
      </c>
      <c r="AP183" s="1526">
        <f t="shared" si="100"/>
        <v>4.233960130056751</v>
      </c>
      <c r="AQ183" s="1526">
        <f t="shared" si="100"/>
        <v>4.394636763568665</v>
      </c>
      <c r="AR183" s="1526">
        <f t="shared" si="100"/>
        <v>4.558053268608086</v>
      </c>
      <c r="AS183" s="1526">
        <f t="shared" si="100"/>
        <v>4.72646966685831</v>
      </c>
      <c r="AT183" s="1526">
        <f t="shared" si="100"/>
        <v>4.9014565702932025</v>
      </c>
      <c r="AU183" s="1526">
        <f t="shared" si="100"/>
        <v>5.084168827148892</v>
      </c>
      <c r="AV183" s="1526">
        <f t="shared" si="100"/>
        <v>5.275514739074812</v>
      </c>
      <c r="AW183" s="1526">
        <f t="shared" si="100"/>
        <v>5.476260946420598</v>
      </c>
      <c r="AX183" s="1526">
        <f t="shared" si="100"/>
        <v>5.687097678113633</v>
      </c>
      <c r="AY183" s="1526">
        <f t="shared" si="100"/>
        <v>5.908679583360757</v>
      </c>
      <c r="AZ183" s="1526">
        <f t="shared" si="100"/>
        <v>6.1416515256655435</v>
      </c>
      <c r="BA183" s="1526">
        <f t="shared" si="100"/>
        <v>6.386665124425428</v>
      </c>
      <c r="BB183" s="1526">
        <f t="shared" si="100"/>
        <v>6.6443896140490555</v>
      </c>
      <c r="BC183" s="1526">
        <f t="shared" si="100"/>
        <v>6.915519225011413</v>
      </c>
      <c r="BD183" s="287" t="str">
        <f t="shared" si="96"/>
        <v>Pm</v>
      </c>
    </row>
    <row r="184" ht="15.5" customHeight="1" spans="1:56" x14ac:dyDescent="0.25">
      <c r="A184" s="121" t="s">
        <v>1306</v>
      </c>
      <c r="B184" s="121"/>
      <c r="C184" s="121"/>
      <c r="D184" s="187"/>
      <c r="E184" s="187"/>
      <c r="G184" s="26" t="s">
        <v>584</v>
      </c>
      <c r="H184" s="1443"/>
      <c r="I184" s="287" t="s">
        <v>1307</v>
      </c>
      <c r="J184" s="1458"/>
      <c r="K184" s="1458"/>
      <c r="L184" s="1458"/>
      <c r="M184" s="1458"/>
      <c r="N184" s="1458"/>
      <c r="O184" s="1523">
        <v>1</v>
      </c>
      <c r="P184" s="313">
        <f t="shared" ref="P184:BC184" si="101">P99/$O99</f>
        <v>0.819</v>
      </c>
      <c r="Q184" s="313">
        <f t="shared" si="101"/>
        <v>0.77805</v>
      </c>
      <c r="R184" s="313">
        <f t="shared" si="101"/>
        <v>0.684684</v>
      </c>
      <c r="S184" s="313">
        <f t="shared" si="101"/>
        <v>0.7189182000000001</v>
      </c>
      <c r="T184" s="313">
        <f t="shared" si="101"/>
        <v>0.8440099668</v>
      </c>
      <c r="U184" s="313">
        <f t="shared" si="101"/>
        <v>0.9284109634800001</v>
      </c>
      <c r="V184" s="313">
        <f t="shared" si="101"/>
        <v>0.95440647045744</v>
      </c>
      <c r="W184" s="313">
        <f t="shared" si="101"/>
        <v>1.07370727926462</v>
      </c>
      <c r="X184" s="313">
        <f t="shared" si="101"/>
        <v>1.220805176523873</v>
      </c>
      <c r="Y184" s="313">
        <f t="shared" si="101"/>
        <v>1.3453273045293082</v>
      </c>
      <c r="Z184" s="313">
        <f t="shared" si="101"/>
        <v>1.5699969643857026</v>
      </c>
      <c r="AA184" s="313">
        <f t="shared" si="101"/>
        <v>1.926386275301257</v>
      </c>
      <c r="AB184" s="313">
        <f t="shared" si="101"/>
        <v>2.1093929714548767</v>
      </c>
      <c r="AC184" s="313">
        <f t="shared" si="101"/>
        <v>1.8246249203084683</v>
      </c>
      <c r="AD184" s="313">
        <f t="shared" si="101"/>
        <v>1.939576290287902</v>
      </c>
      <c r="AE184" s="313">
        <f t="shared" si="101"/>
        <v>2.1490505296389957</v>
      </c>
      <c r="AF184" s="313">
        <f t="shared" si="101"/>
        <v>2.295185965654447</v>
      </c>
      <c r="AG184" s="313">
        <f t="shared" si="101"/>
        <v>2.313547453379683</v>
      </c>
      <c r="AH184" s="313">
        <f t="shared" si="101"/>
        <v>2.278844241578988</v>
      </c>
      <c r="AI184" s="313">
        <f t="shared" si="101"/>
        <v>2.04868097317951</v>
      </c>
      <c r="AJ184" s="313">
        <f t="shared" si="101"/>
        <v>2.0445836112331506</v>
      </c>
      <c r="AK184" s="313">
        <f t="shared" si="101"/>
        <v>2.142723624572342</v>
      </c>
      <c r="AL184" s="313">
        <f t="shared" si="101"/>
        <v>2.2348607404289527</v>
      </c>
      <c r="AM184" s="313">
        <f t="shared" si="101"/>
        <v>2.352309276176718</v>
      </c>
      <c r="AN184" s="313">
        <f t="shared" si="101"/>
        <v>2.447190847731953</v>
      </c>
      <c r="AO184" s="313">
        <f t="shared" si="101"/>
        <v>2.6098332246737077</v>
      </c>
      <c r="AP184" s="313">
        <f t="shared" si="101"/>
        <v>2.7413025217230254</v>
      </c>
      <c r="AQ184" s="313">
        <f t="shared" si="101"/>
        <v>2.8710731177143747</v>
      </c>
      <c r="AR184" s="313">
        <f t="shared" si="101"/>
        <v>3.0022365178008243</v>
      </c>
      <c r="AS184" s="313">
        <f t="shared" si="101"/>
        <v>3.136811983868953</v>
      </c>
      <c r="AT184" s="313">
        <f t="shared" si="101"/>
        <v>3.2761665399586812</v>
      </c>
      <c r="AU184" s="313">
        <f t="shared" si="101"/>
        <v>3.421273021379316</v>
      </c>
      <c r="AV184" s="313">
        <f t="shared" si="101"/>
        <v>3.5728688017600128</v>
      </c>
      <c r="AW184" s="313">
        <f t="shared" si="101"/>
        <v>3.731553591013659</v>
      </c>
      <c r="AX184" s="313">
        <f t="shared" si="101"/>
        <v>3.897849847568744</v>
      </c>
      <c r="AY184" s="313">
        <f t="shared" si="101"/>
        <v>4.0722402481186215</v>
      </c>
      <c r="AZ184" s="313">
        <f t="shared" si="101"/>
        <v>4.255191079261429</v>
      </c>
      <c r="BA184" s="313">
        <f t="shared" si="101"/>
        <v>4.447166993916185</v>
      </c>
      <c r="BB184" s="313">
        <f t="shared" si="101"/>
        <v>4.648640476221781</v>
      </c>
      <c r="BC184" s="313">
        <f t="shared" si="101"/>
        <v>4.860098070234655</v>
      </c>
      <c r="BD184" s="287" t="str">
        <f t="shared" si="96"/>
        <v>Pn</v>
      </c>
    </row>
    <row r="185" ht="15.5" customHeight="1" spans="1:56" x14ac:dyDescent="0.25">
      <c r="A185" s="121" t="s">
        <v>1308</v>
      </c>
      <c r="B185" s="121"/>
      <c r="C185" s="121"/>
      <c r="D185" s="187"/>
      <c r="E185" s="187"/>
      <c r="G185" s="26" t="s">
        <v>772</v>
      </c>
      <c r="H185" s="1443"/>
      <c r="I185" s="287" t="s">
        <v>1309</v>
      </c>
      <c r="J185" s="1458"/>
      <c r="K185" s="1458"/>
      <c r="L185" s="1458"/>
      <c r="M185" s="1458"/>
      <c r="N185" s="1458"/>
      <c r="O185" s="1523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6"/>
      <c r="AE185" s="276"/>
      <c r="AF185" s="276"/>
      <c r="AG185" s="276"/>
      <c r="AH185" s="276"/>
      <c r="AI185" s="276"/>
      <c r="AJ185" s="276"/>
      <c r="AK185" s="276"/>
      <c r="AL185" s="276"/>
      <c r="AM185" s="276"/>
      <c r="AN185" s="276"/>
      <c r="AO185" s="276"/>
      <c r="AP185" s="276"/>
      <c r="AQ185" s="276"/>
      <c r="AR185" s="276"/>
      <c r="AS185" s="276"/>
      <c r="AT185" s="276"/>
      <c r="AU185" s="276"/>
      <c r="AV185" s="276"/>
      <c r="AW185" s="276"/>
      <c r="AX185" s="276"/>
      <c r="AY185" s="276"/>
      <c r="AZ185" s="276"/>
      <c r="BA185" s="276"/>
      <c r="BB185" s="276"/>
      <c r="BC185" s="276"/>
      <c r="BD185" s="287" t="str">
        <f t="shared" si="96"/>
        <v>Pnk</v>
      </c>
    </row>
    <row r="186" ht="15.5" customHeight="1" spans="1:56" x14ac:dyDescent="0.25">
      <c r="A186" s="121" t="s">
        <v>1310</v>
      </c>
      <c r="B186" s="187"/>
      <c r="C186" s="187"/>
      <c r="D186" s="187"/>
      <c r="E186" s="187"/>
      <c r="G186" s="26" t="s">
        <v>769</v>
      </c>
      <c r="H186" s="1443"/>
      <c r="I186" s="287" t="s">
        <v>1311</v>
      </c>
      <c r="J186" s="1458"/>
      <c r="K186" s="1458"/>
      <c r="L186" s="1458"/>
      <c r="M186" s="1458"/>
      <c r="N186" s="1458"/>
      <c r="O186" s="1523">
        <v>1</v>
      </c>
      <c r="P186" s="419">
        <f>P110/$O$110</f>
        <v>1.031</v>
      </c>
      <c r="Q186" s="419">
        <f t="shared" ref="Q186:BC186" si="102">Q110/$O$110</f>
        <v>1.0062559999999998</v>
      </c>
      <c r="R186" s="419">
        <f t="shared" si="102"/>
        <v>1.0163185599999998</v>
      </c>
      <c r="S186" s="419">
        <f t="shared" si="102"/>
        <v>1.0478244353599997</v>
      </c>
      <c r="T186" s="419">
        <f t="shared" si="102"/>
        <v>1.0687809240671997</v>
      </c>
      <c r="U186" s="419">
        <f t="shared" si="102"/>
        <v>1.060230676674662</v>
      </c>
      <c r="V186" s="419">
        <f t="shared" si="102"/>
        <v>1.0877966742682033</v>
      </c>
      <c r="W186" s="419">
        <f t="shared" si="102"/>
        <v>1.1139037944506402</v>
      </c>
      <c r="X186" s="419">
        <f t="shared" si="102"/>
        <v>1.1372957741341037</v>
      </c>
      <c r="Y186" s="419">
        <f t="shared" si="102"/>
        <v>1.1532179149719812</v>
      </c>
      <c r="Z186" s="419">
        <f t="shared" si="102"/>
        <v>1.1797419270163367</v>
      </c>
      <c r="AA186" s="419">
        <f t="shared" si="102"/>
        <v>1.2115949590457777</v>
      </c>
      <c r="AB186" s="419">
        <f t="shared" si="102"/>
        <v>1.2527891876533341</v>
      </c>
      <c r="AC186" s="419">
        <f t="shared" si="102"/>
        <v>1.2452724525274141</v>
      </c>
      <c r="AD186" s="419">
        <f t="shared" si="102"/>
        <v>1.226593365739503</v>
      </c>
      <c r="AE186" s="419">
        <f t="shared" si="102"/>
        <v>1.243765672859856</v>
      </c>
      <c r="AF186" s="419">
        <f t="shared" si="102"/>
        <v>1.2761035803542125</v>
      </c>
      <c r="AG186" s="419">
        <f t="shared" si="102"/>
        <v>1.2875885125774005</v>
      </c>
      <c r="AH186" s="419">
        <f t="shared" si="102"/>
        <v>1.2605491538132751</v>
      </c>
      <c r="AI186" s="419">
        <f t="shared" si="102"/>
        <v>1.2151693842759972</v>
      </c>
      <c r="AJ186" s="419">
        <f t="shared" si="102"/>
        <v>1.233396925040137</v>
      </c>
      <c r="AK186" s="419">
        <f t="shared" si="102"/>
        <v>1.2642318481661403</v>
      </c>
      <c r="AL186" s="419">
        <f t="shared" si="102"/>
        <v>1.2680245437106386</v>
      </c>
      <c r="AM186" s="419">
        <f t="shared" si="102"/>
        <v>1.3249159206294971</v>
      </c>
      <c r="AN186" s="419">
        <f t="shared" si="102"/>
        <v>1.342524810257228</v>
      </c>
      <c r="AO186" s="419">
        <f t="shared" si="102"/>
        <v>1.442031647242126</v>
      </c>
      <c r="AP186" s="419">
        <f t="shared" si="102"/>
        <v>1.5056835404483333</v>
      </c>
      <c r="AQ186" s="419">
        <f t="shared" si="102"/>
        <v>1.5695274698488424</v>
      </c>
      <c r="AR186" s="419">
        <f t="shared" si="102"/>
        <v>1.6347565687736516</v>
      </c>
      <c r="AS186" s="419">
        <f t="shared" si="102"/>
        <v>1.7021685764197234</v>
      </c>
      <c r="AT186" s="419">
        <f t="shared" si="102"/>
        <v>1.7723199006893267</v>
      </c>
      <c r="AU186" s="419">
        <f t="shared" si="102"/>
        <v>1.8456209985557013</v>
      </c>
      <c r="AV186" s="419">
        <f t="shared" si="102"/>
        <v>1.9223955088928635</v>
      </c>
      <c r="AW186" s="419">
        <f t="shared" si="102"/>
        <v>2.002916988458954</v>
      </c>
      <c r="AX186" s="419">
        <f t="shared" si="102"/>
        <v>2.087431806337864</v>
      </c>
      <c r="AY186" s="419">
        <f t="shared" si="102"/>
        <v>2.1761734838733555</v>
      </c>
      <c r="AZ186" s="419">
        <f t="shared" si="102"/>
        <v>2.269371748988845</v>
      </c>
      <c r="BA186" s="419">
        <f t="shared" si="102"/>
        <v>2.367258327015262</v>
      </c>
      <c r="BB186" s="419">
        <f t="shared" si="102"/>
        <v>2.470070719579961</v>
      </c>
      <c r="BC186" s="419">
        <f t="shared" si="102"/>
        <v>2.578054746661583</v>
      </c>
      <c r="BD186" s="287" t="str">
        <f t="shared" si="96"/>
        <v>Pg</v>
      </c>
    </row>
    <row r="187" ht="15.5" customHeight="1" spans="1:56" x14ac:dyDescent="0.25">
      <c r="A187" s="187" t="s">
        <v>1312</v>
      </c>
      <c r="B187" s="187"/>
      <c r="C187" s="187"/>
      <c r="D187" s="187"/>
      <c r="E187" s="187"/>
      <c r="G187" s="26" t="s">
        <v>918</v>
      </c>
      <c r="H187" s="1443"/>
      <c r="I187" s="287" t="s">
        <v>1313</v>
      </c>
      <c r="J187" s="1458"/>
      <c r="K187" s="1458"/>
      <c r="L187" s="1458"/>
      <c r="M187" s="1458"/>
      <c r="N187" s="1458"/>
      <c r="O187" s="1523">
        <v>1</v>
      </c>
      <c r="P187" s="1372">
        <f t="shared" ref="P187:BC187" si="103">P107/$O107</f>
        <v>0.951</v>
      </c>
      <c r="Q187" s="1372">
        <f t="shared" si="103"/>
        <v>0.99855</v>
      </c>
      <c r="R187" s="1372">
        <f t="shared" si="103"/>
        <v>0.9645993000000002</v>
      </c>
      <c r="S187" s="1372">
        <f t="shared" si="103"/>
        <v>0.9414489168</v>
      </c>
      <c r="T187" s="1372">
        <f t="shared" si="103"/>
        <v>0.9969944028911998</v>
      </c>
      <c r="U187" s="1372">
        <f t="shared" si="103"/>
        <v>1.0787479439282783</v>
      </c>
      <c r="V187" s="1372">
        <f t="shared" si="103"/>
        <v>1.1618115356107557</v>
      </c>
      <c r="W187" s="1372">
        <f t="shared" si="103"/>
        <v>1.2512710238527838</v>
      </c>
      <c r="X187" s="1372">
        <f t="shared" si="103"/>
        <v>1.4076799018343817</v>
      </c>
      <c r="Y187" s="1372">
        <f t="shared" si="103"/>
        <v>1.5794168498581762</v>
      </c>
      <c r="Z187" s="1372">
        <f t="shared" si="103"/>
        <v>1.7721057055408742</v>
      </c>
      <c r="AA187" s="1372">
        <f t="shared" si="103"/>
        <v>2.0255168214332193</v>
      </c>
      <c r="AB187" s="1372">
        <f t="shared" si="103"/>
        <v>2.2402216045051406</v>
      </c>
      <c r="AC187" s="1372">
        <f t="shared" si="103"/>
        <v>2.1259703026753782</v>
      </c>
      <c r="AD187" s="1372">
        <f t="shared" si="103"/>
        <v>2.242898669322524</v>
      </c>
      <c r="AE187" s="1372">
        <f t="shared" si="103"/>
        <v>2.3954157788364556</v>
      </c>
      <c r="AF187" s="1372">
        <f t="shared" si="103"/>
        <v>2.5846536253645356</v>
      </c>
      <c r="AG187" s="1372">
        <f t="shared" si="103"/>
        <v>2.7190556138834916</v>
      </c>
      <c r="AH187" s="1372">
        <f t="shared" si="103"/>
        <v>2.7734367261611617</v>
      </c>
      <c r="AI187" s="1372">
        <f t="shared" si="103"/>
        <v>2.5127336739020127</v>
      </c>
      <c r="AJ187" s="1372">
        <f t="shared" si="103"/>
        <v>2.4649917340978744</v>
      </c>
      <c r="AK187" s="1372">
        <f t="shared" si="103"/>
        <v>2.546336461323104</v>
      </c>
      <c r="AL187" s="1372">
        <f t="shared" si="103"/>
        <v>2.604902199933535</v>
      </c>
      <c r="AM187" s="1372">
        <f t="shared" si="103"/>
        <v>2.721622066394527</v>
      </c>
      <c r="AN187" s="1372">
        <f t="shared" si="103"/>
        <v>2.82012494029242</v>
      </c>
      <c r="AO187" s="1372">
        <f t="shared" si="103"/>
        <v>2.9876106811441123</v>
      </c>
      <c r="AP187" s="1372">
        <f t="shared" si="103"/>
        <v>3.1318358804286244</v>
      </c>
      <c r="AQ187" s="1372">
        <f t="shared" si="103"/>
        <v>3.276816912164585</v>
      </c>
      <c r="AR187" s="1372">
        <f t="shared" si="103"/>
        <v>3.4250255201235156</v>
      </c>
      <c r="AS187" s="1372">
        <f t="shared" si="103"/>
        <v>3.5781337236652386</v>
      </c>
      <c r="AT187" s="1372">
        <f t="shared" si="103"/>
        <v>3.7373233083186994</v>
      </c>
      <c r="AU187" s="1372">
        <f t="shared" si="103"/>
        <v>3.90347853135344</v>
      </c>
      <c r="AV187" s="1372">
        <f t="shared" si="103"/>
        <v>4.077306260656329</v>
      </c>
      <c r="AW187" s="1372">
        <f t="shared" si="103"/>
        <v>4.2594110227937145</v>
      </c>
      <c r="AX187" s="1372">
        <f t="shared" si="103"/>
        <v>4.450342035559935</v>
      </c>
      <c r="AY187" s="1372">
        <f t="shared" si="103"/>
        <v>4.650622838499589</v>
      </c>
      <c r="AZ187" s="1372">
        <f t="shared" si="103"/>
        <v>4.860770119686973</v>
      </c>
      <c r="BA187" s="1372">
        <f t="shared" si="103"/>
        <v>5.08130584178749</v>
      </c>
      <c r="BB187" s="1372">
        <f t="shared" si="103"/>
        <v>5.312765219553965</v>
      </c>
      <c r="BC187" s="1372">
        <f t="shared" si="103"/>
        <v>5.5557021368904556</v>
      </c>
      <c r="BD187" s="287" t="str">
        <f t="shared" si="96"/>
        <v>Pd</v>
      </c>
    </row>
    <row r="188" ht="15.5" customHeight="1" spans="1:56" x14ac:dyDescent="0.25">
      <c r="A188" s="121" t="s">
        <v>1314</v>
      </c>
      <c r="B188" s="31"/>
      <c r="C188" s="31"/>
      <c r="D188" s="31"/>
      <c r="E188" s="31"/>
      <c r="G188" s="26" t="s">
        <v>1315</v>
      </c>
      <c r="H188" s="1443"/>
      <c r="I188" s="287" t="s">
        <v>1316</v>
      </c>
      <c r="J188" s="1458"/>
      <c r="K188" s="1458"/>
      <c r="L188" s="1458"/>
      <c r="M188" s="1458"/>
      <c r="N188" s="1458"/>
      <c r="O188" s="1523"/>
      <c r="P188" s="1460"/>
      <c r="Q188" s="1460"/>
      <c r="R188" s="1460"/>
      <c r="S188" s="1460"/>
      <c r="T188" s="1460"/>
      <c r="U188" s="1460"/>
      <c r="V188" s="1460"/>
      <c r="W188" s="1460"/>
      <c r="X188" s="1460"/>
      <c r="Y188" s="1460"/>
      <c r="Z188" s="1460"/>
      <c r="AA188" s="1460"/>
      <c r="AB188" s="1460"/>
      <c r="AC188" s="1460"/>
      <c r="AD188" s="1460"/>
      <c r="AE188" s="1460"/>
      <c r="AF188" s="1460"/>
      <c r="AG188" s="1460"/>
      <c r="AH188" s="1460"/>
      <c r="AI188" s="1460"/>
      <c r="AJ188" s="1460"/>
      <c r="AK188" s="1369"/>
      <c r="AL188" s="1369"/>
      <c r="AM188" s="1369"/>
      <c r="AN188" s="1369"/>
      <c r="AO188" s="1369"/>
      <c r="AP188" s="1369"/>
      <c r="AQ188" s="1369"/>
      <c r="AR188" s="1369"/>
      <c r="AS188" s="1369"/>
      <c r="AT188" s="1369"/>
      <c r="AU188" s="1369"/>
      <c r="AV188" s="1369"/>
      <c r="AW188" s="1369"/>
      <c r="AX188" s="1369"/>
      <c r="AY188" s="1369"/>
      <c r="AZ188" s="1369"/>
      <c r="BA188" s="1369"/>
      <c r="BB188" s="1369"/>
      <c r="BC188" s="1369"/>
      <c r="BD188" s="287" t="str">
        <f t="shared" si="96"/>
        <v>Pww</v>
      </c>
    </row>
    <row r="189" ht="15.5" customHeight="1" spans="1:56" x14ac:dyDescent="0.25">
      <c r="A189" s="121" t="s">
        <v>1317</v>
      </c>
      <c r="B189" s="187"/>
      <c r="C189" s="187"/>
      <c r="D189" s="187"/>
      <c r="E189" s="187"/>
      <c r="G189" s="26" t="s">
        <v>814</v>
      </c>
      <c r="H189" s="1443"/>
      <c r="I189" s="287" t="s">
        <v>1318</v>
      </c>
      <c r="J189" s="1458"/>
      <c r="K189" s="1458"/>
      <c r="L189" s="1458"/>
      <c r="M189" s="1458"/>
      <c r="N189" s="1458"/>
      <c r="O189" s="1523"/>
      <c r="P189" s="1460"/>
      <c r="Q189" s="1460"/>
      <c r="R189" s="1460"/>
      <c r="S189" s="1460"/>
      <c r="T189" s="1460"/>
      <c r="U189" s="1460"/>
      <c r="V189" s="1460"/>
      <c r="W189" s="1460"/>
      <c r="X189" s="1460"/>
      <c r="Y189" s="1460"/>
      <c r="Z189" s="1460"/>
      <c r="AA189" s="1460"/>
      <c r="AB189" s="1460"/>
      <c r="AC189" s="1460"/>
      <c r="AD189" s="1460"/>
      <c r="AE189" s="1460"/>
      <c r="AF189" s="1460"/>
      <c r="AG189" s="1460"/>
      <c r="AH189" s="1460"/>
      <c r="AI189" s="1460"/>
      <c r="AJ189" s="1460"/>
      <c r="AK189" s="1460"/>
      <c r="AL189" s="1460"/>
      <c r="AM189" s="1460"/>
      <c r="AN189" s="1460"/>
      <c r="AO189" s="1460"/>
      <c r="AP189" s="1460"/>
      <c r="AQ189" s="1460"/>
      <c r="AR189" s="1460"/>
      <c r="AS189" s="1460"/>
      <c r="AT189" s="1460"/>
      <c r="AU189" s="1460"/>
      <c r="AV189" s="1460"/>
      <c r="AW189" s="1460"/>
      <c r="AX189" s="1460"/>
      <c r="AY189" s="1460"/>
      <c r="AZ189" s="1460"/>
      <c r="BA189" s="1460"/>
      <c r="BB189" s="1460"/>
      <c r="BC189" s="1460"/>
      <c r="BD189" s="287" t="str">
        <f t="shared" si="96"/>
        <v>Pf</v>
      </c>
    </row>
    <row r="190" ht="15.5" customHeight="1" spans="1:56" x14ac:dyDescent="0.25">
      <c r="A190" s="121" t="s">
        <v>1319</v>
      </c>
      <c r="E190" s="187"/>
      <c r="G190" s="26" t="s">
        <v>790</v>
      </c>
      <c r="H190" s="1443"/>
      <c r="I190" s="287" t="s">
        <v>1320</v>
      </c>
      <c r="J190" s="1458"/>
      <c r="K190" s="1458"/>
      <c r="L190" s="1458"/>
      <c r="M190" s="1458"/>
      <c r="N190" s="1458"/>
      <c r="O190" s="1524"/>
      <c r="P190" s="1460"/>
      <c r="Q190" s="1460"/>
      <c r="R190" s="1460"/>
      <c r="S190" s="1460"/>
      <c r="T190" s="1460"/>
      <c r="U190" s="1460"/>
      <c r="V190" s="1460"/>
      <c r="W190" s="1460"/>
      <c r="X190" s="1460"/>
      <c r="Y190" s="1460"/>
      <c r="Z190" s="1460"/>
      <c r="AA190" s="1460"/>
      <c r="AB190" s="1460"/>
      <c r="AC190" s="1460"/>
      <c r="AD190" s="1460"/>
      <c r="AE190" s="1460"/>
      <c r="AF190" s="1460"/>
      <c r="AG190" s="1460"/>
      <c r="AH190" s="1460"/>
      <c r="AI190" s="1460"/>
      <c r="AJ190" s="1460"/>
      <c r="AK190" s="1460"/>
      <c r="AL190" s="1460"/>
      <c r="AM190" s="1460"/>
      <c r="AN190" s="1460"/>
      <c r="AO190" s="1460"/>
      <c r="AP190" s="1460"/>
      <c r="AQ190" s="1460"/>
      <c r="AR190" s="1460"/>
      <c r="AS190" s="1460"/>
      <c r="AT190" s="1460"/>
      <c r="AU190" s="1460"/>
      <c r="AV190" s="1460"/>
      <c r="AW190" s="1460"/>
      <c r="AX190" s="1460"/>
      <c r="AY190" s="1460"/>
      <c r="AZ190" s="1460"/>
      <c r="BA190" s="1460"/>
      <c r="BB190" s="1460"/>
      <c r="BC190" s="1460"/>
      <c r="BD190" s="287"/>
    </row>
    <row r="191" ht="15.5" customHeight="1" spans="1:56" x14ac:dyDescent="0.25">
      <c r="A191" s="121" t="s">
        <v>1321</v>
      </c>
      <c r="E191" s="187"/>
      <c r="G191" s="26" t="s">
        <v>609</v>
      </c>
      <c r="H191" s="1443"/>
      <c r="I191" s="287" t="s">
        <v>1322</v>
      </c>
      <c r="J191" s="1458"/>
      <c r="K191" s="1458"/>
      <c r="L191" s="1458"/>
      <c r="M191" s="1458"/>
      <c r="N191" s="1458"/>
      <c r="O191" s="1524"/>
      <c r="P191" s="1460"/>
      <c r="Q191" s="1460"/>
      <c r="R191" s="1460"/>
      <c r="S191" s="1460"/>
      <c r="T191" s="1460"/>
      <c r="U191" s="1460"/>
      <c r="V191" s="1460"/>
      <c r="W191" s="1460"/>
      <c r="X191" s="1460"/>
      <c r="Y191" s="1460"/>
      <c r="Z191" s="1460"/>
      <c r="AA191" s="1460"/>
      <c r="AB191" s="1460"/>
      <c r="AC191" s="1460"/>
      <c r="AD191" s="1460"/>
      <c r="AE191" s="1460"/>
      <c r="AF191" s="1460"/>
      <c r="AG191" s="1460"/>
      <c r="AH191" s="1460"/>
      <c r="AI191" s="1460"/>
      <c r="AJ191" s="1460"/>
      <c r="AK191" s="1460"/>
      <c r="AL191" s="1460"/>
      <c r="AM191" s="1460"/>
      <c r="AN191" s="1460"/>
      <c r="AO191" s="1460"/>
      <c r="AP191" s="1460"/>
      <c r="AQ191" s="1460"/>
      <c r="AR191" s="1460"/>
      <c r="AS191" s="1460"/>
      <c r="AT191" s="1460"/>
      <c r="AU191" s="1460"/>
      <c r="AV191" s="1460"/>
      <c r="AW191" s="1460"/>
      <c r="AX191" s="1460"/>
      <c r="AY191" s="1460"/>
      <c r="AZ191" s="1460"/>
      <c r="BA191" s="1460"/>
      <c r="BB191" s="1460"/>
      <c r="BC191" s="1460"/>
      <c r="BD191" s="287"/>
    </row>
    <row r="192" ht="15.5" customHeight="1" spans="1:56" x14ac:dyDescent="0.25">
      <c r="A192" s="121" t="s">
        <v>1323</v>
      </c>
      <c r="E192" s="187"/>
      <c r="G192" s="26" t="s">
        <v>631</v>
      </c>
      <c r="H192" s="1443"/>
      <c r="I192" s="287" t="s">
        <v>1324</v>
      </c>
      <c r="J192" s="1458"/>
      <c r="K192" s="1458"/>
      <c r="L192" s="1458"/>
      <c r="M192" s="1458"/>
      <c r="N192" s="1458"/>
      <c r="O192" s="1524"/>
      <c r="P192" s="1460"/>
      <c r="Q192" s="1460"/>
      <c r="R192" s="1460"/>
      <c r="S192" s="1460"/>
      <c r="T192" s="1460"/>
      <c r="U192" s="1460"/>
      <c r="V192" s="1460"/>
      <c r="W192" s="1460"/>
      <c r="X192" s="1460"/>
      <c r="Y192" s="1460"/>
      <c r="Z192" s="1460"/>
      <c r="AA192" s="1460"/>
      <c r="AB192" s="1460"/>
      <c r="AC192" s="1460"/>
      <c r="AD192" s="1460"/>
      <c r="AE192" s="1460"/>
      <c r="AF192" s="1460"/>
      <c r="AG192" s="1460"/>
      <c r="AH192" s="1460"/>
      <c r="AI192" s="1460"/>
      <c r="AJ192" s="1460"/>
      <c r="AK192" s="1460"/>
      <c r="AL192" s="1460"/>
      <c r="AM192" s="1460"/>
      <c r="AN192" s="1460"/>
      <c r="AO192" s="1460"/>
      <c r="AP192" s="1460"/>
      <c r="AQ192" s="1460"/>
      <c r="AR192" s="1460"/>
      <c r="AS192" s="1460"/>
      <c r="AT192" s="1460"/>
      <c r="AU192" s="1460"/>
      <c r="AV192" s="1460"/>
      <c r="AW192" s="1460"/>
      <c r="AX192" s="1460"/>
      <c r="AY192" s="1460"/>
      <c r="AZ192" s="1460"/>
      <c r="BA192" s="1460"/>
      <c r="BB192" s="1460"/>
      <c r="BC192" s="1460"/>
      <c r="BD192" s="287"/>
    </row>
    <row r="193" ht="15.5" customHeight="1" spans="1:56" x14ac:dyDescent="0.25">
      <c r="A193" s="121" t="s">
        <v>1325</v>
      </c>
      <c r="D193" s="187"/>
      <c r="E193" s="187"/>
      <c r="G193" s="26" t="s">
        <v>306</v>
      </c>
      <c r="H193" s="1443"/>
      <c r="I193" s="287" t="s">
        <v>1326</v>
      </c>
      <c r="J193" s="1458"/>
      <c r="K193" s="1458"/>
      <c r="L193" s="1458"/>
      <c r="M193" s="1458"/>
      <c r="N193" s="1458"/>
      <c r="O193" s="1524"/>
      <c r="P193" s="1460"/>
      <c r="Q193" s="1460"/>
      <c r="R193" s="1460"/>
      <c r="S193" s="1460"/>
      <c r="T193" s="1460"/>
      <c r="U193" s="1460"/>
      <c r="V193" s="1460"/>
      <c r="W193" s="1460"/>
      <c r="X193" s="1460"/>
      <c r="Y193" s="1460"/>
      <c r="Z193" s="1460"/>
      <c r="AA193" s="1460"/>
      <c r="AB193" s="1460"/>
      <c r="AC193" s="1460"/>
      <c r="AD193" s="1460"/>
      <c r="AE193" s="1460"/>
      <c r="AF193" s="1460"/>
      <c r="AG193" s="1460"/>
      <c r="AH193" s="1460"/>
      <c r="AI193" s="1460"/>
      <c r="AJ193" s="1460"/>
      <c r="AK193" s="1460"/>
      <c r="AL193" s="1460"/>
      <c r="AM193" s="1460"/>
      <c r="AN193" s="1460"/>
      <c r="AO193" s="1460"/>
      <c r="AP193" s="1460"/>
      <c r="AQ193" s="1460"/>
      <c r="AR193" s="1460"/>
      <c r="AS193" s="1460"/>
      <c r="AT193" s="1460"/>
      <c r="AU193" s="1460"/>
      <c r="AV193" s="1460"/>
      <c r="AW193" s="1460"/>
      <c r="AX193" s="1460"/>
      <c r="AY193" s="1460"/>
      <c r="AZ193" s="1460"/>
      <c r="BA193" s="1460"/>
      <c r="BB193" s="1460"/>
      <c r="BC193" s="1460"/>
      <c r="BD193" s="287"/>
    </row>
    <row r="194" ht="15.5" customHeight="1" spans="1:56" x14ac:dyDescent="0.25">
      <c r="A194" s="187" t="s">
        <v>1327</v>
      </c>
      <c r="B194" s="26"/>
      <c r="C194" s="26"/>
      <c r="D194" s="26"/>
      <c r="E194" s="26"/>
      <c r="G194" s="26" t="s">
        <v>316</v>
      </c>
      <c r="H194" s="1443"/>
      <c r="I194" s="287" t="s">
        <v>1328</v>
      </c>
      <c r="J194" s="287"/>
      <c r="K194" s="287"/>
      <c r="L194" s="287"/>
      <c r="M194" s="1458"/>
      <c r="N194" s="1458"/>
      <c r="O194" s="1524"/>
      <c r="P194" s="1460"/>
      <c r="Q194" s="1460"/>
      <c r="R194" s="1460"/>
      <c r="S194" s="1460"/>
      <c r="T194" s="1460"/>
      <c r="U194" s="1460"/>
      <c r="V194" s="1460"/>
      <c r="W194" s="1460"/>
      <c r="X194" s="1460"/>
      <c r="Y194" s="1460"/>
      <c r="Z194" s="1460"/>
      <c r="AA194" s="1460"/>
      <c r="AB194" s="1460"/>
      <c r="AC194" s="1460"/>
      <c r="AD194" s="1460"/>
      <c r="AE194" s="1460"/>
      <c r="AF194" s="1460"/>
      <c r="AG194" s="1460"/>
      <c r="AH194" s="1460"/>
      <c r="AI194" s="1460"/>
      <c r="AJ194" s="1460"/>
      <c r="AK194" s="1460"/>
      <c r="AL194" s="1460"/>
      <c r="AM194" s="1460"/>
      <c r="AN194" s="1460"/>
      <c r="AO194" s="1460"/>
      <c r="AP194" s="1460"/>
      <c r="AQ194" s="1460"/>
      <c r="AR194" s="1460"/>
      <c r="AS194" s="1460"/>
      <c r="AT194" s="1460"/>
      <c r="AU194" s="1460"/>
      <c r="AV194" s="1460"/>
      <c r="AW194" s="1460"/>
      <c r="AX194" s="1460"/>
      <c r="AY194" s="1460"/>
      <c r="AZ194" s="1460"/>
      <c r="BA194" s="1460"/>
      <c r="BB194" s="1460"/>
      <c r="BC194" s="1460"/>
      <c r="BD194" s="287"/>
    </row>
    <row r="195" ht="15.5" customHeight="1" spans="1:56" x14ac:dyDescent="0.25">
      <c r="A195" s="187" t="s">
        <v>1263</v>
      </c>
      <c r="B195" s="26"/>
      <c r="C195" s="26"/>
      <c r="D195" s="26"/>
      <c r="E195" s="26"/>
      <c r="G195" s="26" t="s">
        <v>421</v>
      </c>
      <c r="H195" s="1443"/>
      <c r="I195" s="287" t="s">
        <v>1329</v>
      </c>
      <c r="J195" s="287"/>
      <c r="K195" s="287"/>
      <c r="L195" s="287"/>
      <c r="M195" s="1458"/>
      <c r="N195" s="1458"/>
      <c r="O195" s="1524"/>
      <c r="P195" s="1460"/>
      <c r="Q195" s="1460"/>
      <c r="R195" s="1460"/>
      <c r="S195" s="1460"/>
      <c r="T195" s="1460"/>
      <c r="U195" s="1460"/>
      <c r="V195" s="1460"/>
      <c r="W195" s="1460"/>
      <c r="X195" s="1460"/>
      <c r="Y195" s="1460"/>
      <c r="Z195" s="1460"/>
      <c r="AA195" s="1460"/>
      <c r="AB195" s="1460"/>
      <c r="AC195" s="1460"/>
      <c r="AD195" s="1460"/>
      <c r="AE195" s="1460"/>
      <c r="AF195" s="1460"/>
      <c r="AG195" s="1460"/>
      <c r="AH195" s="1460"/>
      <c r="AI195" s="1460"/>
      <c r="AJ195" s="1460"/>
      <c r="AK195" s="1460"/>
      <c r="AL195" s="1460"/>
      <c r="AM195" s="1460"/>
      <c r="AN195" s="1460"/>
      <c r="AO195" s="1460"/>
      <c r="AP195" s="1460"/>
      <c r="AQ195" s="1460"/>
      <c r="AR195" s="1460"/>
      <c r="AS195" s="1460"/>
      <c r="AT195" s="1460"/>
      <c r="AU195" s="1460"/>
      <c r="AV195" s="1460"/>
      <c r="AW195" s="1460"/>
      <c r="AX195" s="1460"/>
      <c r="AY195" s="1460"/>
      <c r="AZ195" s="1460"/>
      <c r="BA195" s="1460"/>
      <c r="BB195" s="1460"/>
      <c r="BC195" s="1460"/>
      <c r="BD195" s="287"/>
    </row>
    <row r="196" ht="15.5" customHeight="1" spans="1:56" x14ac:dyDescent="0.25">
      <c r="A196" s="187" t="s">
        <v>1330</v>
      </c>
      <c r="E196" s="187"/>
      <c r="G196" s="26" t="s">
        <v>972</v>
      </c>
      <c r="H196" s="1443"/>
      <c r="I196" s="1458" t="s">
        <v>1331</v>
      </c>
      <c r="J196" s="1458"/>
      <c r="K196" s="1458"/>
      <c r="L196" s="1458"/>
      <c r="M196" s="1458"/>
      <c r="N196" s="1458"/>
      <c r="O196" s="1524"/>
      <c r="P196" s="1460"/>
      <c r="Q196" s="1460"/>
      <c r="R196" s="1460"/>
      <c r="S196" s="1460"/>
      <c r="T196" s="1460"/>
      <c r="U196" s="1460"/>
      <c r="V196" s="1460"/>
      <c r="W196" s="1460"/>
      <c r="X196" s="1460"/>
      <c r="Y196" s="1460"/>
      <c r="Z196" s="1460"/>
      <c r="AA196" s="1460"/>
      <c r="AB196" s="1460"/>
      <c r="AC196" s="1460"/>
      <c r="AD196" s="1460"/>
      <c r="AE196" s="1460"/>
      <c r="AF196" s="1460"/>
      <c r="AG196" s="1460"/>
      <c r="AH196" s="1460"/>
      <c r="AI196" s="1460"/>
      <c r="AJ196" s="1460"/>
      <c r="AK196" s="1460"/>
      <c r="AL196" s="1460"/>
      <c r="AM196" s="1460"/>
      <c r="AN196" s="1460"/>
      <c r="AO196" s="1460"/>
      <c r="AP196" s="1460"/>
      <c r="AQ196" s="1460"/>
      <c r="AR196" s="1460"/>
      <c r="AS196" s="1460"/>
      <c r="AT196" s="1460"/>
      <c r="AU196" s="1460"/>
      <c r="AV196" s="1460"/>
      <c r="AW196" s="1460"/>
      <c r="AX196" s="1460"/>
      <c r="AY196" s="1460"/>
      <c r="AZ196" s="1460"/>
      <c r="BA196" s="1460"/>
      <c r="BB196" s="1460"/>
      <c r="BC196" s="1460"/>
      <c r="BD196" s="287"/>
    </row>
    <row r="197" ht="15.5" customHeight="1" spans="1:56" x14ac:dyDescent="0.25">
      <c r="A197" s="121" t="s">
        <v>1332</v>
      </c>
      <c r="B197" s="121"/>
      <c r="C197" s="121"/>
      <c r="D197" s="187"/>
      <c r="E197" s="187"/>
      <c r="G197" s="26" t="s">
        <v>967</v>
      </c>
      <c r="H197" s="1443"/>
      <c r="I197" s="287" t="s">
        <v>1333</v>
      </c>
      <c r="J197" s="287"/>
      <c r="K197" s="287"/>
      <c r="L197" s="1458"/>
      <c r="M197" s="1458"/>
      <c r="N197" s="1458"/>
      <c r="O197" s="1524"/>
      <c r="P197" s="1460"/>
      <c r="Q197" s="1460"/>
      <c r="R197" s="1460"/>
      <c r="S197" s="1460"/>
      <c r="T197" s="1460"/>
      <c r="U197" s="1460"/>
      <c r="V197" s="1460"/>
      <c r="W197" s="1460"/>
      <c r="X197" s="1460"/>
      <c r="Y197" s="1460"/>
      <c r="Z197" s="1460"/>
      <c r="AA197" s="1460"/>
      <c r="AB197" s="1460"/>
      <c r="AC197" s="1460"/>
      <c r="AD197" s="1460"/>
      <c r="AE197" s="1460"/>
      <c r="AF197" s="1460"/>
      <c r="AG197" s="1460"/>
      <c r="AH197" s="1460"/>
      <c r="AI197" s="1460"/>
      <c r="AJ197" s="1460"/>
      <c r="AK197" s="1460"/>
      <c r="AL197" s="1460"/>
      <c r="AM197" s="1460"/>
      <c r="AN197" s="1460"/>
      <c r="AO197" s="1460"/>
      <c r="AP197" s="1460"/>
      <c r="AQ197" s="1460"/>
      <c r="AR197" s="1460"/>
      <c r="AS197" s="1460"/>
      <c r="AT197" s="1460"/>
      <c r="AU197" s="1460"/>
      <c r="AV197" s="1460"/>
      <c r="AW197" s="1460"/>
      <c r="AX197" s="1460"/>
      <c r="AY197" s="1460"/>
      <c r="AZ197" s="1460"/>
      <c r="BA197" s="1460"/>
      <c r="BB197" s="1460"/>
      <c r="BC197" s="1460"/>
      <c r="BD197" s="287"/>
    </row>
    <row r="198" ht="15.5" customHeight="1" spans="1:56" x14ac:dyDescent="0.25">
      <c r="A198" s="121" t="s">
        <v>1334</v>
      </c>
      <c r="B198" s="121"/>
      <c r="C198" s="121"/>
      <c r="D198" s="187"/>
      <c r="E198" s="187"/>
      <c r="G198" s="26" t="s">
        <v>972</v>
      </c>
      <c r="H198" s="1443"/>
      <c r="I198" s="287" t="s">
        <v>102</v>
      </c>
      <c r="J198" s="287"/>
      <c r="K198" s="287"/>
      <c r="L198" s="1458"/>
      <c r="M198" s="1458"/>
      <c r="N198" s="1458"/>
      <c r="O198" s="1491"/>
      <c r="P198" s="1460"/>
      <c r="Q198" s="1460"/>
      <c r="R198" s="1460"/>
      <c r="S198" s="1460"/>
      <c r="T198" s="1460"/>
      <c r="U198" s="1460"/>
      <c r="V198" s="1460"/>
      <c r="W198" s="1460"/>
      <c r="X198" s="1460"/>
      <c r="Y198" s="1460"/>
      <c r="Z198" s="1460"/>
      <c r="AA198" s="1460"/>
      <c r="AB198" s="1460"/>
      <c r="AC198" s="1460"/>
      <c r="AD198" s="1460"/>
      <c r="AE198" s="1460"/>
      <c r="AF198" s="1460"/>
      <c r="AG198" s="1460"/>
      <c r="AH198" s="1460"/>
      <c r="AI198" s="1460"/>
      <c r="AJ198" s="1460"/>
      <c r="AK198" s="1460"/>
      <c r="AL198" s="1460"/>
      <c r="AM198" s="1460"/>
      <c r="AN198" s="1460"/>
      <c r="AO198" s="1460"/>
      <c r="AP198" s="1460"/>
      <c r="AQ198" s="1460"/>
      <c r="AR198" s="1460"/>
      <c r="AS198" s="1460"/>
      <c r="AT198" s="1460"/>
      <c r="AU198" s="1460"/>
      <c r="AV198" s="1460"/>
      <c r="AW198" s="1460"/>
      <c r="AX198" s="1460"/>
      <c r="AY198" s="1460"/>
      <c r="AZ198" s="1460"/>
      <c r="BA198" s="1460"/>
      <c r="BB198" s="1460"/>
      <c r="BC198" s="1460"/>
      <c r="BD198" s="287"/>
    </row>
    <row r="199" ht="15.5" customHeight="1" spans="1:56" x14ac:dyDescent="0.25">
      <c r="A199" s="121" t="s">
        <v>1335</v>
      </c>
      <c r="B199" s="121"/>
      <c r="C199" s="121"/>
      <c r="D199" s="187"/>
      <c r="E199" s="187"/>
      <c r="G199" s="26" t="s">
        <v>936</v>
      </c>
      <c r="H199" s="1443"/>
      <c r="I199" s="287" t="s">
        <v>1336</v>
      </c>
      <c r="J199" s="287"/>
      <c r="K199" s="287"/>
      <c r="L199" s="287"/>
      <c r="M199" s="287"/>
      <c r="N199" s="287"/>
      <c r="O199" s="1491"/>
      <c r="P199" s="1460"/>
      <c r="Q199" s="1460"/>
      <c r="R199" s="1460"/>
      <c r="S199" s="1460"/>
      <c r="T199" s="1460"/>
      <c r="U199" s="1460"/>
      <c r="V199" s="1460"/>
      <c r="W199" s="1460"/>
      <c r="X199" s="1460"/>
      <c r="Y199" s="1460"/>
      <c r="Z199" s="1460"/>
      <c r="AA199" s="1460"/>
      <c r="AB199" s="1460"/>
      <c r="AC199" s="1460"/>
      <c r="AD199" s="1460"/>
      <c r="AE199" s="1460"/>
      <c r="AF199" s="1460"/>
      <c r="AG199" s="1460"/>
      <c r="AH199" s="1460"/>
      <c r="AI199" s="1460"/>
      <c r="AJ199" s="1460"/>
      <c r="AK199" s="1460"/>
      <c r="AL199" s="1460"/>
      <c r="AM199" s="1460"/>
      <c r="AN199" s="1460"/>
      <c r="AO199" s="1460"/>
      <c r="AP199" s="1460"/>
      <c r="AQ199" s="1460"/>
      <c r="AR199" s="1460"/>
      <c r="AS199" s="1460"/>
      <c r="AT199" s="1460"/>
      <c r="AU199" s="1460"/>
      <c r="AV199" s="1460"/>
      <c r="AW199" s="1460"/>
      <c r="AX199" s="1460"/>
      <c r="AY199" s="1460"/>
      <c r="AZ199" s="1460"/>
      <c r="BA199" s="1460"/>
      <c r="BB199" s="1460"/>
      <c r="BC199" s="1460"/>
      <c r="BD199" s="287"/>
    </row>
    <row r="200" ht="15.5" customHeight="1" spans="1:56" x14ac:dyDescent="0.25">
      <c r="A200" s="187" t="s">
        <v>1337</v>
      </c>
      <c r="B200" s="187"/>
      <c r="C200" s="187"/>
      <c r="D200" s="187"/>
      <c r="E200" s="187"/>
      <c r="G200" s="26" t="s">
        <v>903</v>
      </c>
      <c r="H200" s="1443"/>
      <c r="I200" s="1458" t="s">
        <v>1338</v>
      </c>
      <c r="J200" s="1458"/>
      <c r="K200" s="1458"/>
      <c r="L200" s="1458"/>
      <c r="M200" s="1458"/>
      <c r="N200" s="1458"/>
      <c r="O200" s="1491"/>
      <c r="P200" s="1460"/>
      <c r="Q200" s="1460"/>
      <c r="R200" s="1460"/>
      <c r="S200" s="1460"/>
      <c r="T200" s="1460"/>
      <c r="U200" s="1460"/>
      <c r="V200" s="1460"/>
      <c r="W200" s="1460"/>
      <c r="X200" s="1460"/>
      <c r="Y200" s="1460"/>
      <c r="Z200" s="1460"/>
      <c r="AA200" s="1460"/>
      <c r="AB200" s="1460"/>
      <c r="AC200" s="1460"/>
      <c r="AD200" s="1460"/>
      <c r="AE200" s="1460"/>
      <c r="AF200" s="1460"/>
      <c r="AG200" s="1460"/>
      <c r="AH200" s="1460"/>
      <c r="AI200" s="1460"/>
      <c r="AJ200" s="1460"/>
      <c r="AK200" s="1460"/>
      <c r="AL200" s="1460"/>
      <c r="AM200" s="1460"/>
      <c r="AN200" s="1460"/>
      <c r="AO200" s="1460"/>
      <c r="AP200" s="1460"/>
      <c r="AQ200" s="1460"/>
      <c r="AR200" s="1460"/>
      <c r="AS200" s="1460"/>
      <c r="AT200" s="1460"/>
      <c r="AU200" s="1460"/>
      <c r="AV200" s="1460"/>
      <c r="AW200" s="1460"/>
      <c r="AX200" s="1460"/>
      <c r="AY200" s="1460"/>
      <c r="AZ200" s="1460"/>
      <c r="BA200" s="1460"/>
      <c r="BB200" s="1460"/>
      <c r="BC200" s="1460"/>
      <c r="BD200" s="287"/>
    </row>
    <row r="201" ht="15.5" customHeight="1" spans="1:56" x14ac:dyDescent="0.25">
      <c r="A201" s="187" t="s">
        <v>1339</v>
      </c>
      <c r="B201" s="187"/>
      <c r="C201" s="187"/>
      <c r="D201" s="187"/>
      <c r="E201" s="187"/>
      <c r="G201" s="26" t="s">
        <v>809</v>
      </c>
      <c r="H201" s="1443"/>
      <c r="I201" s="1458" t="s">
        <v>1340</v>
      </c>
      <c r="J201" s="1458"/>
      <c r="K201" s="1458"/>
      <c r="L201" s="1458"/>
      <c r="M201" s="1458"/>
      <c r="N201" s="1458"/>
      <c r="O201" s="1491"/>
      <c r="P201" s="1460"/>
      <c r="Q201" s="1460"/>
      <c r="R201" s="1460"/>
      <c r="S201" s="1460"/>
      <c r="T201" s="1460"/>
      <c r="U201" s="1460"/>
      <c r="V201" s="1460"/>
      <c r="W201" s="1460"/>
      <c r="X201" s="1460"/>
      <c r="Y201" s="1460"/>
      <c r="Z201" s="1460"/>
      <c r="AA201" s="1460"/>
      <c r="AB201" s="1460"/>
      <c r="AC201" s="1460"/>
      <c r="AD201" s="1460"/>
      <c r="AE201" s="1460"/>
      <c r="AF201" s="1460"/>
      <c r="AG201" s="1460"/>
      <c r="AH201" s="1460"/>
      <c r="AI201" s="1460"/>
      <c r="AJ201" s="1460"/>
      <c r="AK201" s="1460"/>
      <c r="AL201" s="1460"/>
      <c r="AM201" s="1460"/>
      <c r="AN201" s="1460"/>
      <c r="AO201" s="1460"/>
      <c r="AP201" s="1460"/>
      <c r="AQ201" s="1460"/>
      <c r="AR201" s="1460"/>
      <c r="AS201" s="1460"/>
      <c r="AT201" s="1460"/>
      <c r="AU201" s="1460"/>
      <c r="AV201" s="1460"/>
      <c r="AW201" s="1460"/>
      <c r="AX201" s="1460"/>
      <c r="AY201" s="1460"/>
      <c r="AZ201" s="1460"/>
      <c r="BA201" s="1460"/>
      <c r="BB201" s="1460"/>
      <c r="BC201" s="1460"/>
      <c r="BD201" s="287"/>
    </row>
    <row r="202" ht="15.5" customHeight="1" spans="1:56" x14ac:dyDescent="0.25">
      <c r="A202" s="187" t="s">
        <v>1341</v>
      </c>
      <c r="B202" s="187"/>
      <c r="C202" s="187"/>
      <c r="D202" s="187"/>
      <c r="E202" s="187"/>
      <c r="G202" s="26" t="s">
        <v>795</v>
      </c>
      <c r="H202" s="1443"/>
      <c r="I202" s="1458" t="s">
        <v>1342</v>
      </c>
      <c r="J202" s="1458"/>
      <c r="K202" s="1458"/>
      <c r="L202" s="1458"/>
      <c r="M202" s="1458"/>
      <c r="N202" s="1458"/>
      <c r="O202" s="1491"/>
      <c r="P202" s="1460"/>
      <c r="Q202" s="1460"/>
      <c r="R202" s="1460"/>
      <c r="S202" s="1460"/>
      <c r="T202" s="1460"/>
      <c r="U202" s="1460"/>
      <c r="V202" s="1460"/>
      <c r="W202" s="1460"/>
      <c r="X202" s="1460"/>
      <c r="Y202" s="1460"/>
      <c r="Z202" s="1460"/>
      <c r="AA202" s="1460"/>
      <c r="AB202" s="1460"/>
      <c r="AC202" s="1460"/>
      <c r="AD202" s="1460"/>
      <c r="AE202" s="1460"/>
      <c r="AF202" s="1460"/>
      <c r="AG202" s="1460"/>
      <c r="AH202" s="1460"/>
      <c r="AI202" s="1460"/>
      <c r="AJ202" s="1460"/>
      <c r="AK202" s="1460"/>
      <c r="AL202" s="1460"/>
      <c r="AM202" s="1460"/>
      <c r="AN202" s="1460"/>
      <c r="AO202" s="1460"/>
      <c r="AP202" s="1460"/>
      <c r="AQ202" s="1460"/>
      <c r="AR202" s="1460"/>
      <c r="AS202" s="1460"/>
      <c r="AT202" s="1460"/>
      <c r="AU202" s="1460"/>
      <c r="AV202" s="1460"/>
      <c r="AW202" s="1460"/>
      <c r="AX202" s="1460"/>
      <c r="AY202" s="1460"/>
      <c r="AZ202" s="1460"/>
      <c r="BA202" s="1460"/>
      <c r="BB202" s="1460"/>
      <c r="BC202" s="1460"/>
      <c r="BD202" s="287"/>
    </row>
    <row r="203" ht="15.5" customHeight="1" spans="1:56" x14ac:dyDescent="0.25">
      <c r="A203" s="187" t="s">
        <v>1343</v>
      </c>
      <c r="B203" s="26"/>
      <c r="C203" s="26"/>
      <c r="D203" s="26"/>
      <c r="E203" s="26"/>
      <c r="G203" s="26" t="s">
        <v>661</v>
      </c>
      <c r="H203" s="1443"/>
      <c r="I203" s="287" t="s">
        <v>660</v>
      </c>
      <c r="J203" s="1458"/>
      <c r="K203" s="1458"/>
      <c r="L203" s="1458"/>
      <c r="M203" s="1458"/>
      <c r="N203" s="1458"/>
      <c r="O203" s="1378">
        <f t="shared" ref="O203:AX203" si="104">O135/O147</f>
        <v>414.06650209455415</v>
      </c>
      <c r="P203" s="1468">
        <f t="shared" si="104"/>
        <v>399.6029598930481</v>
      </c>
      <c r="Q203" s="1468">
        <f t="shared" si="104"/>
        <v>338.5193479478779</v>
      </c>
      <c r="R203" s="1468">
        <f t="shared" si="104"/>
        <v>290.79663801056347</v>
      </c>
      <c r="S203" s="1468">
        <f t="shared" si="104"/>
        <v>301.1672122851439</v>
      </c>
      <c r="T203" s="1468">
        <f t="shared" si="104"/>
        <v>389.1250913768936</v>
      </c>
      <c r="U203" s="1468">
        <f t="shared" si="104"/>
        <v>489.42387115829723</v>
      </c>
      <c r="V203" s="1468">
        <f t="shared" si="104"/>
        <v>575.881998070208</v>
      </c>
      <c r="W203" s="1468">
        <f t="shared" si="104"/>
        <v>595.0050846822296</v>
      </c>
      <c r="X203" s="1468">
        <f t="shared" si="104"/>
        <v>673.0005270569535</v>
      </c>
      <c r="Y203" s="1468">
        <f t="shared" si="104"/>
        <v>768.9001492796758</v>
      </c>
      <c r="Z203" s="1468">
        <f t="shared" si="104"/>
        <v>836.0563276892773</v>
      </c>
      <c r="AA203" s="1468">
        <f t="shared" si="104"/>
        <v>1056.77223805292</v>
      </c>
      <c r="AB203" s="1468">
        <f t="shared" si="104"/>
        <v>1067.5604494249962</v>
      </c>
      <c r="AC203" s="1468">
        <f t="shared" si="104"/>
        <v>738.9037086344628</v>
      </c>
      <c r="AD203" s="1468">
        <f t="shared" si="104"/>
        <v>879.3811037217147</v>
      </c>
      <c r="AE203" s="1468">
        <f t="shared" si="104"/>
        <v>1033.0485909926858</v>
      </c>
      <c r="AF203" s="1468">
        <f t="shared" si="104"/>
        <v>1279.0682810573705</v>
      </c>
      <c r="AG203" s="1468">
        <f t="shared" si="104"/>
        <v>1303.7876400663122</v>
      </c>
      <c r="AH203" s="1468">
        <f t="shared" si="104"/>
        <v>1398.0405275411429</v>
      </c>
      <c r="AI203" s="1468">
        <f t="shared" si="104"/>
        <v>1258.6555212554956</v>
      </c>
      <c r="AJ203" s="1468">
        <f t="shared" si="104"/>
        <v>1280.0416040349298</v>
      </c>
      <c r="AK203" s="1468">
        <f t="shared" si="104"/>
        <v>1403.3266798760303</v>
      </c>
      <c r="AL203" s="1468">
        <f t="shared" si="104"/>
        <v>1560.3423195364828</v>
      </c>
      <c r="AM203" s="1468">
        <f t="shared" si="104"/>
        <v>2194.2681095248695</v>
      </c>
      <c r="AN203" s="1468">
        <f t="shared" si="104"/>
        <v>1511.3311667072671</v>
      </c>
      <c r="AO203" s="1468">
        <f t="shared" si="104"/>
        <v>2065.2237936406827</v>
      </c>
      <c r="AP203" s="1468">
        <f t="shared" si="104"/>
        <v>2848.7980559677817</v>
      </c>
      <c r="AQ203" s="1468">
        <f t="shared" si="104"/>
        <v>4433.575477089806</v>
      </c>
      <c r="AR203" s="1468">
        <f t="shared" si="104"/>
        <v>9324.602412331164</v>
      </c>
      <c r="AS203" s="1468">
        <f t="shared" si="104"/>
        <v>-111473.93541479178</v>
      </c>
      <c r="AT203" s="1468">
        <f t="shared" si="104"/>
        <v>-8250.580167238979</v>
      </c>
      <c r="AU203" s="1468">
        <f t="shared" si="104"/>
        <v>-4345.441533567747</v>
      </c>
      <c r="AV203" s="1468">
        <f t="shared" si="104"/>
        <v>-2975.3020974039327</v>
      </c>
      <c r="AW203" s="1468">
        <f t="shared" si="104"/>
        <v>-2269.6874214593145</v>
      </c>
      <c r="AX203" s="1468">
        <f t="shared" si="104"/>
        <v>-1843.9202956055187</v>
      </c>
      <c r="AY203" s="1468"/>
      <c r="AZ203" s="1468"/>
      <c r="BA203" s="1468"/>
      <c r="BB203" s="1468"/>
      <c r="BC203" s="1468"/>
      <c r="BD203" s="287"/>
    </row>
    <row r="204" ht="15.5" customHeight="1" spans="1:56" x14ac:dyDescent="0.25">
      <c r="A204" s="187" t="s">
        <v>1344</v>
      </c>
      <c r="B204" s="26"/>
      <c r="C204" s="26"/>
      <c r="D204" s="26"/>
      <c r="E204" s="26"/>
      <c r="G204" s="26" t="s">
        <v>596</v>
      </c>
      <c r="H204" s="1443"/>
      <c r="I204" s="1458" t="s">
        <v>1281</v>
      </c>
      <c r="J204" s="1458"/>
      <c r="K204" s="1458"/>
      <c r="L204" s="1458"/>
      <c r="M204" s="1458"/>
      <c r="N204" s="1458"/>
      <c r="O204" s="1378">
        <f t="shared" ref="O204:AX204" si="105">O135/O106</f>
        <v>3.845020134246836</v>
      </c>
      <c r="P204" s="1465">
        <f t="shared" si="105"/>
        <v>2.6692350234712903</v>
      </c>
      <c r="Q204" s="1465">
        <f t="shared" si="105"/>
        <v>2.2083538304052164</v>
      </c>
      <c r="R204" s="1465">
        <f t="shared" si="105"/>
        <v>1.77029337089788</v>
      </c>
      <c r="S204" s="1465">
        <f t="shared" si="105"/>
        <v>1.0841775910940434</v>
      </c>
      <c r="T204" s="1465">
        <f t="shared" si="105"/>
        <v>0.909270844804434</v>
      </c>
      <c r="U204" s="1465">
        <f t="shared" si="105"/>
        <v>0.7278814159655187</v>
      </c>
      <c r="V204" s="1465">
        <f t="shared" si="105"/>
        <v>0.6066333812016688</v>
      </c>
      <c r="W204" s="1465">
        <f t="shared" si="105"/>
        <v>0.5400861752952375</v>
      </c>
      <c r="X204" s="1465">
        <f t="shared" si="105"/>
        <v>0.4518845969390043</v>
      </c>
      <c r="Y204" s="1465">
        <f t="shared" si="105"/>
        <v>0.37835617992798737</v>
      </c>
      <c r="Z204" s="1465">
        <f t="shared" si="105"/>
        <v>0.33829537780058955</v>
      </c>
      <c r="AA204" s="1465">
        <f t="shared" si="105"/>
        <v>0.2978811908961467</v>
      </c>
      <c r="AB204" s="1465">
        <f t="shared" si="105"/>
        <v>0.25113150734744794</v>
      </c>
      <c r="AC204" s="1465">
        <f t="shared" si="105"/>
        <v>0.22125526254977207</v>
      </c>
      <c r="AD204" s="1465">
        <f t="shared" si="105"/>
        <v>0.2064320550087499</v>
      </c>
      <c r="AE204" s="1465">
        <f t="shared" si="105"/>
        <v>0.1698453324547826</v>
      </c>
      <c r="AF204" s="1465">
        <f t="shared" si="105"/>
        <v>0.15317583135545823</v>
      </c>
      <c r="AG204" s="1465">
        <f t="shared" si="105"/>
        <v>0.1402398999814838</v>
      </c>
      <c r="AH204" s="1465">
        <f t="shared" si="105"/>
        <v>0.1296037256867497</v>
      </c>
      <c r="AI204" s="1465">
        <f t="shared" si="105"/>
        <v>0.12411024082271745</v>
      </c>
      <c r="AJ204" s="1465">
        <f t="shared" si="105"/>
        <v>0.11984929570482207</v>
      </c>
      <c r="AK204" s="1465">
        <f t="shared" si="105"/>
        <v>0.11565224075182956</v>
      </c>
      <c r="AL204" s="1465">
        <f t="shared" si="105"/>
        <v>0.11221345208299371</v>
      </c>
      <c r="AM204" s="1465">
        <f t="shared" si="105"/>
        <v>0.10793603963156417</v>
      </c>
      <c r="AN204" s="1465">
        <f t="shared" si="105"/>
        <v>0.10378316154004813</v>
      </c>
      <c r="AO204" s="1465">
        <f t="shared" si="105"/>
        <v>0.09572580920528903</v>
      </c>
      <c r="AP204" s="1465">
        <f t="shared" si="105"/>
        <v>0.08996605604900479</v>
      </c>
      <c r="AQ204" s="1465">
        <f t="shared" si="105"/>
        <v>0.08458197696477895</v>
      </c>
      <c r="AR204" s="1465">
        <f t="shared" si="105"/>
        <v>0.07954650597721626</v>
      </c>
      <c r="AS204" s="1465">
        <f t="shared" si="105"/>
        <v>0.07483520246172125</v>
      </c>
      <c r="AT204" s="1465">
        <f t="shared" si="105"/>
        <v>0.07042568590964961</v>
      </c>
      <c r="AU204" s="1465">
        <f t="shared" si="105"/>
        <v>0.06629730554975659</v>
      </c>
      <c r="AV204" s="1465">
        <f t="shared" si="105"/>
        <v>0.06243092932200441</v>
      </c>
      <c r="AW204" s="1465">
        <f t="shared" si="105"/>
        <v>0.05880879520464115</v>
      </c>
      <c r="AX204" s="1465">
        <f t="shared" si="105"/>
        <v>0.05541439624199547</v>
      </c>
      <c r="AY204" s="1465"/>
      <c r="AZ204" s="1465"/>
      <c r="BA204" s="1465"/>
      <c r="BB204" s="1465"/>
      <c r="BC204" s="1465"/>
      <c r="BD204" s="287"/>
    </row>
    <row r="205" ht="15.5" customHeight="1" spans="1:56" x14ac:dyDescent="0.25">
      <c r="A205" s="187" t="s">
        <v>1345</v>
      </c>
      <c r="B205" s="26"/>
      <c r="C205" s="26"/>
      <c r="D205" s="26"/>
      <c r="E205" s="26"/>
      <c r="G205" s="26" t="s">
        <v>1346</v>
      </c>
      <c r="H205" s="1443"/>
      <c r="I205" s="1458" t="s">
        <v>1347</v>
      </c>
      <c r="J205" s="1458"/>
      <c r="K205" s="1458"/>
      <c r="L205" s="1458"/>
      <c r="M205" s="1458"/>
      <c r="N205" s="1458"/>
      <c r="O205" s="1378"/>
      <c r="P205" s="1460"/>
      <c r="Q205" s="1460"/>
      <c r="R205" s="1460"/>
      <c r="S205" s="1460"/>
      <c r="T205" s="1460"/>
      <c r="U205" s="1460"/>
      <c r="V205" s="1460"/>
      <c r="W205" s="1460"/>
      <c r="X205" s="1460"/>
      <c r="Y205" s="1460"/>
      <c r="Z205" s="1460"/>
      <c r="AA205" s="1460"/>
      <c r="AB205" s="1460"/>
      <c r="AC205" s="1460"/>
      <c r="AD205" s="1460"/>
      <c r="AE205" s="1460"/>
      <c r="AF205" s="1460"/>
      <c r="AG205" s="1460"/>
      <c r="AH205" s="1460"/>
      <c r="AI205" s="1460"/>
      <c r="AJ205" s="1460"/>
      <c r="AK205" s="1460"/>
      <c r="AL205" s="1460"/>
      <c r="AM205" s="1460"/>
      <c r="AN205" s="1460"/>
      <c r="AO205" s="1460"/>
      <c r="AP205" s="1460"/>
      <c r="AQ205" s="1460"/>
      <c r="AR205" s="1460"/>
      <c r="AS205" s="1460"/>
      <c r="AT205" s="1460"/>
      <c r="AU205" s="1460"/>
      <c r="AV205" s="1460"/>
      <c r="AW205" s="1460"/>
      <c r="AX205" s="1460"/>
      <c r="AY205" s="1460"/>
      <c r="AZ205" s="1460"/>
      <c r="BA205" s="1460"/>
      <c r="BB205" s="1460"/>
      <c r="BC205" s="1460"/>
      <c r="BD205" s="287"/>
    </row>
    <row r="206" ht="15.5" customHeight="1" spans="1:56" x14ac:dyDescent="0.25">
      <c r="A206" s="187" t="s">
        <v>1348</v>
      </c>
      <c r="B206" s="26"/>
      <c r="C206" s="26"/>
      <c r="D206" s="26"/>
      <c r="E206" s="26"/>
      <c r="G206" s="26" t="s">
        <v>368</v>
      </c>
      <c r="H206" s="1443"/>
      <c r="I206" s="287" t="s">
        <v>1349</v>
      </c>
      <c r="J206" s="287"/>
      <c r="K206" s="287"/>
      <c r="L206" s="287"/>
      <c r="M206" s="1458"/>
      <c r="N206" s="1458"/>
      <c r="O206" s="1378"/>
      <c r="P206" s="1460"/>
      <c r="Q206" s="1460"/>
      <c r="R206" s="1460"/>
      <c r="S206" s="1460"/>
      <c r="T206" s="1460"/>
      <c r="U206" s="1460"/>
      <c r="V206" s="1460"/>
      <c r="W206" s="1460"/>
      <c r="X206" s="1460"/>
      <c r="Y206" s="1460"/>
      <c r="Z206" s="1460"/>
      <c r="AA206" s="1460"/>
      <c r="AB206" s="1460"/>
      <c r="AC206" s="1460"/>
      <c r="AD206" s="1460"/>
      <c r="AE206" s="1460"/>
      <c r="AF206" s="1460"/>
      <c r="AG206" s="1460"/>
      <c r="AH206" s="1460"/>
      <c r="AI206" s="1460"/>
      <c r="AJ206" s="1460"/>
      <c r="AK206" s="1460"/>
      <c r="AL206" s="1460"/>
      <c r="AM206" s="1460"/>
      <c r="AN206" s="1460"/>
      <c r="AO206" s="1460"/>
      <c r="AP206" s="1460"/>
      <c r="AQ206" s="1460"/>
      <c r="AR206" s="1460"/>
      <c r="AS206" s="1460"/>
      <c r="AT206" s="1460"/>
      <c r="AU206" s="1460"/>
      <c r="AV206" s="1460"/>
      <c r="AW206" s="1460"/>
      <c r="AX206" s="1460"/>
      <c r="AY206" s="1460"/>
      <c r="AZ206" s="1460"/>
      <c r="BA206" s="1460"/>
      <c r="BB206" s="1460"/>
      <c r="BC206" s="1460"/>
      <c r="BD206" s="287"/>
    </row>
    <row r="207" ht="15.5" customHeight="1" spans="1:56" x14ac:dyDescent="0.25">
      <c r="A207" s="187" t="s">
        <v>1350</v>
      </c>
      <c r="B207" s="26"/>
      <c r="C207" s="26"/>
      <c r="D207" s="26"/>
      <c r="E207" s="26"/>
      <c r="G207" s="26" t="s">
        <v>1351</v>
      </c>
      <c r="H207" s="1443"/>
      <c r="I207" s="287" t="s">
        <v>1352</v>
      </c>
      <c r="J207" s="287"/>
      <c r="K207" s="287"/>
      <c r="L207" s="287"/>
      <c r="M207" s="1458"/>
      <c r="N207" s="1458"/>
      <c r="O207" s="1527"/>
      <c r="P207" s="1460"/>
      <c r="Q207" s="1460"/>
      <c r="R207" s="1460"/>
      <c r="S207" s="1460"/>
      <c r="T207" s="1460"/>
      <c r="U207" s="1460"/>
      <c r="V207" s="1460"/>
      <c r="W207" s="1460"/>
      <c r="X207" s="1460"/>
      <c r="Y207" s="1460"/>
      <c r="Z207" s="1460"/>
      <c r="AA207" s="1460"/>
      <c r="AB207" s="1460"/>
      <c r="AC207" s="1460"/>
      <c r="AD207" s="1460"/>
      <c r="AE207" s="1460"/>
      <c r="AF207" s="1460"/>
      <c r="AG207" s="1460"/>
      <c r="AH207" s="1460"/>
      <c r="AI207" s="1460"/>
      <c r="AJ207" s="1460"/>
      <c r="AK207" s="1460"/>
      <c r="AL207" s="1460"/>
      <c r="AM207" s="1460"/>
      <c r="AN207" s="1460"/>
      <c r="AO207" s="1460"/>
      <c r="AP207" s="1460"/>
      <c r="AQ207" s="1460"/>
      <c r="AR207" s="1460"/>
      <c r="AS207" s="1460"/>
      <c r="AT207" s="1460"/>
      <c r="AU207" s="1460"/>
      <c r="AV207" s="1460"/>
      <c r="AW207" s="1460"/>
      <c r="AX207" s="1460"/>
      <c r="AY207" s="1460"/>
      <c r="AZ207" s="1460"/>
      <c r="BA207" s="1460"/>
      <c r="BB207" s="1460"/>
      <c r="BC207" s="1460"/>
      <c r="BD207" s="287"/>
    </row>
    <row r="208" ht="15.5" customHeight="1" spans="1:56" x14ac:dyDescent="0.25">
      <c r="A208" s="187" t="s">
        <v>1353</v>
      </c>
      <c r="E208" s="187"/>
      <c r="G208" s="26" t="s">
        <v>424</v>
      </c>
      <c r="H208" s="1443"/>
      <c r="I208" s="1458" t="s">
        <v>1354</v>
      </c>
      <c r="J208" s="1458"/>
      <c r="K208" s="1458"/>
      <c r="L208" s="1458"/>
      <c r="M208" s="1458"/>
      <c r="N208" s="1458"/>
      <c r="O208" s="1524"/>
      <c r="P208" s="1460"/>
      <c r="Q208" s="1460"/>
      <c r="R208" s="1460"/>
      <c r="S208" s="1460"/>
      <c r="T208" s="1460"/>
      <c r="U208" s="1460"/>
      <c r="V208" s="1460"/>
      <c r="W208" s="1460"/>
      <c r="X208" s="1460"/>
      <c r="Y208" s="1460"/>
      <c r="Z208" s="1460"/>
      <c r="AA208" s="1460"/>
      <c r="AB208" s="1460"/>
      <c r="AC208" s="1460"/>
      <c r="AD208" s="1460"/>
      <c r="AE208" s="1460"/>
      <c r="AF208" s="1460"/>
      <c r="AG208" s="1460"/>
      <c r="AH208" s="1460"/>
      <c r="AI208" s="1460"/>
      <c r="AJ208" s="1460"/>
      <c r="AK208" s="1460"/>
      <c r="AL208" s="1460"/>
      <c r="AM208" s="1460"/>
      <c r="AN208" s="1460"/>
      <c r="AO208" s="1460"/>
      <c r="AP208" s="1460"/>
      <c r="AQ208" s="1460"/>
      <c r="AR208" s="1460"/>
      <c r="AS208" s="1460"/>
      <c r="AT208" s="1460"/>
      <c r="AU208" s="1460"/>
      <c r="AV208" s="1460"/>
      <c r="AW208" s="1460"/>
      <c r="AX208" s="1460"/>
      <c r="AY208" s="1460"/>
      <c r="AZ208" s="1460"/>
      <c r="BA208" s="1460"/>
      <c r="BB208" s="1460"/>
      <c r="BC208" s="1460"/>
      <c r="BD208" s="287"/>
    </row>
    <row r="209" ht="15.5" customHeight="1" spans="1:56" x14ac:dyDescent="0.25">
      <c r="A209" s="187" t="s">
        <v>1355</v>
      </c>
      <c r="E209" s="187"/>
      <c r="G209" s="26" t="s">
        <v>640</v>
      </c>
      <c r="H209" s="1443"/>
      <c r="I209" s="1458"/>
      <c r="J209" s="1458"/>
      <c r="K209" s="1458"/>
      <c r="L209" s="1458"/>
      <c r="M209" s="1458"/>
      <c r="N209" s="1458"/>
      <c r="O209" s="1524"/>
      <c r="P209" s="1460"/>
      <c r="Q209" s="1460"/>
      <c r="R209" s="1460"/>
      <c r="S209" s="1460"/>
      <c r="T209" s="1460"/>
      <c r="U209" s="1460"/>
      <c r="V209" s="1460"/>
      <c r="W209" s="1460"/>
      <c r="X209" s="1460"/>
      <c r="Y209" s="1460"/>
      <c r="Z209" s="1460"/>
      <c r="AA209" s="1460"/>
      <c r="AB209" s="1460"/>
      <c r="AC209" s="1460"/>
      <c r="AD209" s="1460"/>
      <c r="AE209" s="1460"/>
      <c r="AF209" s="1460"/>
      <c r="AG209" s="1460"/>
      <c r="AH209" s="1460"/>
      <c r="AI209" s="1460"/>
      <c r="AJ209" s="1460"/>
      <c r="AK209" s="1460"/>
      <c r="AL209" s="1460"/>
      <c r="AM209" s="1460"/>
      <c r="AN209" s="1460"/>
      <c r="AO209" s="1460"/>
      <c r="AP209" s="1460"/>
      <c r="AQ209" s="1460"/>
      <c r="AR209" s="1460"/>
      <c r="AS209" s="1460"/>
      <c r="AT209" s="1460"/>
      <c r="AU209" s="1460"/>
      <c r="AV209" s="1460"/>
      <c r="AW209" s="1460"/>
      <c r="AX209" s="1460"/>
      <c r="AY209" s="1460"/>
      <c r="AZ209" s="1460"/>
      <c r="BA209" s="1460"/>
      <c r="BB209" s="1460"/>
      <c r="BC209" s="1460"/>
      <c r="BD209" s="287"/>
    </row>
    <row r="210" ht="15.5" customHeight="1" spans="1:56" x14ac:dyDescent="0.25">
      <c r="A210" s="187" t="s">
        <v>1356</v>
      </c>
      <c r="E210" s="187"/>
      <c r="G210" s="26" t="s">
        <v>936</v>
      </c>
      <c r="H210" s="1443"/>
      <c r="I210" s="1458"/>
      <c r="J210" s="1458"/>
      <c r="K210" s="1458"/>
      <c r="L210" s="1458"/>
      <c r="M210" s="1458"/>
      <c r="N210" s="1458"/>
      <c r="O210" s="1524"/>
      <c r="P210" s="1460"/>
      <c r="Q210" s="1460"/>
      <c r="R210" s="1460"/>
      <c r="S210" s="1460"/>
      <c r="T210" s="1460"/>
      <c r="U210" s="1460"/>
      <c r="V210" s="1460"/>
      <c r="W210" s="1460"/>
      <c r="X210" s="1460"/>
      <c r="Y210" s="1460"/>
      <c r="Z210" s="1460"/>
      <c r="AA210" s="1460"/>
      <c r="AB210" s="1460"/>
      <c r="AC210" s="1460"/>
      <c r="AD210" s="1460"/>
      <c r="AE210" s="1460"/>
      <c r="AF210" s="1460"/>
      <c r="AG210" s="1460"/>
      <c r="AH210" s="1460"/>
      <c r="AI210" s="1460"/>
      <c r="AJ210" s="1460"/>
      <c r="AK210" s="1460"/>
      <c r="AL210" s="1460"/>
      <c r="AM210" s="1460"/>
      <c r="AN210" s="1460"/>
      <c r="AO210" s="1460"/>
      <c r="AP210" s="1460"/>
      <c r="AQ210" s="1460"/>
      <c r="AR210" s="1460"/>
      <c r="AS210" s="1460"/>
      <c r="AT210" s="1460"/>
      <c r="AU210" s="1460"/>
      <c r="AV210" s="1460"/>
      <c r="AW210" s="1460"/>
      <c r="AX210" s="1460"/>
      <c r="AY210" s="1460"/>
      <c r="AZ210" s="1460"/>
      <c r="BA210" s="1460"/>
      <c r="BB210" s="1460"/>
      <c r="BC210" s="1460"/>
      <c r="BD210" s="287"/>
    </row>
    <row r="211" ht="15.5" customHeight="1" spans="1:56" x14ac:dyDescent="0.25">
      <c r="A211" s="187" t="s">
        <v>1357</v>
      </c>
      <c r="E211" s="187"/>
      <c r="G211" s="26" t="s">
        <v>308</v>
      </c>
      <c r="H211" s="1443"/>
      <c r="I211" s="1458" t="s">
        <v>1358</v>
      </c>
      <c r="J211" s="1458"/>
      <c r="K211" s="1458"/>
      <c r="L211" s="1458"/>
      <c r="M211" s="1458"/>
      <c r="N211" s="1458"/>
      <c r="O211" s="1524"/>
      <c r="P211" s="1460"/>
      <c r="Q211" s="1460"/>
      <c r="R211" s="1460"/>
      <c r="S211" s="1460"/>
      <c r="T211" s="1460"/>
      <c r="U211" s="1460"/>
      <c r="V211" s="1460"/>
      <c r="W211" s="1460"/>
      <c r="X211" s="1460"/>
      <c r="Y211" s="1460"/>
      <c r="Z211" s="1460"/>
      <c r="AA211" s="1460"/>
      <c r="AB211" s="1460"/>
      <c r="AC211" s="1460"/>
      <c r="AD211" s="1460"/>
      <c r="AE211" s="1460"/>
      <c r="AF211" s="1460"/>
      <c r="AG211" s="1460"/>
      <c r="AH211" s="1460"/>
      <c r="AI211" s="1460"/>
      <c r="AJ211" s="1460"/>
      <c r="AK211" s="1460"/>
      <c r="AL211" s="1460"/>
      <c r="AM211" s="1460"/>
      <c r="AN211" s="1460"/>
      <c r="AO211" s="1460"/>
      <c r="AP211" s="1460"/>
      <c r="AQ211" s="1460"/>
      <c r="AR211" s="1460"/>
      <c r="AS211" s="1460"/>
      <c r="AT211" s="1460"/>
      <c r="AU211" s="1460"/>
      <c r="AV211" s="1460"/>
      <c r="AW211" s="1460"/>
      <c r="AX211" s="1460"/>
      <c r="AY211" s="1460"/>
      <c r="AZ211" s="1460"/>
      <c r="BA211" s="1460"/>
      <c r="BB211" s="1460"/>
      <c r="BC211" s="1460"/>
      <c r="BD211" s="287"/>
    </row>
    <row r="212" ht="15.5" customHeight="1" spans="1:56" x14ac:dyDescent="0.25">
      <c r="A212" s="187" t="s">
        <v>1359</v>
      </c>
      <c r="G212" s="26" t="s">
        <v>314</v>
      </c>
      <c r="H212" s="1443"/>
      <c r="I212" s="1458" t="s">
        <v>1360</v>
      </c>
      <c r="J212" s="1458"/>
      <c r="K212" s="1458"/>
      <c r="L212" s="1458"/>
      <c r="M212" s="1458"/>
      <c r="N212" s="1458"/>
      <c r="O212" s="1527"/>
      <c r="P212" s="1460"/>
      <c r="Q212" s="1460"/>
      <c r="R212" s="1460"/>
      <c r="S212" s="1460"/>
      <c r="T212" s="1460"/>
      <c r="U212" s="1460"/>
      <c r="V212" s="1460"/>
      <c r="W212" s="1460"/>
      <c r="X212" s="1460"/>
      <c r="Y212" s="1460"/>
      <c r="Z212" s="1460"/>
      <c r="AA212" s="1460"/>
      <c r="AB212" s="1460"/>
      <c r="AC212" s="1460"/>
      <c r="AD212" s="1460"/>
      <c r="AE212" s="1460"/>
      <c r="AF212" s="1460"/>
      <c r="AG212" s="1460"/>
      <c r="AH212" s="1460"/>
      <c r="AI212" s="1460"/>
      <c r="AJ212" s="1460"/>
      <c r="AK212" s="1460"/>
      <c r="AL212" s="1460"/>
      <c r="AM212" s="1460"/>
      <c r="AN212" s="1460"/>
      <c r="AO212" s="1460"/>
      <c r="AP212" s="1460"/>
      <c r="AQ212" s="1460"/>
      <c r="AR212" s="1460"/>
      <c r="AS212" s="1460"/>
      <c r="AT212" s="1460"/>
      <c r="AU212" s="1460"/>
      <c r="AV212" s="1460"/>
      <c r="AW212" s="1460"/>
      <c r="AX212" s="1460"/>
      <c r="AY212" s="1460"/>
      <c r="AZ212" s="1460"/>
      <c r="BA212" s="1460"/>
      <c r="BB212" s="1460"/>
      <c r="BC212" s="1460"/>
      <c r="BD212" s="287"/>
    </row>
    <row r="213" ht="15.5" customHeight="1" spans="1:56" x14ac:dyDescent="0.25">
      <c r="A213" s="187" t="s">
        <v>1361</v>
      </c>
      <c r="G213" s="26" t="s">
        <v>116</v>
      </c>
      <c r="H213" s="1443"/>
      <c r="I213" s="1458" t="s">
        <v>1362</v>
      </c>
      <c r="J213" s="1458"/>
      <c r="K213" s="1458"/>
      <c r="L213" s="1458"/>
      <c r="M213" s="1458"/>
      <c r="N213" s="1458"/>
      <c r="O213" s="1527"/>
      <c r="P213" s="1460"/>
      <c r="Q213" s="1460"/>
      <c r="R213" s="1460"/>
      <c r="S213" s="1460"/>
      <c r="T213" s="1460"/>
      <c r="U213" s="1460"/>
      <c r="V213" s="1460"/>
      <c r="W213" s="1460"/>
      <c r="X213" s="1460"/>
      <c r="Y213" s="1460"/>
      <c r="Z213" s="1460"/>
      <c r="AA213" s="1460"/>
      <c r="AB213" s="1460"/>
      <c r="AC213" s="1460"/>
      <c r="AD213" s="1460"/>
      <c r="AE213" s="1460"/>
      <c r="AF213" s="1460"/>
      <c r="AG213" s="1460"/>
      <c r="AH213" s="1460"/>
      <c r="AI213" s="1460"/>
      <c r="AJ213" s="1460"/>
      <c r="AK213" s="1460"/>
      <c r="AL213" s="1460"/>
      <c r="AM213" s="1460"/>
      <c r="AN213" s="1460"/>
      <c r="AO213" s="1460"/>
      <c r="AP213" s="1460"/>
      <c r="AQ213" s="1460"/>
      <c r="AR213" s="1460"/>
      <c r="AS213" s="1460"/>
      <c r="AT213" s="1460"/>
      <c r="AU213" s="1460"/>
      <c r="AV213" s="1460"/>
      <c r="AW213" s="1460"/>
      <c r="AX213" s="1460"/>
      <c r="AY213" s="1460"/>
      <c r="AZ213" s="1460"/>
      <c r="BA213" s="1460"/>
      <c r="BB213" s="1460"/>
      <c r="BC213" s="1460"/>
      <c r="BD213" s="287"/>
    </row>
    <row r="214" ht="15.5" customHeight="1" spans="1:56" x14ac:dyDescent="0.25">
      <c r="A214" s="187" t="s">
        <v>1363</v>
      </c>
      <c r="G214" s="26" t="s">
        <v>1364</v>
      </c>
      <c r="H214" s="1443"/>
      <c r="I214" s="1458" t="s">
        <v>1365</v>
      </c>
      <c r="J214" s="1458"/>
      <c r="K214" s="1458"/>
      <c r="L214" s="1458"/>
      <c r="M214" s="1458"/>
      <c r="N214" s="1458"/>
      <c r="O214" s="1528"/>
      <c r="P214" s="1460"/>
      <c r="Q214" s="1460"/>
      <c r="R214" s="1460"/>
      <c r="S214" s="1460"/>
      <c r="T214" s="1460"/>
      <c r="U214" s="1460"/>
      <c r="V214" s="1460"/>
      <c r="W214" s="1460"/>
      <c r="X214" s="1460"/>
      <c r="Y214" s="1460"/>
      <c r="Z214" s="1460"/>
      <c r="AA214" s="1460"/>
      <c r="AB214" s="1460"/>
      <c r="AC214" s="1460"/>
      <c r="AD214" s="1460"/>
      <c r="AE214" s="1460"/>
      <c r="AF214" s="1460"/>
      <c r="AG214" s="1460"/>
      <c r="AH214" s="1460"/>
      <c r="AI214" s="1460"/>
      <c r="AJ214" s="1460"/>
      <c r="AK214" s="1460"/>
      <c r="AL214" s="1460"/>
      <c r="AM214" s="1460"/>
      <c r="AN214" s="1460"/>
      <c r="AO214" s="1460"/>
      <c r="AP214" s="1460"/>
      <c r="AQ214" s="1460"/>
      <c r="AR214" s="1460"/>
      <c r="AS214" s="1460"/>
      <c r="AT214" s="1460"/>
      <c r="AU214" s="1460"/>
      <c r="AV214" s="1460"/>
      <c r="AW214" s="1460"/>
      <c r="AX214" s="1460"/>
      <c r="AY214" s="1460"/>
      <c r="AZ214" s="1460"/>
      <c r="BA214" s="1460"/>
      <c r="BB214" s="1460"/>
      <c r="BC214" s="1460"/>
      <c r="BD214" s="287"/>
    </row>
    <row r="215" ht="15.5" customHeight="1" spans="1:56" x14ac:dyDescent="0.25">
      <c r="A215" s="187" t="s">
        <v>1366</v>
      </c>
      <c r="G215" s="26" t="s">
        <v>1367</v>
      </c>
      <c r="H215" s="1443"/>
      <c r="I215" s="1458" t="s">
        <v>1368</v>
      </c>
      <c r="J215" s="1458"/>
      <c r="K215" s="1458"/>
      <c r="L215" s="1458"/>
      <c r="M215" s="1458"/>
      <c r="N215" s="1458"/>
      <c r="O215" s="1527"/>
      <c r="P215" s="1460"/>
      <c r="Q215" s="1460"/>
      <c r="R215" s="1460"/>
      <c r="S215" s="1460"/>
      <c r="T215" s="1460"/>
      <c r="U215" s="1460"/>
      <c r="V215" s="1460"/>
      <c r="W215" s="1460"/>
      <c r="X215" s="1460"/>
      <c r="Y215" s="1460"/>
      <c r="Z215" s="1460"/>
      <c r="AA215" s="1460"/>
      <c r="AB215" s="1460"/>
      <c r="AC215" s="1460"/>
      <c r="AD215" s="1460"/>
      <c r="AE215" s="1460"/>
      <c r="AF215" s="1460"/>
      <c r="AG215" s="1460"/>
      <c r="AH215" s="1460"/>
      <c r="AI215" s="1460"/>
      <c r="AJ215" s="1460"/>
      <c r="AK215" s="1460"/>
      <c r="AL215" s="1460"/>
      <c r="AM215" s="1460"/>
      <c r="AN215" s="1460"/>
      <c r="AO215" s="1460"/>
      <c r="AP215" s="1460"/>
      <c r="AQ215" s="1460"/>
      <c r="AR215" s="1460"/>
      <c r="AS215" s="1460"/>
      <c r="AT215" s="1460"/>
      <c r="AU215" s="1460"/>
      <c r="AV215" s="1460"/>
      <c r="AW215" s="1460"/>
      <c r="AX215" s="1460"/>
      <c r="AY215" s="1460"/>
      <c r="AZ215" s="1460"/>
      <c r="BA215" s="1460"/>
      <c r="BB215" s="1460"/>
      <c r="BC215" s="1460"/>
      <c r="BD215" s="287"/>
    </row>
    <row r="216" ht="15.5" customHeight="1" spans="1:56" x14ac:dyDescent="0.25">
      <c r="A216" s="187" t="s">
        <v>1363</v>
      </c>
      <c r="G216" s="26" t="s">
        <v>1369</v>
      </c>
      <c r="H216" s="1443"/>
      <c r="I216" s="1458" t="s">
        <v>1370</v>
      </c>
      <c r="J216" s="1458"/>
      <c r="K216" s="1458"/>
      <c r="L216" s="1458"/>
      <c r="M216" s="1458"/>
      <c r="N216" s="1458"/>
      <c r="O216" s="1527"/>
      <c r="P216" s="1460"/>
      <c r="Q216" s="1460"/>
      <c r="R216" s="1460"/>
      <c r="S216" s="1460"/>
      <c r="T216" s="1460"/>
      <c r="U216" s="1460"/>
      <c r="V216" s="1460"/>
      <c r="W216" s="1460"/>
      <c r="X216" s="1460"/>
      <c r="Y216" s="1460"/>
      <c r="Z216" s="1460"/>
      <c r="AA216" s="1460"/>
      <c r="AB216" s="1460"/>
      <c r="AC216" s="1460"/>
      <c r="AD216" s="1460"/>
      <c r="AE216" s="1460"/>
      <c r="AF216" s="1460"/>
      <c r="AG216" s="1460"/>
      <c r="AH216" s="1460"/>
      <c r="AI216" s="1460"/>
      <c r="AJ216" s="1460"/>
      <c r="AK216" s="1460"/>
      <c r="AL216" s="1460"/>
      <c r="AM216" s="1460"/>
      <c r="AN216" s="1460"/>
      <c r="AO216" s="1460"/>
      <c r="AP216" s="1460"/>
      <c r="AQ216" s="1460"/>
      <c r="AR216" s="1460"/>
      <c r="AS216" s="1460"/>
      <c r="AT216" s="1460"/>
      <c r="AU216" s="1460"/>
      <c r="AV216" s="1460"/>
      <c r="AW216" s="1460"/>
      <c r="AX216" s="1460"/>
      <c r="AY216" s="1460"/>
      <c r="AZ216" s="1460"/>
      <c r="BA216" s="1460"/>
      <c r="BB216" s="1460"/>
      <c r="BC216" s="1460"/>
      <c r="BD216" s="287"/>
    </row>
    <row r="217" ht="15.5" customHeight="1" spans="8:56" x14ac:dyDescent="0.25">
      <c r="H217" s="1443"/>
      <c r="I217" s="1458"/>
      <c r="J217" s="1458"/>
      <c r="K217" s="1458"/>
      <c r="L217" s="1458"/>
      <c r="M217" s="1458"/>
      <c r="N217" s="1458"/>
      <c r="O217" s="1527"/>
      <c r="P217" s="1460"/>
      <c r="Q217" s="1460"/>
      <c r="R217" s="1460"/>
      <c r="S217" s="1460"/>
      <c r="T217" s="1460"/>
      <c r="U217" s="1460"/>
      <c r="V217" s="1460"/>
      <c r="W217" s="1460"/>
      <c r="X217" s="1460"/>
      <c r="Y217" s="1460"/>
      <c r="Z217" s="1460"/>
      <c r="AA217" s="1460"/>
      <c r="AB217" s="1460"/>
      <c r="AC217" s="1460"/>
      <c r="AD217" s="1460"/>
      <c r="AE217" s="1460"/>
      <c r="AF217" s="1460"/>
      <c r="AG217" s="1460"/>
      <c r="AH217" s="1460"/>
      <c r="AI217" s="1460"/>
      <c r="AJ217" s="1460"/>
      <c r="AK217" s="1460"/>
      <c r="AL217" s="1460"/>
      <c r="AM217" s="1460"/>
      <c r="AN217" s="1460"/>
      <c r="AO217" s="1460"/>
      <c r="AP217" s="1460"/>
      <c r="AQ217" s="1460"/>
      <c r="AR217" s="1460"/>
      <c r="AS217" s="1460"/>
      <c r="AT217" s="1460"/>
      <c r="AU217" s="1460"/>
      <c r="AV217" s="1460"/>
      <c r="AW217" s="1460"/>
      <c r="AX217" s="1460"/>
      <c r="AY217" s="1460"/>
      <c r="AZ217" s="1460"/>
      <c r="BA217" s="1460"/>
      <c r="BB217" s="1460"/>
      <c r="BC217" s="1460"/>
      <c r="BD217" s="287"/>
    </row>
    <row r="218" ht="15.5" customHeight="1" spans="7:56" x14ac:dyDescent="0.25">
      <c r="G218" s="26"/>
      <c r="H218" s="1443">
        <v>126</v>
      </c>
      <c r="I218" s="1529" t="s">
        <v>1371</v>
      </c>
      <c r="J218" s="1529"/>
      <c r="K218" s="1529"/>
      <c r="L218" s="1529"/>
      <c r="M218" s="1529"/>
      <c r="N218" s="1529"/>
      <c r="O218" s="1530">
        <v>1995</v>
      </c>
      <c r="P218" s="1452">
        <v>1996</v>
      </c>
      <c r="Q218" s="1452">
        <v>1997</v>
      </c>
      <c r="R218" s="1452">
        <v>1998</v>
      </c>
      <c r="S218" s="1452">
        <v>1999</v>
      </c>
      <c r="T218" s="1452">
        <v>2000</v>
      </c>
      <c r="U218" s="1452">
        <v>2001</v>
      </c>
      <c r="V218" s="1452">
        <v>2002</v>
      </c>
      <c r="W218" s="1452">
        <v>2003</v>
      </c>
      <c r="X218" s="1452">
        <v>2004</v>
      </c>
      <c r="Y218" s="1452">
        <v>2005</v>
      </c>
      <c r="Z218" s="1452">
        <v>2006</v>
      </c>
      <c r="AA218" s="1452">
        <v>2007</v>
      </c>
      <c r="AB218" s="1452">
        <v>2008</v>
      </c>
      <c r="AC218" s="1452">
        <v>2009</v>
      </c>
      <c r="AD218" s="1452">
        <v>2010</v>
      </c>
      <c r="AE218" s="1452">
        <v>2011</v>
      </c>
      <c r="AF218" s="1452">
        <v>2012</v>
      </c>
      <c r="AG218" s="1452">
        <v>2013</v>
      </c>
      <c r="AH218" s="1452">
        <v>2014</v>
      </c>
      <c r="AI218" s="1478">
        <v>2015</v>
      </c>
      <c r="AJ218" s="1478">
        <v>2016</v>
      </c>
      <c r="AK218" s="1478">
        <v>2017</v>
      </c>
      <c r="AL218" s="1478">
        <v>2018</v>
      </c>
      <c r="AM218" s="1478">
        <v>2019</v>
      </c>
      <c r="AN218" s="1478">
        <v>2020</v>
      </c>
      <c r="AO218" s="1478">
        <v>2021</v>
      </c>
      <c r="AP218" s="1478">
        <v>2022</v>
      </c>
      <c r="AQ218" s="1478">
        <v>2023</v>
      </c>
      <c r="AR218" s="1478">
        <v>2024</v>
      </c>
      <c r="AS218" s="1478">
        <v>2025</v>
      </c>
      <c r="AT218" s="1478">
        <v>2026</v>
      </c>
      <c r="AU218" s="1478">
        <v>2027</v>
      </c>
      <c r="AV218" s="1478">
        <v>2028</v>
      </c>
      <c r="AW218" s="1478">
        <v>2029</v>
      </c>
      <c r="AX218" s="1478">
        <v>2030</v>
      </c>
      <c r="AY218" s="1478">
        <v>2031</v>
      </c>
      <c r="AZ218" s="1478">
        <v>2032</v>
      </c>
      <c r="BA218" s="1478">
        <v>2033</v>
      </c>
      <c r="BB218" s="1478">
        <v>2034</v>
      </c>
      <c r="BC218" s="1478">
        <v>2035</v>
      </c>
      <c r="BD218" s="287">
        <f t="shared" ref="BD218:BD257" si="106">G218</f>
        <v>0</v>
      </c>
    </row>
    <row r="219" ht="15.5" customHeight="1" spans="1:56" x14ac:dyDescent="0.25">
      <c r="A219" s="1449" t="s">
        <v>1372</v>
      </c>
      <c r="B219" s="1449"/>
      <c r="C219" s="1449"/>
      <c r="D219" s="26"/>
      <c r="E219" s="26"/>
      <c r="G219" s="26" t="s">
        <v>1373</v>
      </c>
      <c r="H219" s="1443">
        <v>127</v>
      </c>
      <c r="I219" s="1458" t="s">
        <v>1374</v>
      </c>
      <c r="J219" s="1458"/>
      <c r="K219" s="1458"/>
      <c r="L219" s="1458"/>
      <c r="M219" s="1458"/>
      <c r="N219" s="1458"/>
      <c r="O219" s="1493"/>
      <c r="P219" s="1468"/>
      <c r="Q219" s="1468"/>
      <c r="R219" s="1468"/>
      <c r="S219" s="1468"/>
      <c r="T219" s="1468"/>
      <c r="U219" s="1468"/>
      <c r="V219" s="1468"/>
      <c r="W219" s="1468"/>
      <c r="X219" s="1468"/>
      <c r="Y219" s="1468"/>
      <c r="Z219" s="1468"/>
      <c r="AA219" s="1468"/>
      <c r="AB219" s="1468"/>
      <c r="AC219" s="1468"/>
      <c r="AD219" s="1468"/>
      <c r="AE219" s="1468"/>
      <c r="AF219" s="1468"/>
      <c r="AG219" s="1468"/>
      <c r="AH219" s="1468"/>
      <c r="AI219" s="1531"/>
      <c r="AJ219" s="1532"/>
      <c r="AK219" s="1532"/>
      <c r="AL219" s="1532"/>
      <c r="AM219" s="1532"/>
      <c r="AN219" s="1532"/>
      <c r="AO219" s="1532"/>
      <c r="AP219" s="1532"/>
      <c r="AQ219" s="1532"/>
      <c r="AR219" s="1532"/>
      <c r="AS219" s="1532"/>
      <c r="AT219" s="1532"/>
      <c r="AU219" s="1532"/>
      <c r="AV219" s="1532"/>
      <c r="AW219" s="1532"/>
      <c r="AX219" s="1532"/>
      <c r="AY219" s="1532"/>
      <c r="AZ219" s="1532"/>
      <c r="BA219" s="1532"/>
      <c r="BB219" s="1532"/>
      <c r="BC219" s="1532"/>
      <c r="BD219" s="1533" t="str">
        <f t="shared" si="106"/>
        <v>pW</v>
      </c>
    </row>
    <row r="220" ht="15.5" customHeight="1" spans="1:56" x14ac:dyDescent="0.25">
      <c r="A220" s="1449" t="s">
        <v>1375</v>
      </c>
      <c r="B220" s="26"/>
      <c r="C220" s="26"/>
      <c r="D220" s="26"/>
      <c r="E220" s="26"/>
      <c r="G220" s="26" t="s">
        <v>891</v>
      </c>
      <c r="H220" s="1443">
        <v>129</v>
      </c>
      <c r="I220" s="1458" t="s">
        <v>1376</v>
      </c>
      <c r="J220" s="1458"/>
      <c r="K220" s="1458"/>
      <c r="L220" s="1458"/>
      <c r="M220" s="1458"/>
      <c r="N220" s="1458"/>
      <c r="O220" s="1493"/>
      <c r="P220" s="1468"/>
      <c r="Q220" s="1468"/>
      <c r="R220" s="1468"/>
      <c r="S220" s="1468"/>
      <c r="T220" s="1468"/>
      <c r="U220" s="1468"/>
      <c r="V220" s="1468"/>
      <c r="W220" s="1468"/>
      <c r="X220" s="1468"/>
      <c r="Y220" s="1468"/>
      <c r="Z220" s="1468"/>
      <c r="AA220" s="1468"/>
      <c r="AB220" s="1468"/>
      <c r="AC220" s="1468"/>
      <c r="AD220" s="1468"/>
      <c r="AE220" s="1468"/>
      <c r="AF220" s="1468"/>
      <c r="AG220" s="1468"/>
      <c r="AH220" s="1468"/>
      <c r="AI220" s="1468"/>
      <c r="AJ220" s="1468"/>
      <c r="AK220" s="1468"/>
      <c r="AL220" s="1468"/>
      <c r="AM220" s="1468"/>
      <c r="AN220" s="1468"/>
      <c r="AO220" s="1468"/>
      <c r="AP220" s="1468"/>
      <c r="AQ220" s="1468"/>
      <c r="AR220" s="1468"/>
      <c r="AS220" s="1468"/>
      <c r="AT220" s="1468"/>
      <c r="AU220" s="1468"/>
      <c r="AV220" s="1468"/>
      <c r="AW220" s="1468"/>
      <c r="AX220" s="1468"/>
      <c r="AY220" s="1468"/>
      <c r="AZ220" s="1468"/>
      <c r="BA220" s="1468"/>
      <c r="BB220" s="1468"/>
      <c r="BC220" s="1468"/>
      <c r="BD220" s="287" t="str">
        <f t="shared" si="106"/>
        <v>pX</v>
      </c>
    </row>
    <row r="221" ht="15.5" customHeight="1" spans="1:56" x14ac:dyDescent="0.25">
      <c r="A221" s="1449" t="s">
        <v>1377</v>
      </c>
      <c r="B221" s="26"/>
      <c r="C221" s="26"/>
      <c r="D221" s="26"/>
      <c r="E221" s="26"/>
      <c r="G221" s="26" t="s">
        <v>1378</v>
      </c>
      <c r="H221" s="1443">
        <v>130</v>
      </c>
      <c r="I221" s="1458" t="s">
        <v>1379</v>
      </c>
      <c r="J221" s="1458"/>
      <c r="K221" s="1458"/>
      <c r="L221" s="1458"/>
      <c r="M221" s="1458"/>
      <c r="N221" s="1458"/>
      <c r="O221" s="1493"/>
      <c r="P221" s="1468"/>
      <c r="Q221" s="1468"/>
      <c r="R221" s="1468"/>
      <c r="S221" s="1468"/>
      <c r="T221" s="1468"/>
      <c r="U221" s="1468"/>
      <c r="V221" s="1468"/>
      <c r="W221" s="1468"/>
      <c r="X221" s="1468"/>
      <c r="Y221" s="1468"/>
      <c r="Z221" s="1468"/>
      <c r="AA221" s="1468"/>
      <c r="AB221" s="1468"/>
      <c r="AC221" s="1468"/>
      <c r="AD221" s="1468"/>
      <c r="AE221" s="1468"/>
      <c r="AF221" s="1468"/>
      <c r="AG221" s="1468"/>
      <c r="AH221" s="1468"/>
      <c r="AI221" s="1468"/>
      <c r="AJ221" s="1468"/>
      <c r="AK221" s="1468"/>
      <c r="AL221" s="1468"/>
      <c r="AM221" s="1468"/>
      <c r="AN221" s="1468"/>
      <c r="AO221" s="1468"/>
      <c r="AP221" s="1468"/>
      <c r="AQ221" s="1468"/>
      <c r="AR221" s="1468"/>
      <c r="AS221" s="1468"/>
      <c r="AT221" s="1468"/>
      <c r="AU221" s="1468"/>
      <c r="AV221" s="1468"/>
      <c r="AW221" s="1468"/>
      <c r="AX221" s="1468"/>
      <c r="AY221" s="1468"/>
      <c r="AZ221" s="1468"/>
      <c r="BA221" s="1468"/>
      <c r="BB221" s="1468"/>
      <c r="BC221" s="1468"/>
      <c r="BD221" s="287" t="str">
        <f t="shared" si="106"/>
        <v>pOX</v>
      </c>
    </row>
    <row r="222" ht="15.5" customHeight="1" spans="1:56" x14ac:dyDescent="0.25">
      <c r="A222" s="1449" t="s">
        <v>1380</v>
      </c>
      <c r="B222" s="1449"/>
      <c r="C222" s="1449"/>
      <c r="D222" s="26"/>
      <c r="E222" s="26"/>
      <c r="G222" s="26" t="s">
        <v>899</v>
      </c>
      <c r="H222" s="1443">
        <v>131</v>
      </c>
      <c r="I222" s="1458" t="s">
        <v>1381</v>
      </c>
      <c r="J222" s="1458"/>
      <c r="K222" s="1458"/>
      <c r="L222" s="1458"/>
      <c r="M222" s="1458"/>
      <c r="N222" s="1458"/>
      <c r="O222" s="1493"/>
      <c r="P222" s="1468"/>
      <c r="Q222" s="1468"/>
      <c r="R222" s="1468"/>
      <c r="S222" s="1468"/>
      <c r="T222" s="1468"/>
      <c r="U222" s="1468"/>
      <c r="V222" s="1468"/>
      <c r="W222" s="1468"/>
      <c r="X222" s="1468"/>
      <c r="Y222" s="1468"/>
      <c r="Z222" s="1468"/>
      <c r="AA222" s="1468"/>
      <c r="AB222" s="1468"/>
      <c r="AC222" s="1468"/>
      <c r="AD222" s="1468"/>
      <c r="AE222" s="1468"/>
      <c r="AF222" s="1468"/>
      <c r="AG222" s="1468"/>
      <c r="AH222" s="1468"/>
      <c r="AI222" s="1468"/>
      <c r="AJ222" s="1468"/>
      <c r="AK222" s="1468"/>
      <c r="AL222" s="1468"/>
      <c r="AM222" s="1468"/>
      <c r="AN222" s="1468"/>
      <c r="AO222" s="1468"/>
      <c r="AP222" s="1468"/>
      <c r="AQ222" s="1468"/>
      <c r="AR222" s="1468"/>
      <c r="AS222" s="1468"/>
      <c r="AT222" s="1468"/>
      <c r="AU222" s="1468"/>
      <c r="AV222" s="1468"/>
      <c r="AW222" s="1468"/>
      <c r="AX222" s="1468"/>
      <c r="AY222" s="1468"/>
      <c r="AZ222" s="1468"/>
      <c r="BA222" s="1468"/>
      <c r="BB222" s="1468"/>
      <c r="BC222" s="1468"/>
      <c r="BD222" s="287" t="str">
        <f t="shared" si="106"/>
        <v>pZ</v>
      </c>
    </row>
    <row r="223" ht="15.5" customHeight="1" spans="1:56" x14ac:dyDescent="0.25">
      <c r="A223" s="1449" t="s">
        <v>1382</v>
      </c>
      <c r="B223" s="1449"/>
      <c r="C223" s="1449"/>
      <c r="D223" s="26"/>
      <c r="E223" s="26"/>
      <c r="G223" s="26" t="s">
        <v>502</v>
      </c>
      <c r="H223" s="1443">
        <v>132</v>
      </c>
      <c r="I223" s="1458" t="s">
        <v>1383</v>
      </c>
      <c r="J223" s="1458"/>
      <c r="K223" s="1458"/>
      <c r="L223" s="1458"/>
      <c r="M223" s="1458"/>
      <c r="N223" s="1458"/>
      <c r="O223" s="1493"/>
      <c r="P223" s="1468"/>
      <c r="Q223" s="1468"/>
      <c r="R223" s="1468"/>
      <c r="S223" s="1468"/>
      <c r="T223" s="1468"/>
      <c r="U223" s="1468"/>
      <c r="V223" s="1468"/>
      <c r="W223" s="1468"/>
      <c r="X223" s="1468"/>
      <c r="Y223" s="1468"/>
      <c r="Z223" s="1468"/>
      <c r="AA223" s="1468"/>
      <c r="AB223" s="1468"/>
      <c r="AC223" s="1468"/>
      <c r="AD223" s="1468"/>
      <c r="AE223" s="1468"/>
      <c r="AF223" s="1468"/>
      <c r="AG223" s="1468"/>
      <c r="AH223" s="1468"/>
      <c r="AI223" s="1468"/>
      <c r="AJ223" s="1468"/>
      <c r="AK223" s="1468"/>
      <c r="AL223" s="1468"/>
      <c r="AM223" s="1468"/>
      <c r="AN223" s="1468"/>
      <c r="AO223" s="1468"/>
      <c r="AP223" s="1468"/>
      <c r="AQ223" s="1468"/>
      <c r="AR223" s="1468"/>
      <c r="AS223" s="1468"/>
      <c r="AT223" s="1468"/>
      <c r="AU223" s="1468"/>
      <c r="AV223" s="1468"/>
      <c r="AW223" s="1468"/>
      <c r="AX223" s="1468"/>
      <c r="AY223" s="1468"/>
      <c r="AZ223" s="1468"/>
      <c r="BA223" s="1468"/>
      <c r="BB223" s="1468"/>
      <c r="BC223" s="1468"/>
      <c r="BD223" s="287" t="str">
        <f t="shared" si="106"/>
        <v>pWN</v>
      </c>
    </row>
    <row r="224" ht="15.5" customHeight="1" spans="1:56" x14ac:dyDescent="0.25">
      <c r="A224" s="1449" t="s">
        <v>1384</v>
      </c>
      <c r="B224" s="1449"/>
      <c r="C224" s="1449"/>
      <c r="D224" s="26"/>
      <c r="E224" s="26"/>
      <c r="G224" s="26" t="s">
        <v>1385</v>
      </c>
      <c r="H224" s="1443">
        <v>133</v>
      </c>
      <c r="I224" s="1458" t="s">
        <v>1386</v>
      </c>
      <c r="J224" s="1458"/>
      <c r="K224" s="1458"/>
      <c r="L224" s="1458"/>
      <c r="M224" s="1458"/>
      <c r="N224" s="1458"/>
      <c r="O224" s="1493"/>
      <c r="P224" s="1468"/>
      <c r="Q224" s="1468"/>
      <c r="R224" s="1468"/>
      <c r="S224" s="1468"/>
      <c r="T224" s="1468"/>
      <c r="U224" s="1468"/>
      <c r="V224" s="1468"/>
      <c r="W224" s="1468"/>
      <c r="X224" s="1468"/>
      <c r="Y224" s="1468"/>
      <c r="Z224" s="1468"/>
      <c r="AA224" s="1468"/>
      <c r="AB224" s="1468"/>
      <c r="AC224" s="1468"/>
      <c r="AD224" s="1468"/>
      <c r="AE224" s="1468"/>
      <c r="AF224" s="1468"/>
      <c r="AG224" s="1468"/>
      <c r="AH224" s="1468"/>
      <c r="AI224" s="1468"/>
      <c r="AJ224" s="1468"/>
      <c r="AK224" s="1468"/>
      <c r="AL224" s="1468"/>
      <c r="AM224" s="1468"/>
      <c r="AN224" s="1468"/>
      <c r="AO224" s="1468"/>
      <c r="AP224" s="1468"/>
      <c r="AQ224" s="1468"/>
      <c r="AR224" s="1468"/>
      <c r="AS224" s="1468"/>
      <c r="AT224" s="1468"/>
      <c r="AU224" s="1468"/>
      <c r="AV224" s="1468"/>
      <c r="AW224" s="1468"/>
      <c r="AX224" s="1468"/>
      <c r="AY224" s="1468"/>
      <c r="AZ224" s="1468"/>
      <c r="BA224" s="1468"/>
      <c r="BB224" s="1468"/>
      <c r="BC224" s="1468"/>
      <c r="BD224" s="287" t="str">
        <f t="shared" si="106"/>
        <v>pWNO</v>
      </c>
    </row>
    <row r="225" ht="15.5" customHeight="1" spans="1:56" x14ac:dyDescent="0.25">
      <c r="A225" s="1449" t="s">
        <v>1387</v>
      </c>
      <c r="B225" s="1449"/>
      <c r="C225" s="1449"/>
      <c r="D225" s="26"/>
      <c r="E225" s="26"/>
      <c r="G225" s="26" t="s">
        <v>516</v>
      </c>
      <c r="H225" s="1443">
        <v>134</v>
      </c>
      <c r="I225" s="1458" t="s">
        <v>1388</v>
      </c>
      <c r="J225" s="1458"/>
      <c r="K225" s="1458"/>
      <c r="L225" s="1458"/>
      <c r="M225" s="1458"/>
      <c r="N225" s="1458"/>
      <c r="O225" s="1493"/>
      <c r="P225" s="1468"/>
      <c r="Q225" s="1468"/>
      <c r="R225" s="1468"/>
      <c r="S225" s="1468"/>
      <c r="T225" s="1468"/>
      <c r="U225" s="1468"/>
      <c r="V225" s="1468"/>
      <c r="W225" s="1468"/>
      <c r="X225" s="1468"/>
      <c r="Y225" s="1468"/>
      <c r="Z225" s="1468"/>
      <c r="AA225" s="1468"/>
      <c r="AB225" s="1468"/>
      <c r="AC225" s="1468"/>
      <c r="AD225" s="1468"/>
      <c r="AE225" s="1468"/>
      <c r="AF225" s="1468"/>
      <c r="AG225" s="1468"/>
      <c r="AH225" s="1468"/>
      <c r="AI225" s="1534"/>
      <c r="AJ225" s="1535"/>
      <c r="AK225" s="1535"/>
      <c r="AL225" s="1535"/>
      <c r="AM225" s="1535"/>
      <c r="AN225" s="1535"/>
      <c r="AO225" s="1535"/>
      <c r="AP225" s="1535"/>
      <c r="AQ225" s="1535"/>
      <c r="AR225" s="1535"/>
      <c r="AS225" s="1535"/>
      <c r="AT225" s="1535"/>
      <c r="AU225" s="1535"/>
      <c r="AV225" s="1535"/>
      <c r="AW225" s="1535"/>
      <c r="AX225" s="1535"/>
      <c r="AY225" s="1535"/>
      <c r="AZ225" s="1535"/>
      <c r="BA225" s="1535"/>
      <c r="BB225" s="1535"/>
      <c r="BC225" s="1535"/>
      <c r="BD225" s="1533" t="str">
        <f t="shared" si="106"/>
        <v>pYD</v>
      </c>
    </row>
    <row r="226" ht="15.5" customHeight="1" spans="1:56" x14ac:dyDescent="0.25">
      <c r="A226" s="1449" t="s">
        <v>1389</v>
      </c>
      <c r="B226" s="1449"/>
      <c r="C226" s="1449"/>
      <c r="D226" s="26"/>
      <c r="E226" s="26"/>
      <c r="G226" s="26" t="s">
        <v>1390</v>
      </c>
      <c r="H226" s="1443">
        <v>135</v>
      </c>
      <c r="I226" s="1458" t="s">
        <v>1391</v>
      </c>
      <c r="J226" s="1458"/>
      <c r="K226" s="1458"/>
      <c r="L226" s="1458"/>
      <c r="M226" s="1458"/>
      <c r="N226" s="1458"/>
      <c r="O226" s="1493"/>
      <c r="P226" s="1468"/>
      <c r="Q226" s="1468"/>
      <c r="R226" s="1468"/>
      <c r="S226" s="1468"/>
      <c r="T226" s="1468"/>
      <c r="U226" s="1468"/>
      <c r="V226" s="1468"/>
      <c r="W226" s="1468"/>
      <c r="X226" s="1468"/>
      <c r="Y226" s="1468"/>
      <c r="Z226" s="1468"/>
      <c r="AA226" s="1468"/>
      <c r="AB226" s="1468"/>
      <c r="AC226" s="1468"/>
      <c r="AD226" s="1468"/>
      <c r="AE226" s="1468"/>
      <c r="AF226" s="1468"/>
      <c r="AG226" s="1468"/>
      <c r="AH226" s="1468"/>
      <c r="AI226" s="1468"/>
      <c r="AJ226" s="1468"/>
      <c r="AK226" s="1468"/>
      <c r="AL226" s="1468"/>
      <c r="AM226" s="1468"/>
      <c r="AN226" s="1468"/>
      <c r="AO226" s="1468"/>
      <c r="AP226" s="1468"/>
      <c r="AQ226" s="1468"/>
      <c r="AR226" s="1468"/>
      <c r="AS226" s="1468"/>
      <c r="AT226" s="1468"/>
      <c r="AU226" s="1468"/>
      <c r="AV226" s="1468"/>
      <c r="AW226" s="1468"/>
      <c r="AX226" s="1468"/>
      <c r="AY226" s="1468"/>
      <c r="AZ226" s="1468"/>
      <c r="BA226" s="1468"/>
      <c r="BB226" s="1468"/>
      <c r="BC226" s="1468"/>
      <c r="BD226" s="287" t="str">
        <f t="shared" si="106"/>
        <v>pYGM</v>
      </c>
    </row>
    <row r="227" ht="15.5" customHeight="1" spans="1:56" x14ac:dyDescent="0.25">
      <c r="A227" s="1449" t="s">
        <v>1392</v>
      </c>
      <c r="B227" s="1449"/>
      <c r="C227" s="1449"/>
      <c r="D227" s="26"/>
      <c r="E227" s="26"/>
      <c r="G227" s="26" t="s">
        <v>1393</v>
      </c>
      <c r="H227" s="1443">
        <v>136</v>
      </c>
      <c r="I227" s="1458" t="s">
        <v>1394</v>
      </c>
      <c r="J227" s="1458"/>
      <c r="K227" s="1458"/>
      <c r="L227" s="1458"/>
      <c r="M227" s="1458"/>
      <c r="N227" s="1458"/>
      <c r="O227" s="1493"/>
      <c r="P227" s="1468"/>
      <c r="Q227" s="1468"/>
      <c r="R227" s="1468"/>
      <c r="S227" s="1468"/>
      <c r="T227" s="1468"/>
      <c r="U227" s="1468"/>
      <c r="V227" s="1468"/>
      <c r="W227" s="1468"/>
      <c r="X227" s="1468"/>
      <c r="Y227" s="1468"/>
      <c r="Z227" s="1468"/>
      <c r="AA227" s="1468"/>
      <c r="AB227" s="1468"/>
      <c r="AC227" s="1468"/>
      <c r="AD227" s="1468"/>
      <c r="AE227" s="1468"/>
      <c r="AF227" s="1468"/>
      <c r="AG227" s="1468"/>
      <c r="AH227" s="1468"/>
      <c r="AI227" s="1468"/>
      <c r="AJ227" s="1468"/>
      <c r="AK227" s="1468"/>
      <c r="AL227" s="1468"/>
      <c r="AM227" s="1468"/>
      <c r="AN227" s="1468"/>
      <c r="AO227" s="1468"/>
      <c r="AP227" s="1468"/>
      <c r="AQ227" s="1468"/>
      <c r="AR227" s="1468"/>
      <c r="AS227" s="1468"/>
      <c r="AT227" s="1468"/>
      <c r="AU227" s="1468"/>
      <c r="AV227" s="1468"/>
      <c r="AW227" s="1468"/>
      <c r="AX227" s="1468"/>
      <c r="AY227" s="1468"/>
      <c r="AZ227" s="1468"/>
      <c r="BA227" s="1468"/>
      <c r="BB227" s="1468"/>
      <c r="BC227" s="1468"/>
      <c r="BD227" s="287" t="str">
        <f t="shared" si="106"/>
        <v>pNK</v>
      </c>
    </row>
    <row r="228" ht="15.5" customHeight="1" spans="1:56" x14ac:dyDescent="0.25">
      <c r="A228" s="1449" t="s">
        <v>1395</v>
      </c>
      <c r="B228" s="1449"/>
      <c r="C228" s="1449"/>
      <c r="D228" s="26"/>
      <c r="E228" s="26"/>
      <c r="G228" s="26" t="s">
        <v>526</v>
      </c>
      <c r="H228" s="1443">
        <v>137</v>
      </c>
      <c r="I228" s="1458" t="s">
        <v>1396</v>
      </c>
      <c r="J228" s="1458"/>
      <c r="K228" s="1458"/>
      <c r="L228" s="1458"/>
      <c r="M228" s="1458"/>
      <c r="N228" s="1458"/>
      <c r="O228" s="1493"/>
      <c r="P228" s="1468"/>
      <c r="Q228" s="1468"/>
      <c r="R228" s="1468"/>
      <c r="S228" s="1468"/>
      <c r="T228" s="1468"/>
      <c r="U228" s="1468"/>
      <c r="V228" s="1468"/>
      <c r="W228" s="1468"/>
      <c r="X228" s="1468"/>
      <c r="Y228" s="1468"/>
      <c r="Z228" s="1468"/>
      <c r="AA228" s="1468"/>
      <c r="AB228" s="1468"/>
      <c r="AC228" s="1468"/>
      <c r="AD228" s="1468"/>
      <c r="AE228" s="1468"/>
      <c r="AF228" s="1468"/>
      <c r="AG228" s="1468"/>
      <c r="AH228" s="1468"/>
      <c r="AI228" s="1468"/>
      <c r="AJ228" s="1468"/>
      <c r="AK228" s="1468"/>
      <c r="AL228" s="1468"/>
      <c r="AM228" s="1468"/>
      <c r="AN228" s="1468"/>
      <c r="AO228" s="1468"/>
      <c r="AP228" s="1468"/>
      <c r="AQ228" s="1468"/>
      <c r="AR228" s="1468"/>
      <c r="AS228" s="1468"/>
      <c r="AT228" s="1468"/>
      <c r="AU228" s="1468"/>
      <c r="AV228" s="1468"/>
      <c r="AW228" s="1468"/>
      <c r="AX228" s="1468"/>
      <c r="AY228" s="1468"/>
      <c r="AZ228" s="1468"/>
      <c r="BA228" s="1468"/>
      <c r="BB228" s="1468"/>
      <c r="BC228" s="1468"/>
      <c r="BD228" s="287" t="str">
        <f t="shared" si="106"/>
        <v>pEX</v>
      </c>
    </row>
    <row r="229" ht="15.5" customHeight="1" spans="1:56" x14ac:dyDescent="0.25">
      <c r="A229" s="1449" t="s">
        <v>1397</v>
      </c>
      <c r="B229" s="1449"/>
      <c r="C229" s="1449"/>
      <c r="D229" s="26"/>
      <c r="E229" s="26"/>
      <c r="G229" s="26" t="s">
        <v>528</v>
      </c>
      <c r="H229" s="1443">
        <v>138</v>
      </c>
      <c r="I229" s="1458" t="s">
        <v>1398</v>
      </c>
      <c r="J229" s="1458"/>
      <c r="K229" s="1458"/>
      <c r="L229" s="1458"/>
      <c r="M229" s="1458"/>
      <c r="N229" s="1458"/>
      <c r="O229" s="1527"/>
      <c r="P229" s="1468"/>
      <c r="Q229" s="1468"/>
      <c r="R229" s="1468"/>
      <c r="S229" s="1468"/>
      <c r="T229" s="1468"/>
      <c r="U229" s="1468"/>
      <c r="V229" s="1468"/>
      <c r="W229" s="1468"/>
      <c r="X229" s="1468"/>
      <c r="Y229" s="1468"/>
      <c r="Z229" s="1468"/>
      <c r="AA229" s="1468"/>
      <c r="AB229" s="1468"/>
      <c r="AC229" s="1468"/>
      <c r="AD229" s="1468"/>
      <c r="AE229" s="1468"/>
      <c r="AF229" s="1468"/>
      <c r="AG229" s="1468"/>
      <c r="AH229" s="1468"/>
      <c r="AI229" s="1468"/>
      <c r="AJ229" s="1468"/>
      <c r="AK229" s="1468"/>
      <c r="AL229" s="1468"/>
      <c r="AM229" s="1468"/>
      <c r="AN229" s="1468"/>
      <c r="AO229" s="1468"/>
      <c r="AP229" s="1468"/>
      <c r="AQ229" s="1468"/>
      <c r="AR229" s="1468"/>
      <c r="AS229" s="1468"/>
      <c r="AT229" s="1468"/>
      <c r="AU229" s="1468"/>
      <c r="AV229" s="1468"/>
      <c r="AW229" s="1468"/>
      <c r="AX229" s="1468"/>
      <c r="AY229" s="1468"/>
      <c r="AZ229" s="1468"/>
      <c r="BA229" s="1468"/>
      <c r="BB229" s="1468"/>
      <c r="BC229" s="1468"/>
      <c r="BD229" s="287" t="str">
        <f t="shared" si="106"/>
        <v>pIM</v>
      </c>
    </row>
    <row r="230" ht="15.5" customHeight="1" spans="1:56" x14ac:dyDescent="0.25">
      <c r="A230" s="1449" t="s">
        <v>1399</v>
      </c>
      <c r="B230" s="1449"/>
      <c r="C230" s="1449"/>
      <c r="D230" s="26"/>
      <c r="E230" s="26"/>
      <c r="G230" s="26" t="s">
        <v>531</v>
      </c>
      <c r="H230" s="1443">
        <v>139</v>
      </c>
      <c r="I230" s="1458" t="s">
        <v>1400</v>
      </c>
      <c r="J230" s="1458"/>
      <c r="K230" s="1458"/>
      <c r="L230" s="1458"/>
      <c r="M230" s="1458"/>
      <c r="N230" s="1458"/>
      <c r="O230" s="1527"/>
      <c r="P230" s="1468"/>
      <c r="Q230" s="1468"/>
      <c r="R230" s="1468"/>
      <c r="S230" s="1468"/>
      <c r="T230" s="1468"/>
      <c r="U230" s="1468"/>
      <c r="V230" s="1468"/>
      <c r="W230" s="1468"/>
      <c r="X230" s="1468"/>
      <c r="Y230" s="1468"/>
      <c r="Z230" s="1468"/>
      <c r="AA230" s="1468"/>
      <c r="AB230" s="1468"/>
      <c r="AC230" s="1468"/>
      <c r="AD230" s="1468"/>
      <c r="AE230" s="1468"/>
      <c r="AF230" s="1468"/>
      <c r="AG230" s="1468"/>
      <c r="AH230" s="1468"/>
      <c r="AI230" s="1468"/>
      <c r="AJ230" s="1468"/>
      <c r="AK230" s="1468"/>
      <c r="AL230" s="1468"/>
      <c r="AM230" s="1468"/>
      <c r="AN230" s="1468"/>
      <c r="AO230" s="1468"/>
      <c r="AP230" s="1468"/>
      <c r="AQ230" s="1468"/>
      <c r="AR230" s="1468"/>
      <c r="AS230" s="1468"/>
      <c r="AT230" s="1468"/>
      <c r="AU230" s="1468"/>
      <c r="AV230" s="1468"/>
      <c r="AW230" s="1468"/>
      <c r="AX230" s="1468"/>
      <c r="AY230" s="1468"/>
      <c r="AZ230" s="1468"/>
      <c r="BA230" s="1468"/>
      <c r="BB230" s="1468"/>
      <c r="BC230" s="1468"/>
      <c r="BD230" s="287" t="str">
        <f t="shared" si="106"/>
        <v>pIN</v>
      </c>
    </row>
    <row r="231" ht="15.5" customHeight="1" spans="1:56" x14ac:dyDescent="0.25">
      <c r="A231" s="1449"/>
      <c r="B231" s="1449"/>
      <c r="C231" s="1449"/>
      <c r="D231" s="26"/>
      <c r="E231" s="26"/>
      <c r="G231" s="26"/>
      <c r="H231" s="1443">
        <v>140</v>
      </c>
      <c r="I231" s="1458"/>
      <c r="J231" s="1458"/>
      <c r="K231" s="1458"/>
      <c r="L231" s="1458"/>
      <c r="M231" s="1458"/>
      <c r="N231" s="1458"/>
      <c r="O231" s="1527"/>
      <c r="P231" s="1468"/>
      <c r="Q231" s="1468"/>
      <c r="R231" s="1468"/>
      <c r="S231" s="1468"/>
      <c r="T231" s="1468"/>
      <c r="U231" s="1468"/>
      <c r="V231" s="1468"/>
      <c r="W231" s="1468"/>
      <c r="X231" s="1468"/>
      <c r="Y231" s="1468"/>
      <c r="Z231" s="1468"/>
      <c r="AA231" s="1468"/>
      <c r="AB231" s="1468"/>
      <c r="AC231" s="1468"/>
      <c r="AD231" s="1468"/>
      <c r="AE231" s="1468"/>
      <c r="AF231" s="1468"/>
      <c r="AG231" s="1468"/>
      <c r="AH231" s="1468"/>
      <c r="AI231" s="1468"/>
      <c r="AJ231" s="1468"/>
      <c r="AK231" s="1468"/>
      <c r="AL231" s="1468"/>
      <c r="AM231" s="1468"/>
      <c r="AN231" s="1468"/>
      <c r="AO231" s="1468"/>
      <c r="AP231" s="1468"/>
      <c r="AQ231" s="1468"/>
      <c r="AR231" s="1468"/>
      <c r="AS231" s="1468"/>
      <c r="AT231" s="1468"/>
      <c r="AU231" s="1468"/>
      <c r="AV231" s="1468"/>
      <c r="AW231" s="1468"/>
      <c r="AX231" s="1468"/>
      <c r="AY231" s="1468"/>
      <c r="AZ231" s="1468"/>
      <c r="BA231" s="1468"/>
      <c r="BB231" s="1468"/>
      <c r="BC231" s="1468"/>
      <c r="BD231" s="287">
        <f t="shared" si="106"/>
        <v>0</v>
      </c>
    </row>
    <row r="232" ht="15.5" customHeight="1" spans="7:56" x14ac:dyDescent="0.25">
      <c r="G232" s="26"/>
      <c r="H232" s="1443">
        <v>141</v>
      </c>
      <c r="I232" s="1458"/>
      <c r="J232" s="1458"/>
      <c r="K232" s="1458"/>
      <c r="L232" s="1458"/>
      <c r="M232" s="1458"/>
      <c r="N232" s="1458"/>
      <c r="O232" s="1527"/>
      <c r="P232" s="26"/>
      <c r="Q232" s="26"/>
      <c r="R232" s="26"/>
      <c r="S232" s="1468"/>
      <c r="T232" s="1468"/>
      <c r="U232" s="1468"/>
      <c r="V232" s="1468"/>
      <c r="W232" s="1468"/>
      <c r="X232" s="1468"/>
      <c r="Y232" s="1468"/>
      <c r="Z232" s="1468"/>
      <c r="AA232" s="26"/>
      <c r="AB232" s="26"/>
      <c r="AC232" s="26"/>
      <c r="AD232" s="1468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87">
        <f t="shared" si="106"/>
        <v>0</v>
      </c>
    </row>
    <row r="233" ht="15.5" customHeight="1" spans="7:56" x14ac:dyDescent="0.25">
      <c r="G233" s="26"/>
      <c r="H233" s="1443">
        <v>142</v>
      </c>
      <c r="I233" s="1529" t="s">
        <v>1401</v>
      </c>
      <c r="J233" s="1529"/>
      <c r="K233" s="1529"/>
      <c r="L233" s="1529"/>
      <c r="M233" s="1529"/>
      <c r="N233" s="1529"/>
      <c r="O233" s="1527"/>
      <c r="P233" s="26"/>
      <c r="Q233" s="26"/>
      <c r="R233" s="26"/>
      <c r="S233" s="1468"/>
      <c r="T233" s="1468"/>
      <c r="U233" s="1468"/>
      <c r="V233" s="1468"/>
      <c r="W233" s="1468"/>
      <c r="X233" s="1468"/>
      <c r="Y233" s="1468"/>
      <c r="Z233" s="1468"/>
      <c r="AA233" s="26"/>
      <c r="AB233" s="26"/>
      <c r="AC233" s="26"/>
      <c r="AD233" s="1468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87">
        <f t="shared" si="106"/>
        <v>0</v>
      </c>
    </row>
    <row r="234" ht="15.5" customHeight="1" spans="1:56" x14ac:dyDescent="0.25">
      <c r="A234" s="1449" t="s">
        <v>1402</v>
      </c>
      <c r="B234" s="1449"/>
      <c r="C234" s="1449"/>
      <c r="D234" s="26"/>
      <c r="E234" s="26"/>
      <c r="G234" s="26" t="s">
        <v>1403</v>
      </c>
      <c r="H234" s="1443">
        <v>143</v>
      </c>
      <c r="I234" s="1458" t="s">
        <v>1404</v>
      </c>
      <c r="J234" s="1458"/>
      <c r="K234" s="1458"/>
      <c r="L234" s="1458"/>
      <c r="M234" s="1458"/>
      <c r="N234" s="1458"/>
      <c r="O234" s="1527"/>
      <c r="P234" s="1468"/>
      <c r="Q234" s="1468"/>
      <c r="R234" s="1468"/>
      <c r="S234" s="1468"/>
      <c r="T234" s="1468"/>
      <c r="U234" s="1468"/>
      <c r="V234" s="1468"/>
      <c r="W234" s="1468"/>
      <c r="X234" s="1468"/>
      <c r="Y234" s="1468"/>
      <c r="Z234" s="1468"/>
      <c r="AA234" s="1468"/>
      <c r="AB234" s="1468"/>
      <c r="AC234" s="1468"/>
      <c r="AD234" s="1468"/>
      <c r="AE234" s="1468"/>
      <c r="AF234" s="1468"/>
      <c r="AG234" s="1468"/>
      <c r="AH234" s="1468"/>
      <c r="AI234" s="1468"/>
      <c r="AJ234" s="1468"/>
      <c r="AK234" s="1468"/>
      <c r="AL234" s="1468"/>
      <c r="AM234" s="1468"/>
      <c r="AN234" s="1468"/>
      <c r="AO234" s="1468"/>
      <c r="AP234" s="1468"/>
      <c r="AQ234" s="1468"/>
      <c r="AR234" s="1468"/>
      <c r="AS234" s="1468"/>
      <c r="AT234" s="1468"/>
      <c r="AU234" s="1468"/>
      <c r="AV234" s="1468"/>
      <c r="AW234" s="1468"/>
      <c r="AX234" s="1468"/>
      <c r="AY234" s="1468"/>
      <c r="AZ234" s="1468"/>
      <c r="BA234" s="1468"/>
      <c r="BB234" s="1468"/>
      <c r="BC234" s="1468"/>
      <c r="BD234" s="287" t="str">
        <f t="shared" si="106"/>
        <v>dW</v>
      </c>
    </row>
    <row r="235" ht="15.5" customHeight="1" spans="1:56" x14ac:dyDescent="0.25">
      <c r="A235" s="1449" t="s">
        <v>1405</v>
      </c>
      <c r="B235" s="1449"/>
      <c r="C235" s="1449"/>
      <c r="D235" s="26"/>
      <c r="E235" s="26"/>
      <c r="G235" s="26"/>
      <c r="H235" s="1443"/>
      <c r="I235" s="1458"/>
      <c r="J235" s="1458"/>
      <c r="K235" s="1458"/>
      <c r="L235" s="1458"/>
      <c r="M235" s="1458"/>
      <c r="N235" s="1458"/>
      <c r="O235" s="1527"/>
      <c r="P235" s="1468"/>
      <c r="Q235" s="1468"/>
      <c r="R235" s="1468"/>
      <c r="S235" s="1468"/>
      <c r="T235" s="1468"/>
      <c r="U235" s="1468"/>
      <c r="V235" s="1468"/>
      <c r="W235" s="1468"/>
      <c r="X235" s="1468"/>
      <c r="Y235" s="1468"/>
      <c r="Z235" s="1468"/>
      <c r="AA235" s="1468"/>
      <c r="AB235" s="1468"/>
      <c r="AC235" s="1468"/>
      <c r="AD235" s="1468"/>
      <c r="AE235" s="1468"/>
      <c r="AF235" s="1468"/>
      <c r="AG235" s="1468"/>
      <c r="AH235" s="1468"/>
      <c r="AI235" s="1468"/>
      <c r="AJ235" s="1468"/>
      <c r="AK235" s="1468"/>
      <c r="AL235" s="1468"/>
      <c r="AM235" s="1468"/>
      <c r="AN235" s="1468"/>
      <c r="AO235" s="1468"/>
      <c r="AP235" s="1468"/>
      <c r="AQ235" s="1468"/>
      <c r="AR235" s="1468"/>
      <c r="AS235" s="1468"/>
      <c r="AT235" s="1468"/>
      <c r="AU235" s="1468"/>
      <c r="AV235" s="1468"/>
      <c r="AW235" s="1468"/>
      <c r="AX235" s="1468"/>
      <c r="AY235" s="1468"/>
      <c r="AZ235" s="1468"/>
      <c r="BA235" s="1468"/>
      <c r="BB235" s="1468"/>
      <c r="BC235" s="1468"/>
      <c r="BD235" s="287">
        <f t="shared" si="106"/>
        <v>0</v>
      </c>
    </row>
    <row r="236" ht="15.5" customHeight="1" spans="1:56" x14ac:dyDescent="0.25">
      <c r="A236" s="1449" t="s">
        <v>1406</v>
      </c>
      <c r="B236" s="26"/>
      <c r="C236" s="26"/>
      <c r="D236" s="26"/>
      <c r="E236" s="26"/>
      <c r="G236" s="26" t="s">
        <v>1407</v>
      </c>
      <c r="H236" s="1443">
        <v>145</v>
      </c>
      <c r="I236" s="1458" t="s">
        <v>1408</v>
      </c>
      <c r="J236" s="1458"/>
      <c r="K236" s="1458"/>
      <c r="L236" s="1458"/>
      <c r="M236" s="1458"/>
      <c r="N236" s="1458"/>
      <c r="O236" s="1527"/>
      <c r="P236" s="1468"/>
      <c r="Q236" s="1468"/>
      <c r="R236" s="1468"/>
      <c r="S236" s="1468"/>
      <c r="T236" s="1468"/>
      <c r="U236" s="1468"/>
      <c r="V236" s="1468"/>
      <c r="W236" s="1468"/>
      <c r="X236" s="1468"/>
      <c r="Y236" s="1468"/>
      <c r="Z236" s="1468"/>
      <c r="AA236" s="1468"/>
      <c r="AB236" s="1468"/>
      <c r="AC236" s="1468"/>
      <c r="AD236" s="1468"/>
      <c r="AE236" s="1468"/>
      <c r="AF236" s="1468"/>
      <c r="AG236" s="1468"/>
      <c r="AH236" s="1468"/>
      <c r="AI236" s="1468"/>
      <c r="AJ236" s="1468"/>
      <c r="AK236" s="1468"/>
      <c r="AL236" s="1468"/>
      <c r="AM236" s="1468"/>
      <c r="AN236" s="1468"/>
      <c r="AO236" s="1468"/>
      <c r="AP236" s="1468"/>
      <c r="AQ236" s="1468"/>
      <c r="AR236" s="1468"/>
      <c r="AS236" s="1468"/>
      <c r="AT236" s="1468"/>
      <c r="AU236" s="1468"/>
      <c r="AV236" s="1468"/>
      <c r="AW236" s="1468"/>
      <c r="AX236" s="1468"/>
      <c r="AY236" s="1468"/>
      <c r="AZ236" s="1468"/>
      <c r="BA236" s="1468"/>
      <c r="BB236" s="1468"/>
      <c r="BC236" s="1468"/>
      <c r="BD236" s="287" t="str">
        <f t="shared" si="106"/>
        <v>dX</v>
      </c>
    </row>
    <row r="237" ht="15.5" customHeight="1" spans="1:56" x14ac:dyDescent="0.25">
      <c r="A237" s="1449" t="s">
        <v>1409</v>
      </c>
      <c r="B237" s="26"/>
      <c r="C237" s="26"/>
      <c r="D237" s="26"/>
      <c r="E237" s="26"/>
      <c r="G237" s="26" t="s">
        <v>1410</v>
      </c>
      <c r="H237" s="1443">
        <v>146</v>
      </c>
      <c r="I237" s="1458" t="s">
        <v>1411</v>
      </c>
      <c r="J237" s="1458"/>
      <c r="K237" s="1458"/>
      <c r="L237" s="1458"/>
      <c r="M237" s="1458"/>
      <c r="N237" s="1458"/>
      <c r="O237" s="1527"/>
      <c r="P237" s="1468"/>
      <c r="Q237" s="1468"/>
      <c r="R237" s="1468"/>
      <c r="S237" s="1468"/>
      <c r="T237" s="1468"/>
      <c r="U237" s="1468"/>
      <c r="V237" s="1468"/>
      <c r="W237" s="1468"/>
      <c r="X237" s="1468"/>
      <c r="Y237" s="1468"/>
      <c r="Z237" s="1468"/>
      <c r="AA237" s="1468"/>
      <c r="AB237" s="1468"/>
      <c r="AC237" s="1468"/>
      <c r="AD237" s="1468"/>
      <c r="AE237" s="1468"/>
      <c r="AF237" s="1468"/>
      <c r="AG237" s="1468"/>
      <c r="AH237" s="1468"/>
      <c r="AI237" s="1468"/>
      <c r="AJ237" s="1468"/>
      <c r="AK237" s="1468"/>
      <c r="AL237" s="1468"/>
      <c r="AM237" s="1468"/>
      <c r="AN237" s="1468"/>
      <c r="AO237" s="1468"/>
      <c r="AP237" s="1468"/>
      <c r="AQ237" s="1468"/>
      <c r="AR237" s="1468"/>
      <c r="AS237" s="1468"/>
      <c r="AT237" s="1468"/>
      <c r="AU237" s="1468"/>
      <c r="AV237" s="1468"/>
      <c r="AW237" s="1468"/>
      <c r="AX237" s="1468"/>
      <c r="AY237" s="1468"/>
      <c r="AZ237" s="1468"/>
      <c r="BA237" s="1468"/>
      <c r="BB237" s="1468"/>
      <c r="BC237" s="1468"/>
      <c r="BD237" s="287" t="str">
        <f t="shared" si="106"/>
        <v>dXO</v>
      </c>
    </row>
    <row r="238" ht="15.5" customHeight="1" spans="1:56" x14ac:dyDescent="0.25">
      <c r="A238" s="1449" t="s">
        <v>1412</v>
      </c>
      <c r="B238" s="1449"/>
      <c r="C238" s="1449"/>
      <c r="D238" s="26"/>
      <c r="E238" s="26"/>
      <c r="G238" s="26" t="s">
        <v>1413</v>
      </c>
      <c r="H238" s="1443">
        <v>147</v>
      </c>
      <c r="I238" s="1458" t="s">
        <v>1414</v>
      </c>
      <c r="J238" s="1458"/>
      <c r="K238" s="1458"/>
      <c r="L238" s="1458"/>
      <c r="M238" s="1458"/>
      <c r="N238" s="1458"/>
      <c r="O238" s="1527"/>
      <c r="P238" s="1468"/>
      <c r="Q238" s="1468"/>
      <c r="R238" s="1468"/>
      <c r="S238" s="1468"/>
      <c r="T238" s="1468"/>
      <c r="U238" s="1468"/>
      <c r="V238" s="1468"/>
      <c r="W238" s="1468"/>
      <c r="X238" s="1468"/>
      <c r="Y238" s="1468"/>
      <c r="Z238" s="1468"/>
      <c r="AA238" s="1468"/>
      <c r="AB238" s="1468"/>
      <c r="AC238" s="1468"/>
      <c r="AD238" s="1468"/>
      <c r="AE238" s="1468"/>
      <c r="AF238" s="1468"/>
      <c r="AG238" s="1468"/>
      <c r="AH238" s="1468"/>
      <c r="AI238" s="1468"/>
      <c r="AJ238" s="1468"/>
      <c r="AK238" s="1468"/>
      <c r="AL238" s="1468"/>
      <c r="AM238" s="1468"/>
      <c r="AN238" s="1468"/>
      <c r="AO238" s="1468"/>
      <c r="AP238" s="1468"/>
      <c r="AQ238" s="1468"/>
      <c r="AR238" s="1468"/>
      <c r="AS238" s="1468"/>
      <c r="AT238" s="1468"/>
      <c r="AU238" s="1468"/>
      <c r="AV238" s="1468"/>
      <c r="AW238" s="1468"/>
      <c r="AX238" s="1468"/>
      <c r="AY238" s="1468"/>
      <c r="AZ238" s="1468"/>
      <c r="BA238" s="1468"/>
      <c r="BB238" s="1468"/>
      <c r="BC238" s="1468"/>
      <c r="BD238" s="287" t="str">
        <f t="shared" si="106"/>
        <v>dZ</v>
      </c>
    </row>
    <row r="239" ht="15.5" customHeight="1" spans="1:56" x14ac:dyDescent="0.25">
      <c r="A239" s="1449" t="s">
        <v>1415</v>
      </c>
      <c r="B239" s="1449"/>
      <c r="C239" s="1449"/>
      <c r="D239" s="26"/>
      <c r="E239" s="26"/>
      <c r="G239" s="26" t="s">
        <v>1416</v>
      </c>
      <c r="H239" s="1443">
        <v>148</v>
      </c>
      <c r="I239" s="1458" t="s">
        <v>1417</v>
      </c>
      <c r="J239" s="1458"/>
      <c r="K239" s="1458"/>
      <c r="L239" s="1458"/>
      <c r="M239" s="1458"/>
      <c r="N239" s="1458"/>
      <c r="O239" s="1527"/>
      <c r="P239" s="1468"/>
      <c r="Q239" s="1468"/>
      <c r="R239" s="1468"/>
      <c r="S239" s="1468"/>
      <c r="T239" s="1468"/>
      <c r="U239" s="1468"/>
      <c r="V239" s="1468"/>
      <c r="W239" s="1468"/>
      <c r="X239" s="1468"/>
      <c r="Y239" s="1468"/>
      <c r="Z239" s="1468"/>
      <c r="AA239" s="1468"/>
      <c r="AB239" s="1468"/>
      <c r="AC239" s="1468"/>
      <c r="AD239" s="1468"/>
      <c r="AE239" s="1468"/>
      <c r="AF239" s="1468"/>
      <c r="AG239" s="1468"/>
      <c r="AH239" s="1468"/>
      <c r="AI239" s="1468"/>
      <c r="AJ239" s="1468"/>
      <c r="AK239" s="1468"/>
      <c r="AL239" s="1468"/>
      <c r="AM239" s="1468"/>
      <c r="AN239" s="1468"/>
      <c r="AO239" s="1468"/>
      <c r="AP239" s="1468"/>
      <c r="AQ239" s="1468"/>
      <c r="AR239" s="1468"/>
      <c r="AS239" s="1468"/>
      <c r="AT239" s="1468"/>
      <c r="AU239" s="1468"/>
      <c r="AV239" s="1468"/>
      <c r="AW239" s="1468"/>
      <c r="AX239" s="1468"/>
      <c r="AY239" s="1468"/>
      <c r="AZ239" s="1468"/>
      <c r="BA239" s="1468"/>
      <c r="BB239" s="1468"/>
      <c r="BC239" s="1468"/>
      <c r="BD239" s="287" t="str">
        <f t="shared" si="106"/>
        <v>dWN</v>
      </c>
    </row>
    <row r="240" ht="15.5" customHeight="1" spans="1:56" x14ac:dyDescent="0.25">
      <c r="A240" s="1449" t="s">
        <v>1418</v>
      </c>
      <c r="B240" s="1449"/>
      <c r="C240" s="1449"/>
      <c r="D240" s="26"/>
      <c r="E240" s="26"/>
      <c r="G240" s="26" t="s">
        <v>1419</v>
      </c>
      <c r="H240" s="1443">
        <v>149</v>
      </c>
      <c r="I240" s="1458" t="s">
        <v>1420</v>
      </c>
      <c r="J240" s="1458"/>
      <c r="K240" s="1458"/>
      <c r="L240" s="1458"/>
      <c r="M240" s="1458"/>
      <c r="N240" s="1458"/>
      <c r="O240" s="1527"/>
      <c r="P240" s="1468"/>
      <c r="Q240" s="1468"/>
      <c r="R240" s="1468"/>
      <c r="S240" s="1468"/>
      <c r="T240" s="1468"/>
      <c r="U240" s="1468"/>
      <c r="V240" s="1468"/>
      <c r="W240" s="1468"/>
      <c r="X240" s="1468"/>
      <c r="Y240" s="1468"/>
      <c r="Z240" s="1468"/>
      <c r="AA240" s="1468"/>
      <c r="AB240" s="1468"/>
      <c r="AC240" s="1468"/>
      <c r="AD240" s="1468"/>
      <c r="AE240" s="1468"/>
      <c r="AF240" s="1468"/>
      <c r="AG240" s="1468"/>
      <c r="AH240" s="1468"/>
      <c r="AI240" s="1468"/>
      <c r="AJ240" s="1468"/>
      <c r="AK240" s="1468"/>
      <c r="AL240" s="1468"/>
      <c r="AM240" s="1468"/>
      <c r="AN240" s="1468"/>
      <c r="AO240" s="1468"/>
      <c r="AP240" s="1468"/>
      <c r="AQ240" s="1468"/>
      <c r="AR240" s="1468"/>
      <c r="AS240" s="1468"/>
      <c r="AT240" s="1468"/>
      <c r="AU240" s="1468"/>
      <c r="AV240" s="1468"/>
      <c r="AW240" s="1468"/>
      <c r="AX240" s="1468"/>
      <c r="AY240" s="1468"/>
      <c r="AZ240" s="1468"/>
      <c r="BA240" s="1468"/>
      <c r="BB240" s="1468"/>
      <c r="BC240" s="1468"/>
      <c r="BD240" s="287" t="str">
        <f t="shared" si="106"/>
        <v>dWNO</v>
      </c>
    </row>
    <row r="241" ht="15.5" customHeight="1" spans="1:56" x14ac:dyDescent="0.25">
      <c r="A241" s="1449" t="s">
        <v>1421</v>
      </c>
      <c r="B241" s="1449"/>
      <c r="C241" s="1449"/>
      <c r="D241" s="26"/>
      <c r="E241" s="26"/>
      <c r="G241" s="26" t="s">
        <v>1422</v>
      </c>
      <c r="H241" s="1443">
        <v>150</v>
      </c>
      <c r="I241" s="1458" t="s">
        <v>1423</v>
      </c>
      <c r="J241" s="1458"/>
      <c r="K241" s="1458"/>
      <c r="L241" s="1458"/>
      <c r="M241" s="1458"/>
      <c r="N241" s="1458"/>
      <c r="O241" s="1527"/>
      <c r="P241" s="1468"/>
      <c r="Q241" s="1468"/>
      <c r="R241" s="1468"/>
      <c r="S241" s="1468"/>
      <c r="T241" s="1468"/>
      <c r="U241" s="1468"/>
      <c r="V241" s="1468"/>
      <c r="W241" s="1468"/>
      <c r="X241" s="1468"/>
      <c r="Y241" s="1468"/>
      <c r="Z241" s="1468"/>
      <c r="AA241" s="1468"/>
      <c r="AB241" s="1468"/>
      <c r="AC241" s="1468"/>
      <c r="AD241" s="1468"/>
      <c r="AE241" s="1468"/>
      <c r="AF241" s="1468"/>
      <c r="AG241" s="1468"/>
      <c r="AH241" s="1468"/>
      <c r="AI241" s="1468"/>
      <c r="AJ241" s="1468"/>
      <c r="AK241" s="1468"/>
      <c r="AL241" s="1468"/>
      <c r="AM241" s="1468"/>
      <c r="AN241" s="1468"/>
      <c r="AO241" s="1468"/>
      <c r="AP241" s="1468"/>
      <c r="AQ241" s="1468"/>
      <c r="AR241" s="1468"/>
      <c r="AS241" s="1468"/>
      <c r="AT241" s="1468"/>
      <c r="AU241" s="1468"/>
      <c r="AV241" s="1468"/>
      <c r="AW241" s="1468"/>
      <c r="AX241" s="1468"/>
      <c r="AY241" s="1468"/>
      <c r="AZ241" s="1468"/>
      <c r="BA241" s="1468"/>
      <c r="BB241" s="1468"/>
      <c r="BC241" s="1468"/>
      <c r="BD241" s="287" t="str">
        <f t="shared" si="106"/>
        <v>dYD</v>
      </c>
    </row>
    <row r="242" ht="15.5" customHeight="1" spans="1:56" x14ac:dyDescent="0.25">
      <c r="A242" s="1449" t="s">
        <v>1424</v>
      </c>
      <c r="B242" s="1449"/>
      <c r="C242" s="1449"/>
      <c r="D242" s="26"/>
      <c r="E242" s="26"/>
      <c r="G242" s="26" t="s">
        <v>1425</v>
      </c>
      <c r="H242" s="1443">
        <v>151</v>
      </c>
      <c r="I242" s="1458" t="s">
        <v>1426</v>
      </c>
      <c r="J242" s="1458"/>
      <c r="K242" s="1458"/>
      <c r="L242" s="1458"/>
      <c r="M242" s="1458"/>
      <c r="N242" s="1458"/>
      <c r="O242" s="1527"/>
      <c r="P242" s="1468"/>
      <c r="Q242" s="1468"/>
      <c r="R242" s="1468"/>
      <c r="S242" s="1468"/>
      <c r="T242" s="1468"/>
      <c r="U242" s="1468"/>
      <c r="V242" s="1468"/>
      <c r="W242" s="1468"/>
      <c r="X242" s="1468"/>
      <c r="Y242" s="1468"/>
      <c r="Z242" s="1468"/>
      <c r="AA242" s="1468"/>
      <c r="AB242" s="1468"/>
      <c r="AC242" s="1468"/>
      <c r="AD242" s="1468"/>
      <c r="AE242" s="1468"/>
      <c r="AF242" s="1468"/>
      <c r="AG242" s="1468"/>
      <c r="AH242" s="1468"/>
      <c r="AI242" s="1468"/>
      <c r="AJ242" s="1468"/>
      <c r="AK242" s="1468"/>
      <c r="AL242" s="1468"/>
      <c r="AM242" s="1468"/>
      <c r="AN242" s="1468"/>
      <c r="AO242" s="1468"/>
      <c r="AP242" s="1468"/>
      <c r="AQ242" s="1468"/>
      <c r="AR242" s="1468"/>
      <c r="AS242" s="1468"/>
      <c r="AT242" s="1468"/>
      <c r="AU242" s="1468"/>
      <c r="AV242" s="1468"/>
      <c r="AW242" s="1468"/>
      <c r="AX242" s="1468"/>
      <c r="AY242" s="1468"/>
      <c r="AZ242" s="1468"/>
      <c r="BA242" s="1468"/>
      <c r="BB242" s="1468"/>
      <c r="BC242" s="1468"/>
      <c r="BD242" s="287" t="str">
        <f t="shared" si="106"/>
        <v>dYGM</v>
      </c>
    </row>
    <row r="243" ht="15.5" customHeight="1" spans="1:56" x14ac:dyDescent="0.25">
      <c r="A243" s="1449" t="s">
        <v>1427</v>
      </c>
      <c r="B243" s="1449"/>
      <c r="C243" s="1449"/>
      <c r="D243" s="26"/>
      <c r="E243" s="26"/>
      <c r="G243" s="26" t="s">
        <v>1428</v>
      </c>
      <c r="H243" s="1443">
        <v>152</v>
      </c>
      <c r="I243" s="1458" t="s">
        <v>1429</v>
      </c>
      <c r="J243" s="1458"/>
      <c r="K243" s="1458"/>
      <c r="L243" s="1458"/>
      <c r="M243" s="1458"/>
      <c r="N243" s="1458"/>
      <c r="O243" s="1527"/>
      <c r="P243" s="1468"/>
      <c r="Q243" s="1468"/>
      <c r="R243" s="1468"/>
      <c r="S243" s="1468"/>
      <c r="T243" s="1468"/>
      <c r="U243" s="1468"/>
      <c r="V243" s="1468"/>
      <c r="W243" s="1468"/>
      <c r="X243" s="1468"/>
      <c r="Y243" s="1468"/>
      <c r="Z243" s="1468"/>
      <c r="AA243" s="1468"/>
      <c r="AB243" s="1468"/>
      <c r="AC243" s="1468"/>
      <c r="AD243" s="1468"/>
      <c r="AE243" s="1468"/>
      <c r="AF243" s="1468"/>
      <c r="AG243" s="1468"/>
      <c r="AH243" s="1468"/>
      <c r="AI243" s="1468"/>
      <c r="AJ243" s="1468"/>
      <c r="AK243" s="1468"/>
      <c r="AL243" s="1468"/>
      <c r="AM243" s="1468"/>
      <c r="AN243" s="1468"/>
      <c r="AO243" s="1468"/>
      <c r="AP243" s="1468"/>
      <c r="AQ243" s="1468"/>
      <c r="AR243" s="1468"/>
      <c r="AS243" s="1468"/>
      <c r="AT243" s="1468"/>
      <c r="AU243" s="1468"/>
      <c r="AV243" s="1468"/>
      <c r="AW243" s="1468"/>
      <c r="AX243" s="1468"/>
      <c r="AY243" s="1468"/>
      <c r="AZ243" s="1468"/>
      <c r="BA243" s="1468"/>
      <c r="BB243" s="1468"/>
      <c r="BC243" s="1468"/>
      <c r="BD243" s="287" t="str">
        <f t="shared" si="106"/>
        <v>dNK</v>
      </c>
    </row>
    <row r="244" ht="15.5" customHeight="1" spans="1:56" x14ac:dyDescent="0.25">
      <c r="A244" s="1449" t="s">
        <v>1430</v>
      </c>
      <c r="B244" s="1449"/>
      <c r="C244" s="1449"/>
      <c r="D244" s="26"/>
      <c r="E244" s="26"/>
      <c r="G244" s="26" t="s">
        <v>1431</v>
      </c>
      <c r="H244" s="1443">
        <v>153</v>
      </c>
      <c r="I244" s="1458" t="s">
        <v>1432</v>
      </c>
      <c r="J244" s="1458"/>
      <c r="K244" s="1458"/>
      <c r="L244" s="1458"/>
      <c r="M244" s="1458"/>
      <c r="N244" s="1458"/>
      <c r="O244" s="1527"/>
      <c r="P244" s="1468"/>
      <c r="Q244" s="1468"/>
      <c r="R244" s="1468"/>
      <c r="S244" s="1468"/>
      <c r="T244" s="1468"/>
      <c r="U244" s="1468"/>
      <c r="V244" s="1468"/>
      <c r="W244" s="1468"/>
      <c r="X244" s="1468"/>
      <c r="Y244" s="1468"/>
      <c r="Z244" s="1468"/>
      <c r="AA244" s="1468"/>
      <c r="AB244" s="1468"/>
      <c r="AC244" s="1468"/>
      <c r="AD244" s="1468"/>
      <c r="AE244" s="1468"/>
      <c r="AF244" s="1468"/>
      <c r="AG244" s="1468"/>
      <c r="AH244" s="1468"/>
      <c r="AI244" s="1468"/>
      <c r="AJ244" s="1468"/>
      <c r="AK244" s="1468"/>
      <c r="AL244" s="1468"/>
      <c r="AM244" s="1468"/>
      <c r="AN244" s="1468"/>
      <c r="AO244" s="1468"/>
      <c r="AP244" s="1468"/>
      <c r="AQ244" s="1468"/>
      <c r="AR244" s="1468"/>
      <c r="AS244" s="1468"/>
      <c r="AT244" s="1468"/>
      <c r="AU244" s="1468"/>
      <c r="AV244" s="1468"/>
      <c r="AW244" s="1468"/>
      <c r="AX244" s="1468"/>
      <c r="AY244" s="1468"/>
      <c r="AZ244" s="1468"/>
      <c r="BA244" s="1468"/>
      <c r="BB244" s="1468"/>
      <c r="BC244" s="1468"/>
      <c r="BD244" s="287" t="str">
        <f t="shared" si="106"/>
        <v>dEX</v>
      </c>
    </row>
    <row r="245" ht="15.5" customHeight="1" spans="1:56" x14ac:dyDescent="0.25">
      <c r="A245" s="1449" t="s">
        <v>1433</v>
      </c>
      <c r="B245" s="1449"/>
      <c r="C245" s="1449"/>
      <c r="D245" s="26"/>
      <c r="E245" s="26"/>
      <c r="G245" s="26" t="s">
        <v>1434</v>
      </c>
      <c r="H245" s="1443">
        <v>154</v>
      </c>
      <c r="I245" s="1458" t="s">
        <v>1435</v>
      </c>
      <c r="J245" s="1458"/>
      <c r="K245" s="1458"/>
      <c r="L245" s="1458"/>
      <c r="M245" s="1458"/>
      <c r="N245" s="1458"/>
      <c r="O245" s="1527"/>
      <c r="P245" s="1468"/>
      <c r="Q245" s="1468"/>
      <c r="R245" s="1468"/>
      <c r="S245" s="1468"/>
      <c r="T245" s="1468"/>
      <c r="U245" s="1468"/>
      <c r="V245" s="1468"/>
      <c r="W245" s="1468"/>
      <c r="X245" s="1468"/>
      <c r="Y245" s="1468"/>
      <c r="Z245" s="1468"/>
      <c r="AA245" s="1468"/>
      <c r="AB245" s="1468"/>
      <c r="AC245" s="1468"/>
      <c r="AD245" s="1468"/>
      <c r="AE245" s="1468"/>
      <c r="AF245" s="1468"/>
      <c r="AG245" s="1468"/>
      <c r="AH245" s="1468"/>
      <c r="AI245" s="1468"/>
      <c r="AJ245" s="1468"/>
      <c r="AK245" s="1468"/>
      <c r="AL245" s="1468"/>
      <c r="AM245" s="1468"/>
      <c r="AN245" s="1468"/>
      <c r="AO245" s="1468"/>
      <c r="AP245" s="1468"/>
      <c r="AQ245" s="1468"/>
      <c r="AR245" s="1468"/>
      <c r="AS245" s="1468"/>
      <c r="AT245" s="1468"/>
      <c r="AU245" s="1468"/>
      <c r="AV245" s="1468"/>
      <c r="AW245" s="1468"/>
      <c r="AX245" s="1468"/>
      <c r="AY245" s="1468"/>
      <c r="AZ245" s="1468"/>
      <c r="BA245" s="1468"/>
      <c r="BB245" s="1468"/>
      <c r="BC245" s="1468"/>
      <c r="BD245" s="287" t="str">
        <f t="shared" si="106"/>
        <v>dIM</v>
      </c>
    </row>
    <row r="246" ht="15.5" customHeight="1" spans="1:56" x14ac:dyDescent="0.25">
      <c r="A246" s="1449" t="s">
        <v>1436</v>
      </c>
      <c r="B246" s="1449"/>
      <c r="C246" s="1449"/>
      <c r="D246" s="26"/>
      <c r="E246" s="26"/>
      <c r="G246" s="26" t="s">
        <v>1437</v>
      </c>
      <c r="H246" s="1443">
        <v>155</v>
      </c>
      <c r="I246" s="1458" t="s">
        <v>1438</v>
      </c>
      <c r="J246" s="1458"/>
      <c r="K246" s="1458"/>
      <c r="L246" s="1458"/>
      <c r="M246" s="1458"/>
      <c r="N246" s="1458"/>
      <c r="O246" s="1527"/>
      <c r="P246" s="1468"/>
      <c r="Q246" s="1468"/>
      <c r="R246" s="1468"/>
      <c r="S246" s="1468"/>
      <c r="T246" s="1468"/>
      <c r="U246" s="1468"/>
      <c r="V246" s="1468"/>
      <c r="W246" s="1468"/>
      <c r="X246" s="1468"/>
      <c r="Y246" s="1468"/>
      <c r="Z246" s="1468"/>
      <c r="AA246" s="1468"/>
      <c r="AB246" s="1468"/>
      <c r="AC246" s="1468"/>
      <c r="AD246" s="1468"/>
      <c r="AE246" s="1468"/>
      <c r="AF246" s="1468"/>
      <c r="AG246" s="1468"/>
      <c r="AH246" s="1468"/>
      <c r="AI246" s="1468"/>
      <c r="AJ246" s="1468"/>
      <c r="AK246" s="1468"/>
      <c r="AL246" s="1468"/>
      <c r="AM246" s="1468"/>
      <c r="AN246" s="1468"/>
      <c r="AO246" s="1468"/>
      <c r="AP246" s="1468"/>
      <c r="AQ246" s="1468"/>
      <c r="AR246" s="1468"/>
      <c r="AS246" s="1468"/>
      <c r="AT246" s="1468"/>
      <c r="AU246" s="1468"/>
      <c r="AV246" s="1468"/>
      <c r="AW246" s="1468"/>
      <c r="AX246" s="1468"/>
      <c r="AY246" s="1468"/>
      <c r="AZ246" s="1468"/>
      <c r="BA246" s="1468"/>
      <c r="BB246" s="1468"/>
      <c r="BC246" s="1468"/>
      <c r="BD246" s="287" t="str">
        <f t="shared" si="106"/>
        <v>dIN</v>
      </c>
    </row>
    <row r="247" ht="15.5" customHeight="1" spans="1:56" x14ac:dyDescent="0.25">
      <c r="A247" s="1449" t="s">
        <v>1439</v>
      </c>
      <c r="B247" s="1449"/>
      <c r="C247" s="1449"/>
      <c r="D247" s="26"/>
      <c r="E247" s="26"/>
      <c r="G247" s="26" t="s">
        <v>1440</v>
      </c>
      <c r="H247" s="1443">
        <v>156</v>
      </c>
      <c r="I247" s="1458" t="s">
        <v>1441</v>
      </c>
      <c r="J247" s="1458"/>
      <c r="K247" s="1458"/>
      <c r="L247" s="1458"/>
      <c r="M247" s="1458"/>
      <c r="N247" s="1458"/>
      <c r="O247" s="1527"/>
      <c r="P247" s="1468"/>
      <c r="Q247" s="1468"/>
      <c r="R247" s="1468"/>
      <c r="S247" s="1468"/>
      <c r="T247" s="1468"/>
      <c r="U247" s="1468"/>
      <c r="V247" s="1468"/>
      <c r="W247" s="1468"/>
      <c r="X247" s="1468"/>
      <c r="Y247" s="1468"/>
      <c r="Z247" s="1468"/>
      <c r="AA247" s="1468"/>
      <c r="AB247" s="1468"/>
      <c r="AC247" s="1468"/>
      <c r="AD247" s="1468"/>
      <c r="AE247" s="1468"/>
      <c r="AF247" s="1468"/>
      <c r="AG247" s="1468"/>
      <c r="AH247" s="1468"/>
      <c r="AI247" s="1468"/>
      <c r="AJ247" s="1468"/>
      <c r="AK247" s="1468"/>
      <c r="AL247" s="1468"/>
      <c r="AM247" s="1468"/>
      <c r="AN247" s="1468"/>
      <c r="AO247" s="1468"/>
      <c r="AP247" s="1468"/>
      <c r="AQ247" s="1468"/>
      <c r="AR247" s="1468"/>
      <c r="AS247" s="1468"/>
      <c r="AT247" s="1468"/>
      <c r="AU247" s="1468"/>
      <c r="AV247" s="1468"/>
      <c r="AW247" s="1468"/>
      <c r="AX247" s="1468"/>
      <c r="AY247" s="1468"/>
      <c r="AZ247" s="1468"/>
      <c r="BA247" s="1468"/>
      <c r="BB247" s="1468"/>
      <c r="BC247" s="1468"/>
      <c r="BD247" s="287" t="str">
        <f t="shared" si="106"/>
        <v>dWD</v>
      </c>
    </row>
    <row r="248" ht="15.5" customHeight="1" spans="8:56" x14ac:dyDescent="0.25">
      <c r="H248" s="1443">
        <v>157</v>
      </c>
      <c r="I248" s="1458"/>
      <c r="J248" s="1458"/>
      <c r="K248" s="1458"/>
      <c r="L248" s="1458"/>
      <c r="M248" s="1458"/>
      <c r="N248" s="1458"/>
      <c r="O248" s="1527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87">
        <f t="shared" si="106"/>
        <v>0</v>
      </c>
    </row>
    <row r="249" ht="15.5" customHeight="1" spans="8:56" x14ac:dyDescent="0.25">
      <c r="H249" s="1443">
        <v>158</v>
      </c>
      <c r="I249" s="1536" t="s">
        <v>1442</v>
      </c>
      <c r="J249" s="1536"/>
      <c r="K249" s="1536"/>
      <c r="L249" s="1536"/>
      <c r="M249" s="1536"/>
      <c r="N249" s="1536"/>
      <c r="O249" s="1527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87">
        <f t="shared" si="106"/>
        <v>0</v>
      </c>
    </row>
    <row r="250" ht="15.5" customHeight="1" spans="7:56" x14ac:dyDescent="0.25">
      <c r="G250" s="26" t="s">
        <v>1443</v>
      </c>
      <c r="H250" s="1443">
        <v>159</v>
      </c>
      <c r="I250" s="1458" t="s">
        <v>1444</v>
      </c>
      <c r="J250" s="1458"/>
      <c r="K250" s="1458"/>
      <c r="L250" s="1458"/>
      <c r="M250" s="1458"/>
      <c r="N250" s="1458"/>
      <c r="O250" s="1491"/>
      <c r="P250" s="1468"/>
      <c r="Q250" s="1468"/>
      <c r="R250" s="1468"/>
      <c r="S250" s="1468"/>
      <c r="T250" s="1468"/>
      <c r="U250" s="1468"/>
      <c r="V250" s="1468"/>
      <c r="W250" s="1468"/>
      <c r="X250" s="1468"/>
      <c r="Y250" s="1468"/>
      <c r="Z250" s="1468"/>
      <c r="AA250" s="1468"/>
      <c r="AB250" s="1468"/>
      <c r="AC250" s="1468"/>
      <c r="AD250" s="1465"/>
      <c r="AE250" s="1465"/>
      <c r="AF250" s="1465"/>
      <c r="AG250" s="1465"/>
      <c r="AH250" s="1465"/>
      <c r="AI250" s="1465"/>
      <c r="AJ250" s="1465"/>
      <c r="AK250" s="1465"/>
      <c r="AL250" s="1465"/>
      <c r="AM250" s="1465"/>
      <c r="AN250" s="1465"/>
      <c r="AO250" s="1465"/>
      <c r="AP250" s="1465"/>
      <c r="AQ250" s="1465"/>
      <c r="AR250" s="1465"/>
      <c r="AS250" s="1465"/>
      <c r="AT250" s="1465"/>
      <c r="AU250" s="1465"/>
      <c r="AV250" s="1465"/>
      <c r="AW250" s="1465"/>
      <c r="AX250" s="1465"/>
      <c r="AY250" s="1465"/>
      <c r="AZ250" s="1465"/>
      <c r="BA250" s="1465"/>
      <c r="BB250" s="1465"/>
      <c r="BC250" s="1465"/>
      <c r="BD250" s="287" t="str">
        <f t="shared" si="106"/>
        <v>LP</v>
      </c>
    </row>
    <row r="251" ht="15.5" customHeight="1" spans="1:56" x14ac:dyDescent="0.25">
      <c r="A251" s="121" t="s">
        <v>1445</v>
      </c>
      <c r="B251" s="121"/>
      <c r="C251" s="1449"/>
      <c r="D251" s="26"/>
      <c r="E251" s="1449"/>
      <c r="F251" s="1449"/>
      <c r="G251" s="26" t="s">
        <v>413</v>
      </c>
      <c r="H251" s="1443">
        <v>160</v>
      </c>
      <c r="I251" s="1458" t="s">
        <v>1446</v>
      </c>
      <c r="J251" s="1458"/>
      <c r="K251" s="1458"/>
      <c r="L251" s="1458"/>
      <c r="M251" s="1458"/>
      <c r="N251" s="1458"/>
      <c r="O251" s="1378"/>
      <c r="P251" s="1369"/>
      <c r="Q251" s="1369"/>
      <c r="R251" s="1369"/>
      <c r="S251" s="1369"/>
      <c r="T251" s="1369"/>
      <c r="U251" s="1369"/>
      <c r="V251" s="1369"/>
      <c r="W251" s="1369"/>
      <c r="X251" s="1369"/>
      <c r="Y251" s="1369"/>
      <c r="Z251" s="1369"/>
      <c r="AA251" s="1369"/>
      <c r="AB251" s="1369"/>
      <c r="AC251" s="1369"/>
      <c r="AD251" s="1369"/>
      <c r="AE251" s="1369"/>
      <c r="AF251" s="1369"/>
      <c r="AG251" s="1369"/>
      <c r="AH251" s="1369"/>
      <c r="AI251" s="1369"/>
      <c r="AJ251" s="1369"/>
      <c r="AK251" s="1369"/>
      <c r="AL251" s="1369"/>
      <c r="AM251" s="1369"/>
      <c r="AN251" s="1369"/>
      <c r="AO251" s="1369"/>
      <c r="AP251" s="1369"/>
      <c r="AQ251" s="1369"/>
      <c r="AR251" s="1369"/>
      <c r="AS251" s="1369"/>
      <c r="AT251" s="1369"/>
      <c r="AU251" s="1369"/>
      <c r="AV251" s="1369"/>
      <c r="AW251" s="1369"/>
      <c r="AX251" s="1369"/>
      <c r="AY251" s="1369"/>
      <c r="AZ251" s="1369"/>
      <c r="BA251" s="1369"/>
      <c r="BB251" s="1369"/>
      <c r="BC251" s="1369"/>
      <c r="BD251" s="287" t="str">
        <f t="shared" si="106"/>
        <v>A</v>
      </c>
    </row>
    <row r="252" ht="15.5" customHeight="1" spans="7:56" x14ac:dyDescent="0.25">
      <c r="G252" s="26" t="s">
        <v>383</v>
      </c>
      <c r="H252" s="1443">
        <v>161</v>
      </c>
      <c r="I252" s="1458" t="s">
        <v>1447</v>
      </c>
      <c r="J252" s="1458"/>
      <c r="K252" s="1458"/>
      <c r="L252" s="1458"/>
      <c r="M252" s="1458"/>
      <c r="N252" s="1458"/>
      <c r="O252" s="1378"/>
      <c r="P252" s="1369"/>
      <c r="Q252" s="1369"/>
      <c r="R252" s="1369"/>
      <c r="S252" s="1369"/>
      <c r="T252" s="1369"/>
      <c r="U252" s="1369"/>
      <c r="V252" s="1369"/>
      <c r="W252" s="1369"/>
      <c r="X252" s="1369"/>
      <c r="Y252" s="1369"/>
      <c r="Z252" s="1369"/>
      <c r="AA252" s="1369"/>
      <c r="AB252" s="1369"/>
      <c r="AC252" s="1369"/>
      <c r="AD252" s="1369"/>
      <c r="AE252" s="1369"/>
      <c r="AF252" s="1369"/>
      <c r="AG252" s="1369"/>
      <c r="AH252" s="1369"/>
      <c r="AI252" s="1369"/>
      <c r="AJ252" s="1369"/>
      <c r="AK252" s="1369"/>
      <c r="AL252" s="1369"/>
      <c r="AM252" s="1369"/>
      <c r="AN252" s="1369"/>
      <c r="AO252" s="1369"/>
      <c r="AP252" s="1369"/>
      <c r="AQ252" s="1369"/>
      <c r="AR252" s="1369"/>
      <c r="AS252" s="1369"/>
      <c r="AT252" s="1369"/>
      <c r="AU252" s="1369"/>
      <c r="AV252" s="1369"/>
      <c r="AW252" s="1369"/>
      <c r="AX252" s="1369"/>
      <c r="AY252" s="1369"/>
      <c r="AZ252" s="1369"/>
      <c r="BA252" s="1369"/>
      <c r="BB252" s="1369"/>
      <c r="BC252" s="1369"/>
      <c r="BD252" s="287" t="str">
        <f t="shared" si="106"/>
        <v>LZW</v>
      </c>
    </row>
    <row r="253" ht="15.5" customHeight="1" spans="7:56" x14ac:dyDescent="0.25">
      <c r="G253" s="26" t="s">
        <v>401</v>
      </c>
      <c r="H253" s="1443">
        <v>162</v>
      </c>
      <c r="I253" s="1458" t="s">
        <v>1448</v>
      </c>
      <c r="J253" s="1458"/>
      <c r="K253" s="1458"/>
      <c r="L253" s="1458"/>
      <c r="M253" s="1458"/>
      <c r="N253" s="1458"/>
      <c r="O253" s="1378"/>
      <c r="P253" s="1369"/>
      <c r="Q253" s="1369"/>
      <c r="R253" s="1369"/>
      <c r="S253" s="1369"/>
      <c r="T253" s="1369"/>
      <c r="U253" s="1369"/>
      <c r="V253" s="1369"/>
      <c r="W253" s="1369"/>
      <c r="X253" s="1369"/>
      <c r="Y253" s="1369"/>
      <c r="Z253" s="1369"/>
      <c r="AA253" s="1369"/>
      <c r="AB253" s="1369"/>
      <c r="AC253" s="1369"/>
      <c r="AD253" s="1369"/>
      <c r="AE253" s="1369"/>
      <c r="AF253" s="1369"/>
      <c r="AG253" s="1369"/>
      <c r="AH253" s="1369"/>
      <c r="AI253" s="1369"/>
      <c r="AJ253" s="1369"/>
      <c r="AK253" s="1369"/>
      <c r="AL253" s="1369"/>
      <c r="AM253" s="1369"/>
      <c r="AN253" s="1369"/>
      <c r="AO253" s="1369"/>
      <c r="AP253" s="1369"/>
      <c r="AQ253" s="1369"/>
      <c r="AR253" s="1369"/>
      <c r="AS253" s="1369"/>
      <c r="AT253" s="1369"/>
      <c r="AU253" s="1369"/>
      <c r="AV253" s="1369"/>
      <c r="AW253" s="1369"/>
      <c r="AX253" s="1369"/>
      <c r="AY253" s="1369"/>
      <c r="AZ253" s="1369"/>
      <c r="BA253" s="1369"/>
      <c r="BB253" s="1369"/>
      <c r="BC253" s="1369"/>
      <c r="BD253" s="287" t="str">
        <f t="shared" si="106"/>
        <v>BZ</v>
      </c>
    </row>
    <row r="254" ht="15.5" customHeight="1" spans="7:56" x14ac:dyDescent="0.25">
      <c r="G254" s="26" t="s">
        <v>1449</v>
      </c>
      <c r="H254" s="1443">
        <v>163</v>
      </c>
      <c r="I254" s="1458" t="s">
        <v>1450</v>
      </c>
      <c r="J254" s="1458"/>
      <c r="K254" s="1458"/>
      <c r="L254" s="1458"/>
      <c r="M254" s="1458"/>
      <c r="N254" s="1458"/>
      <c r="O254" s="1378"/>
      <c r="P254" s="1369"/>
      <c r="Q254" s="1369"/>
      <c r="R254" s="1369"/>
      <c r="S254" s="1369"/>
      <c r="T254" s="1369"/>
      <c r="U254" s="1369"/>
      <c r="V254" s="1369"/>
      <c r="W254" s="1369"/>
      <c r="X254" s="1369"/>
      <c r="Y254" s="1369"/>
      <c r="Z254" s="1369"/>
      <c r="AA254" s="1369"/>
      <c r="AB254" s="1369"/>
      <c r="AC254" s="1369"/>
      <c r="AD254" s="1369"/>
      <c r="AE254" s="1369"/>
      <c r="AF254" s="1369"/>
      <c r="AG254" s="1369"/>
      <c r="AH254" s="1369"/>
      <c r="AI254" s="1369"/>
      <c r="AJ254" s="1369"/>
      <c r="AK254" s="1369"/>
      <c r="AL254" s="1369"/>
      <c r="AM254" s="1369"/>
      <c r="AN254" s="1369"/>
      <c r="AO254" s="1369"/>
      <c r="AP254" s="1369"/>
      <c r="AQ254" s="1369"/>
      <c r="AR254" s="1369"/>
      <c r="AS254" s="1369"/>
      <c r="AT254" s="1369"/>
      <c r="AU254" s="1369"/>
      <c r="AV254" s="1369"/>
      <c r="AW254" s="1369"/>
      <c r="AX254" s="1369"/>
      <c r="AY254" s="1369"/>
      <c r="AZ254" s="1468"/>
      <c r="BA254" s="1468"/>
      <c r="BB254" s="1468"/>
      <c r="BC254" s="1468"/>
      <c r="BD254" s="287" t="str">
        <f t="shared" si="106"/>
        <v>RBZ</v>
      </c>
    </row>
    <row r="255" ht="15.5" customHeight="1" spans="8:56" x14ac:dyDescent="0.25">
      <c r="H255" s="1443">
        <v>164</v>
      </c>
      <c r="I255" s="1537" t="s">
        <v>1451</v>
      </c>
      <c r="J255" s="1538"/>
      <c r="K255" s="1538"/>
      <c r="L255" s="1538"/>
      <c r="M255" s="1538"/>
      <c r="N255" s="1539"/>
      <c r="O255" s="1378"/>
      <c r="P255" s="1369"/>
      <c r="Q255" s="1369"/>
      <c r="R255" s="1369"/>
      <c r="S255" s="1369"/>
      <c r="T255" s="1369"/>
      <c r="U255" s="1369"/>
      <c r="V255" s="1369"/>
      <c r="W255" s="1369"/>
      <c r="X255" s="1369"/>
      <c r="Y255" s="1369"/>
      <c r="Z255" s="1369"/>
      <c r="AA255" s="1369"/>
      <c r="AB255" s="1369"/>
      <c r="AC255" s="1369"/>
      <c r="AD255" s="1369"/>
      <c r="AE255" s="1369"/>
      <c r="AF255" s="1369"/>
      <c r="AG255" s="1369"/>
      <c r="AH255" s="1369"/>
      <c r="AI255" s="1369"/>
      <c r="AJ255" s="1369"/>
      <c r="AK255" s="1369"/>
      <c r="AL255" s="1369"/>
      <c r="AM255" s="1369"/>
      <c r="AN255" s="1369"/>
      <c r="AO255" s="1369"/>
      <c r="AP255" s="1369"/>
      <c r="AQ255" s="1369"/>
      <c r="AR255" s="1369"/>
      <c r="AS255" s="1369"/>
      <c r="AT255" s="1369"/>
      <c r="AU255" s="1369"/>
      <c r="AV255" s="1369"/>
      <c r="AW255" s="1369"/>
      <c r="AX255" s="1369"/>
      <c r="AY255" s="1369"/>
      <c r="BD255" s="287">
        <f t="shared" si="106"/>
        <v>0</v>
      </c>
    </row>
    <row r="256" ht="15.5" customHeight="1" spans="8:56" x14ac:dyDescent="0.25">
      <c r="H256" s="1443">
        <v>165</v>
      </c>
      <c r="I256" s="1498" t="s">
        <v>1452</v>
      </c>
      <c r="J256" s="1458" t="s">
        <v>1453</v>
      </c>
      <c r="K256" s="1458"/>
      <c r="L256" s="1458"/>
      <c r="M256" s="1458"/>
      <c r="N256" s="1495"/>
      <c r="O256" s="1540"/>
      <c r="S256" s="1468"/>
      <c r="T256" s="1468"/>
      <c r="U256" s="1468"/>
      <c r="X256" s="1468"/>
      <c r="Y256" s="1468"/>
      <c r="Z256" s="1468"/>
      <c r="AD256" s="1468"/>
      <c r="AI256" s="1468"/>
      <c r="AN256" s="1468"/>
      <c r="BD256" s="287">
        <f t="shared" si="106"/>
        <v>0</v>
      </c>
    </row>
    <row r="257" ht="16.25" customHeight="1" spans="8:56" x14ac:dyDescent="0.25">
      <c r="H257" s="1443">
        <v>166</v>
      </c>
      <c r="I257" s="1498" t="s">
        <v>1454</v>
      </c>
      <c r="J257" s="1458"/>
      <c r="K257" s="1458"/>
      <c r="L257" s="1458"/>
      <c r="M257" s="1458"/>
      <c r="N257" s="1495"/>
      <c r="O257" s="1540"/>
      <c r="S257" s="1468"/>
      <c r="T257" s="1468"/>
      <c r="U257" s="1468"/>
      <c r="X257" s="1468"/>
      <c r="Y257" s="1468"/>
      <c r="Z257" s="1468"/>
      <c r="AD257" s="1468"/>
      <c r="AI257" s="1468"/>
      <c r="AN257" s="1468"/>
      <c r="BD257" s="287">
        <f t="shared" si="106"/>
        <v>0</v>
      </c>
    </row>
    <row r="258" ht="15" customHeight="1" spans="8:55" x14ac:dyDescent="0.25">
      <c r="H258" s="1443">
        <v>167</v>
      </c>
      <c r="I258" s="1446" t="s">
        <v>1455</v>
      </c>
      <c r="J258" s="1541"/>
      <c r="K258" s="1541"/>
      <c r="L258" s="1541"/>
      <c r="M258" s="1542"/>
      <c r="N258" s="1543" t="s">
        <v>1456</v>
      </c>
      <c r="O258" s="1540">
        <v>1995</v>
      </c>
      <c r="P258" s="1544">
        <f t="shared" ref="P258:AR258" si="107">IF(ABS(P173)&lt;0.1,P259)</f>
        <v>1996</v>
      </c>
      <c r="Q258" s="1544">
        <f t="shared" si="107"/>
        <v>1997</v>
      </c>
      <c r="R258" s="1544">
        <f t="shared" si="107"/>
        <v>1998</v>
      </c>
      <c r="S258" s="1544">
        <f t="shared" si="107"/>
        <v>1999</v>
      </c>
      <c r="T258" s="1544">
        <f t="shared" si="107"/>
        <v>2000</v>
      </c>
      <c r="U258" s="1544">
        <f t="shared" si="107"/>
        <v>2001</v>
      </c>
      <c r="V258" s="1544">
        <f t="shared" si="107"/>
        <v>2002</v>
      </c>
      <c r="W258" s="1544">
        <f t="shared" si="107"/>
        <v>2003</v>
      </c>
      <c r="X258" s="1544">
        <f t="shared" si="107"/>
        <v>2004</v>
      </c>
      <c r="Y258" s="1544">
        <f t="shared" si="107"/>
        <v>2005</v>
      </c>
      <c r="Z258" s="1544">
        <f t="shared" si="107"/>
        <v>2006</v>
      </c>
      <c r="AA258" s="1544">
        <f t="shared" si="107"/>
        <v>2007</v>
      </c>
      <c r="AB258" s="1544">
        <f t="shared" si="107"/>
        <v>2008</v>
      </c>
      <c r="AC258" s="1544">
        <f t="shared" si="107"/>
        <v>2009</v>
      </c>
      <c r="AD258" s="1544">
        <f t="shared" si="107"/>
        <v>2010</v>
      </c>
      <c r="AE258" s="1544">
        <f t="shared" si="107"/>
        <v>2011</v>
      </c>
      <c r="AF258" s="1544">
        <f t="shared" si="107"/>
        <v>2012</v>
      </c>
      <c r="AG258" s="1544">
        <f t="shared" si="107"/>
        <v>2013</v>
      </c>
      <c r="AH258" s="1544">
        <f t="shared" si="107"/>
        <v>2014</v>
      </c>
      <c r="AI258" s="1544">
        <f t="shared" si="107"/>
        <v>2015</v>
      </c>
      <c r="AJ258" s="1544">
        <f t="shared" si="107"/>
        <v>2016</v>
      </c>
      <c r="AK258" s="1544">
        <f t="shared" si="107"/>
        <v>2017</v>
      </c>
      <c r="AL258" s="1544">
        <f t="shared" si="107"/>
        <v>2018</v>
      </c>
      <c r="AM258" s="1544">
        <f t="shared" si="107"/>
        <v>2019</v>
      </c>
      <c r="AN258" s="1544">
        <f t="shared" si="107"/>
        <v>2020</v>
      </c>
      <c r="AO258" s="1544">
        <f t="shared" si="107"/>
        <v>2021</v>
      </c>
      <c r="AP258" s="1544">
        <f t="shared" si="107"/>
        <v>2022</v>
      </c>
      <c r="AQ258" s="1544">
        <f t="shared" si="107"/>
        <v>2023</v>
      </c>
      <c r="AR258" s="1544">
        <f t="shared" si="107"/>
        <v>2024</v>
      </c>
      <c r="AS258" s="1544">
        <f t="shared" ref="AS258:BC258" si="108">IF(ABS(AS173)&lt;0.1,AS259)</f>
        <v>2025</v>
      </c>
      <c r="AT258" s="1544">
        <f t="shared" si="108"/>
        <v>2026</v>
      </c>
      <c r="AU258" s="1544">
        <f t="shared" si="108"/>
        <v>2027</v>
      </c>
      <c r="AV258" s="1544">
        <f t="shared" si="108"/>
        <v>2028</v>
      </c>
      <c r="AW258" s="1544">
        <f t="shared" si="108"/>
        <v>2029</v>
      </c>
      <c r="AX258" s="1544">
        <f t="shared" si="108"/>
        <v>2030</v>
      </c>
      <c r="AY258" s="1544">
        <f t="shared" si="108"/>
        <v>2031</v>
      </c>
      <c r="AZ258" s="1544">
        <f t="shared" si="108"/>
        <v>2032</v>
      </c>
      <c r="BA258" s="1544">
        <f t="shared" si="108"/>
        <v>2033</v>
      </c>
      <c r="BB258" s="1544">
        <f t="shared" si="108"/>
        <v>2034</v>
      </c>
      <c r="BC258" s="1544">
        <f t="shared" si="108"/>
        <v>2035</v>
      </c>
    </row>
    <row r="259" ht="15" customHeight="1" spans="15:55" x14ac:dyDescent="0.25">
      <c r="O259" s="1530">
        <v>1995</v>
      </c>
      <c r="P259" s="1452">
        <v>1996</v>
      </c>
      <c r="Q259" s="1452">
        <v>1997</v>
      </c>
      <c r="R259" s="1452">
        <v>1998</v>
      </c>
      <c r="S259" s="1452">
        <v>1999</v>
      </c>
      <c r="T259" s="1452">
        <v>2000</v>
      </c>
      <c r="U259" s="1452">
        <v>2001</v>
      </c>
      <c r="V259" s="1452">
        <v>2002</v>
      </c>
      <c r="W259" s="1452">
        <v>2003</v>
      </c>
      <c r="X259" s="1452">
        <v>2004</v>
      </c>
      <c r="Y259" s="1452">
        <v>2005</v>
      </c>
      <c r="Z259" s="1452">
        <v>2006</v>
      </c>
      <c r="AA259" s="1452">
        <v>2007</v>
      </c>
      <c r="AB259" s="1452">
        <v>2008</v>
      </c>
      <c r="AC259" s="1452">
        <v>2009</v>
      </c>
      <c r="AD259" s="1452">
        <v>2010</v>
      </c>
      <c r="AE259" s="1452">
        <v>2011</v>
      </c>
      <c r="AF259" s="1452">
        <v>2012</v>
      </c>
      <c r="AG259" s="1452">
        <v>2013</v>
      </c>
      <c r="AH259" s="1452">
        <v>2014</v>
      </c>
      <c r="AI259" s="1452">
        <v>2015</v>
      </c>
      <c r="AJ259" s="1452">
        <v>2016</v>
      </c>
      <c r="AK259" s="1452">
        <v>2017</v>
      </c>
      <c r="AL259" s="1452">
        <v>2018</v>
      </c>
      <c r="AM259" s="1452">
        <v>2019</v>
      </c>
      <c r="AN259" s="1452">
        <v>2020</v>
      </c>
      <c r="AO259" s="1452">
        <v>2021</v>
      </c>
      <c r="AP259" s="1452">
        <v>2022</v>
      </c>
      <c r="AQ259" s="1452">
        <v>2023</v>
      </c>
      <c r="AR259" s="1452">
        <v>2024</v>
      </c>
      <c r="AS259" s="1452">
        <v>2025</v>
      </c>
      <c r="AT259" s="1452">
        <v>2026</v>
      </c>
      <c r="AU259" s="1452">
        <v>2027</v>
      </c>
      <c r="AV259" s="1452">
        <v>2028</v>
      </c>
      <c r="AW259" s="1452">
        <v>2029</v>
      </c>
      <c r="AX259" s="1452">
        <v>2030</v>
      </c>
      <c r="AY259" s="1452">
        <v>2031</v>
      </c>
      <c r="AZ259" s="1452">
        <v>2032</v>
      </c>
      <c r="BA259" s="1452">
        <v>2033</v>
      </c>
      <c r="BB259" s="1452">
        <v>2034</v>
      </c>
      <c r="BC259" s="1452">
        <v>2035</v>
      </c>
    </row>
    <row r="264" ht="15" customHeight="1" spans="17:34" x14ac:dyDescent="0.25">
      <c r="Q264" s="1357"/>
      <c r="R264" s="1357"/>
      <c r="S264" s="1357"/>
      <c r="T264" s="1357"/>
      <c r="U264" s="1357"/>
      <c r="V264" s="1357"/>
      <c r="W264" s="1357"/>
      <c r="X264" s="1357"/>
      <c r="Y264" s="1357"/>
      <c r="Z264" s="1357"/>
      <c r="AA264" s="1357"/>
      <c r="AB264" s="1357"/>
      <c r="AC264" s="1357"/>
      <c r="AD264" s="1357"/>
      <c r="AE264" s="1357"/>
      <c r="AF264" s="1357"/>
      <c r="AG264" s="1545"/>
      <c r="AH264" s="1545"/>
    </row>
    <row r="265" ht="15" customHeight="1" spans="17:55" x14ac:dyDescent="0.25">
      <c r="Q265" s="1357"/>
      <c r="R265" s="1357"/>
      <c r="S265" s="1357"/>
      <c r="T265" s="1357"/>
      <c r="U265" s="1357"/>
      <c r="V265" s="1357"/>
      <c r="W265" s="1357"/>
      <c r="X265" s="1357"/>
      <c r="Y265" s="1357"/>
      <c r="Z265" s="1357"/>
      <c r="AA265" s="1357"/>
      <c r="AB265" s="1357"/>
      <c r="AC265" s="1357"/>
      <c r="AD265" s="1357"/>
      <c r="AE265" s="1357"/>
      <c r="AF265" s="1357"/>
      <c r="AG265" s="1545"/>
      <c r="AH265" s="1545"/>
      <c r="AI265" s="1357"/>
      <c r="AJ265" s="1357"/>
      <c r="AK265" s="1357"/>
      <c r="AL265" s="1357"/>
      <c r="AM265" s="1357"/>
      <c r="AN265" s="1357"/>
      <c r="AO265" s="1357"/>
      <c r="AP265" s="1357"/>
      <c r="AQ265" s="1357"/>
      <c r="AR265" s="1357"/>
      <c r="AS265" s="1357"/>
      <c r="AT265" s="1357"/>
      <c r="AU265" s="1357"/>
      <c r="AV265" s="1357"/>
      <c r="AW265" s="1357"/>
      <c r="AX265" s="1357"/>
      <c r="AY265" s="1357"/>
      <c r="AZ265" s="1357"/>
      <c r="BA265" s="1357"/>
      <c r="BB265" s="1357"/>
      <c r="BC265" s="1357"/>
    </row>
    <row r="266" ht="15" customHeight="1" spans="33:34" x14ac:dyDescent="0.25">
      <c r="AG266" s="15"/>
      <c r="AH266" s="15"/>
    </row>
    <row r="267" ht="15" customHeight="1" spans="33:34" x14ac:dyDescent="0.25">
      <c r="AG267" s="15"/>
      <c r="AH267" s="15"/>
    </row>
    <row r="268" ht="15" customHeight="1" spans="17:34" x14ac:dyDescent="0.25">
      <c r="Q268" s="1357"/>
      <c r="R268" s="1357"/>
      <c r="S268" s="1357"/>
      <c r="T268" s="1357"/>
      <c r="U268" s="1357"/>
      <c r="V268" s="1357"/>
      <c r="W268" s="1357"/>
      <c r="X268" s="1357"/>
      <c r="Y268" s="1357"/>
      <c r="Z268" s="1357"/>
      <c r="AA268" s="1357"/>
      <c r="AB268" s="1357"/>
      <c r="AC268" s="1357"/>
      <c r="AD268" s="1357"/>
      <c r="AE268" s="1357"/>
      <c r="AF268" s="1357"/>
      <c r="AG268" s="1545"/>
      <c r="AH268" s="1545"/>
    </row>
    <row r="269" ht="15" customHeight="1" spans="17:55" x14ac:dyDescent="0.25">
      <c r="Q269" s="1357"/>
      <c r="R269" s="1357"/>
      <c r="S269" s="1357"/>
      <c r="T269" s="1357"/>
      <c r="U269" s="1357"/>
      <c r="V269" s="1357"/>
      <c r="W269" s="1357"/>
      <c r="X269" s="1357"/>
      <c r="Y269" s="1357"/>
      <c r="Z269" s="1357"/>
      <c r="AA269" s="1357"/>
      <c r="AB269" s="1357"/>
      <c r="AC269" s="1357"/>
      <c r="AD269" s="1357"/>
      <c r="AE269" s="1357"/>
      <c r="AF269" s="1357"/>
      <c r="AG269" s="1545"/>
      <c r="AH269" s="1545"/>
      <c r="AI269" s="1357"/>
      <c r="AJ269" s="1357"/>
      <c r="AK269" s="1357"/>
      <c r="AL269" s="1357"/>
      <c r="AM269" s="1357"/>
      <c r="AN269" s="1357"/>
      <c r="AO269" s="1357"/>
      <c r="AP269" s="1357"/>
      <c r="AQ269" s="1357"/>
      <c r="AR269" s="1357"/>
      <c r="AS269" s="1357"/>
      <c r="AT269" s="1357"/>
      <c r="AU269" s="1357"/>
      <c r="AV269" s="1357"/>
      <c r="AW269" s="1357"/>
      <c r="AX269" s="1357"/>
      <c r="AY269" s="1357"/>
      <c r="AZ269" s="1357"/>
      <c r="BA269" s="1357"/>
      <c r="BB269" s="1357"/>
      <c r="BC269" s="1357"/>
    </row>
    <row r="272" ht="15" customHeight="1" spans="17:34" x14ac:dyDescent="0.25">
      <c r="Q272" s="1546"/>
      <c r="R272" s="1546"/>
      <c r="S272" s="1546"/>
      <c r="T272" s="1546"/>
      <c r="U272" s="1546"/>
      <c r="V272" s="1546"/>
      <c r="W272" s="1546"/>
      <c r="X272" s="1546"/>
      <c r="Y272" s="1546"/>
      <c r="Z272" s="1546"/>
      <c r="AA272" s="1546"/>
      <c r="AB272" s="1546"/>
      <c r="AC272" s="1546"/>
      <c r="AD272" s="1546"/>
      <c r="AE272" s="1546"/>
      <c r="AF272" s="1546"/>
      <c r="AG272" s="1546"/>
      <c r="AH272" s="1546"/>
    </row>
    <row r="273" ht="15" customHeight="1" spans="17:55" x14ac:dyDescent="0.25">
      <c r="Q273" s="1546"/>
      <c r="R273" s="1546"/>
      <c r="S273" s="1546"/>
      <c r="T273" s="1546"/>
      <c r="U273" s="1546"/>
      <c r="V273" s="1546"/>
      <c r="W273" s="1546"/>
      <c r="X273" s="1546"/>
      <c r="Y273" s="1546"/>
      <c r="Z273" s="1546"/>
      <c r="AA273" s="1546"/>
      <c r="AB273" s="1546"/>
      <c r="AC273" s="1546"/>
      <c r="AD273" s="1546"/>
      <c r="AE273" s="1546"/>
      <c r="AF273" s="1546"/>
      <c r="AG273" s="1546"/>
      <c r="AH273" s="1546"/>
      <c r="AI273" s="1547"/>
      <c r="AJ273" s="1547"/>
      <c r="AK273" s="1547"/>
      <c r="AL273" s="1546"/>
      <c r="AM273" s="1546"/>
      <c r="AN273" s="1546"/>
      <c r="AO273" s="1546"/>
      <c r="AP273" s="1546"/>
      <c r="AQ273" s="1546"/>
      <c r="AR273" s="1546"/>
      <c r="AS273" s="1546"/>
      <c r="AT273" s="1546"/>
      <c r="AU273" s="1546"/>
      <c r="AV273" s="1546"/>
      <c r="AW273" s="1546"/>
      <c r="AX273" s="1546"/>
      <c r="AY273" s="1546"/>
      <c r="AZ273" s="1546"/>
      <c r="BA273" s="1546"/>
      <c r="BB273" s="1546"/>
      <c r="BC273" s="1546"/>
    </row>
    <row r="274" ht="15" customHeight="1" spans="35:37" x14ac:dyDescent="0.25">
      <c r="AI274" s="15"/>
      <c r="AJ274" s="15"/>
      <c r="AK274" s="15"/>
    </row>
    <row r="275" ht="15" customHeight="1" spans="35:37" x14ac:dyDescent="0.25">
      <c r="AI275" s="15"/>
      <c r="AJ275" s="15"/>
      <c r="AK275" s="15"/>
    </row>
    <row r="276" ht="15" customHeight="1" spans="17:37" x14ac:dyDescent="0.25">
      <c r="Q276" s="1546"/>
      <c r="R276" s="1546"/>
      <c r="S276" s="1546"/>
      <c r="T276" s="1546"/>
      <c r="U276" s="1546"/>
      <c r="V276" s="1546"/>
      <c r="W276" s="1546"/>
      <c r="X276" s="1546"/>
      <c r="Y276" s="1546"/>
      <c r="Z276" s="1546"/>
      <c r="AA276" s="1546"/>
      <c r="AB276" s="1546"/>
      <c r="AC276" s="1546"/>
      <c r="AD276" s="1546"/>
      <c r="AE276" s="1546"/>
      <c r="AF276" s="1546"/>
      <c r="AG276" s="1546"/>
      <c r="AH276" s="1546"/>
      <c r="AI276" s="15"/>
      <c r="AJ276" s="15"/>
      <c r="AK276" s="15"/>
    </row>
    <row r="277" ht="15" customHeight="1" spans="17:55" x14ac:dyDescent="0.25">
      <c r="Q277" s="1546"/>
      <c r="R277" s="1546"/>
      <c r="S277" s="1546"/>
      <c r="T277" s="1546"/>
      <c r="U277" s="1546"/>
      <c r="V277" s="1546"/>
      <c r="W277" s="1546"/>
      <c r="X277" s="1546"/>
      <c r="Y277" s="1546"/>
      <c r="Z277" s="1546"/>
      <c r="AA277" s="1546"/>
      <c r="AB277" s="1546"/>
      <c r="AC277" s="1546"/>
      <c r="AD277" s="1546"/>
      <c r="AE277" s="1546"/>
      <c r="AF277" s="1546"/>
      <c r="AG277" s="1546"/>
      <c r="AH277" s="1546"/>
      <c r="AI277" s="1547"/>
      <c r="AJ277" s="1547"/>
      <c r="AK277" s="1547"/>
      <c r="AL277" s="1546"/>
      <c r="AM277" s="1546"/>
      <c r="AN277" s="1546"/>
      <c r="AO277" s="1546"/>
      <c r="AP277" s="1546"/>
      <c r="AQ277" s="1546"/>
      <c r="AR277" s="1546"/>
      <c r="AS277" s="1546"/>
      <c r="AT277" s="1546"/>
      <c r="AU277" s="1546"/>
      <c r="AV277" s="1546"/>
      <c r="AW277" s="1546"/>
      <c r="AX277" s="1546"/>
      <c r="AY277" s="1546"/>
      <c r="AZ277" s="1546"/>
      <c r="BA277" s="1546"/>
      <c r="BB277" s="1546"/>
      <c r="BC277" s="1546"/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9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P481"/>
  <sheetViews>
    <sheetView workbookViewId="0" zoomScale="61" zoomScaleNormal="61">
      <selection activeCell="M21" sqref="M21"/>
    </sheetView>
  </sheetViews>
  <sheetFormatPr defaultRowHeight="14.5" outlineLevelRow="0" outlineLevelCol="0" x14ac:dyDescent="0" defaultColWidth="8.83203125" customHeight="1"/>
  <cols>
    <col min="5" max="5" width="9.5" customWidth="1"/>
    <col min="6" max="6" width="10.6640625" customWidth="1"/>
    <col min="7" max="8" width="12" customWidth="1"/>
    <col min="9" max="10" width="10.5" customWidth="1"/>
    <col min="11" max="11" width="11.33203125" customWidth="1"/>
    <col min="12" max="12" width="11.5" customWidth="1"/>
    <col min="29" max="29" width="12.1640625" customWidth="1"/>
    <col min="30" max="30" width="11.6640625" customWidth="1"/>
    <col min="31" max="31" width="9.83203125" customWidth="1"/>
    <col min="32" max="32" width="10.6640625" customWidth="1"/>
    <col min="50" max="50" width="10.1640625" customWidth="1"/>
    <col min="51" max="51" width="12" customWidth="1"/>
    <col min="52" max="52" width="11.5" customWidth="1"/>
    <col min="53" max="53" width="10.5" customWidth="1"/>
    <col min="54" max="54" width="11.5" customWidth="1"/>
    <col min="70" max="72" width="10.6640625" customWidth="1"/>
    <col min="73" max="73" width="10.1640625" customWidth="1"/>
    <col min="74" max="74" width="11.5" customWidth="1"/>
    <col min="75" max="75" width="11.33203125" customWidth="1"/>
    <col min="76" max="76" width="10.6640625" customWidth="1"/>
    <col min="77" max="77" width="12" customWidth="1"/>
    <col min="81" max="81" width="10.1640625" customWidth="1"/>
    <col min="91" max="91" width="10.33203125" customWidth="1"/>
    <col min="92" max="96" width="10.83203125" customWidth="1"/>
    <col min="97" max="97" width="10.33203125" customWidth="1"/>
    <col min="98" max="98" width="13" customWidth="1"/>
    <col min="113" max="113" width="10.33203125" customWidth="1"/>
    <col min="114" max="114" width="9.83203125" customWidth="1"/>
    <col min="115" max="115" width="10" customWidth="1"/>
    <col min="118" max="118" width="11.5" customWidth="1"/>
    <col min="119" max="119" width="13" customWidth="1"/>
    <col min="120" max="120" width="12.1640625" customWidth="1"/>
    <col min="121" max="134" width="14.5" customWidth="1"/>
    <col min="135" max="135" width="11.83203125" customWidth="1"/>
    <col min="136" max="143" width="14.5" customWidth="1"/>
    <col min="157" max="157" width="11.5" customWidth="1"/>
    <col min="158" max="158" width="12.5" customWidth="1"/>
    <col min="180" max="180" width="11.6640625" customWidth="1"/>
    <col min="224" max="224" width="8.83203125" customWidth="1"/>
    <col min="225" max="225" width="11.6640625" customWidth="1"/>
    <col min="270" max="271" width="12.1640625" customWidth="1"/>
    <col min="383" max="383" width="10.83203125" customWidth="1"/>
    <col min="385" max="385" width="9.83203125" customWidth="1"/>
    <col min="386" max="386" width="15" customWidth="1"/>
    <col min="387" max="387" width="10.33203125" customWidth="1"/>
    <col min="388" max="389" width="10.5" customWidth="1"/>
    <col min="390" max="390" width="10.33203125" customWidth="1"/>
    <col min="409" max="409" width="11.1640625" customWidth="1"/>
    <col min="410" max="410" width="11.5" customWidth="1"/>
    <col min="480" max="480" width="11.83203125" customWidth="1"/>
    <col min="544" max="544" width="11.5" customWidth="1"/>
    <col min="545" max="545" width="10.5" customWidth="1"/>
  </cols>
  <sheetData>
    <row r="2" ht="23.5" customHeight="1" spans="2:16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23.5" customHeight="1" spans="2:16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ht="20.5" customHeight="1" spans="2:13" x14ac:dyDescent="0.25"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ht="28.75" customHeight="1" spans="2:681" x14ac:dyDescent="0.25"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BE5" t="s">
        <v>4</v>
      </c>
      <c r="ZE5" s="13" t="s">
        <v>5</v>
      </c>
    </row>
    <row r="6" ht="20.5" customHeight="1" spans="2:692" x14ac:dyDescent="0.25">
      <c r="B6" s="14" t="s">
        <v>6</v>
      </c>
      <c r="C6" s="15"/>
      <c r="D6" s="15"/>
      <c r="E6" s="15"/>
      <c r="F6" s="15"/>
      <c r="G6" s="15"/>
      <c r="ZE6" s="16" t="s">
        <v>2</v>
      </c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8"/>
    </row>
    <row r="7" ht="20.5" customHeight="1" spans="2:692" x14ac:dyDescent="0.25">
      <c r="B7" s="14" t="s">
        <v>7</v>
      </c>
      <c r="C7" s="15"/>
      <c r="D7" s="15"/>
      <c r="E7" s="15"/>
      <c r="F7" s="15"/>
      <c r="G7" s="15"/>
      <c r="ZE7" s="19" t="s">
        <v>3</v>
      </c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1"/>
    </row>
    <row r="8" ht="20.5" customHeight="1" spans="2:692" x14ac:dyDescent="0.25">
      <c r="B8" s="14" t="s">
        <v>8</v>
      </c>
      <c r="C8" s="15"/>
      <c r="D8" s="15"/>
      <c r="E8" s="15"/>
      <c r="F8" s="15"/>
      <c r="G8" s="15"/>
      <c r="ZE8" s="22" t="s">
        <v>9</v>
      </c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1"/>
    </row>
    <row r="9" ht="17.25" customHeight="1" spans="2:692" x14ac:dyDescent="0.25">
      <c r="B9" s="14" t="s">
        <v>10</v>
      </c>
      <c r="C9" s="15"/>
      <c r="D9" s="15"/>
      <c r="E9" s="15"/>
      <c r="F9" s="15"/>
      <c r="G9" s="1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ZE9" s="22" t="s">
        <v>11</v>
      </c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1"/>
    </row>
    <row r="10" ht="21" customHeight="1" spans="11:692" x14ac:dyDescent="0.25">
      <c r="K10" s="25"/>
      <c r="L10" s="25"/>
      <c r="M10" s="25"/>
      <c r="N10" s="25"/>
      <c r="O10" s="25"/>
      <c r="P10" s="25"/>
      <c r="Q10" s="25"/>
      <c r="R10" s="25"/>
      <c r="S10" s="25"/>
      <c r="T10" s="25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V10" s="26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TX10" s="27"/>
      <c r="ZE10" s="22" t="s">
        <v>12</v>
      </c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1"/>
    </row>
    <row r="11" ht="21" customHeight="1" spans="7:692" x14ac:dyDescent="0.25">
      <c r="G11" s="28" t="s">
        <v>13</v>
      </c>
      <c r="H11" s="29" t="s">
        <v>14</v>
      </c>
      <c r="I11" s="30" t="s">
        <v>15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AD11" s="28" t="s">
        <v>13</v>
      </c>
      <c r="AE11" s="29" t="s">
        <v>16</v>
      </c>
      <c r="AF11" s="32" t="s">
        <v>17</v>
      </c>
      <c r="AG11" s="33" t="s">
        <v>15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4">
        <v>2035</v>
      </c>
      <c r="AT11" s="35"/>
      <c r="AU11" s="36"/>
      <c r="BA11" s="28" t="s">
        <v>13</v>
      </c>
      <c r="BB11" s="29" t="s">
        <v>18</v>
      </c>
      <c r="BC11" s="30" t="s">
        <v>15</v>
      </c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4">
        <v>2035</v>
      </c>
      <c r="BP11" s="35"/>
      <c r="BQ11" s="36"/>
      <c r="BW11" s="28" t="s">
        <v>13</v>
      </c>
      <c r="BX11" s="29" t="s">
        <v>19</v>
      </c>
      <c r="BY11" s="29" t="s">
        <v>20</v>
      </c>
      <c r="BZ11" s="30" t="s">
        <v>15</v>
      </c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24"/>
      <c r="CT11" s="28" t="s">
        <v>13</v>
      </c>
      <c r="CU11" s="29" t="s">
        <v>21</v>
      </c>
      <c r="CV11" s="30" t="s">
        <v>15</v>
      </c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4">
        <v>2035</v>
      </c>
      <c r="DI11" s="35"/>
      <c r="DJ11" s="36"/>
      <c r="DO11" s="28" t="s">
        <v>13</v>
      </c>
      <c r="DP11" s="29" t="s">
        <v>22</v>
      </c>
      <c r="DQ11" s="29" t="s">
        <v>23</v>
      </c>
      <c r="DR11" s="30" t="s">
        <v>24</v>
      </c>
      <c r="DS11" s="31"/>
      <c r="DT11" s="31"/>
      <c r="DU11" s="31"/>
      <c r="DV11" s="31"/>
      <c r="DW11" s="31"/>
      <c r="DX11" s="31"/>
      <c r="DY11" s="31"/>
      <c r="DZ11" s="31"/>
      <c r="EA11" s="31"/>
      <c r="EE11" s="27"/>
      <c r="EG11" s="28" t="s">
        <v>13</v>
      </c>
      <c r="EH11" s="29" t="s">
        <v>25</v>
      </c>
      <c r="EI11" s="30" t="s">
        <v>15</v>
      </c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4">
        <v>2035</v>
      </c>
      <c r="EV11" s="35"/>
      <c r="EW11" s="36"/>
      <c r="FC11" s="28" t="s">
        <v>13</v>
      </c>
      <c r="FD11" s="29" t="s">
        <v>26</v>
      </c>
      <c r="FE11" s="30" t="s">
        <v>15</v>
      </c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4">
        <v>2035</v>
      </c>
      <c r="FR11" s="35"/>
      <c r="FS11" s="36"/>
      <c r="FY11" s="28" t="s">
        <v>13</v>
      </c>
      <c r="FZ11" s="29" t="s">
        <v>27</v>
      </c>
      <c r="GA11" s="30" t="s">
        <v>15</v>
      </c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4">
        <v>2035</v>
      </c>
      <c r="GN11" s="35"/>
      <c r="GO11" s="36"/>
      <c r="GU11" s="28" t="s">
        <v>13</v>
      </c>
      <c r="GV11" s="29" t="s">
        <v>28</v>
      </c>
      <c r="GW11" s="29" t="s">
        <v>29</v>
      </c>
      <c r="GX11" s="30" t="s">
        <v>15</v>
      </c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4">
        <v>2035</v>
      </c>
      <c r="HJ11" s="35"/>
      <c r="HK11" s="36"/>
      <c r="HR11" s="28" t="s">
        <v>13</v>
      </c>
      <c r="HS11" s="29" t="s">
        <v>30</v>
      </c>
      <c r="HT11" s="30" t="s">
        <v>15</v>
      </c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4">
        <v>2035</v>
      </c>
      <c r="IG11" s="35"/>
      <c r="IH11" s="36"/>
      <c r="IN11" s="28" t="s">
        <v>13</v>
      </c>
      <c r="IO11" s="29" t="s">
        <v>31</v>
      </c>
      <c r="IP11" s="29" t="s">
        <v>32</v>
      </c>
      <c r="IQ11" s="30" t="s">
        <v>33</v>
      </c>
      <c r="IR11" s="31"/>
      <c r="IS11" s="31"/>
      <c r="IT11" s="31"/>
      <c r="IU11" s="31"/>
      <c r="IV11" s="31"/>
      <c r="IW11" s="31"/>
      <c r="IX11" s="31"/>
      <c r="IY11" s="31"/>
      <c r="IZ11" s="31"/>
      <c r="JJ11" s="27"/>
      <c r="JL11" s="28" t="s">
        <v>13</v>
      </c>
      <c r="JM11" s="29" t="s">
        <v>34</v>
      </c>
      <c r="JN11" s="30" t="s">
        <v>15</v>
      </c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4">
        <v>2035</v>
      </c>
      <c r="KA11" s="35"/>
      <c r="KB11" s="36"/>
      <c r="KH11" s="28" t="s">
        <v>13</v>
      </c>
      <c r="KI11" s="29" t="s">
        <v>35</v>
      </c>
      <c r="KJ11" s="29" t="s">
        <v>35</v>
      </c>
      <c r="KK11" s="30" t="s">
        <v>15</v>
      </c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4">
        <v>2035</v>
      </c>
      <c r="KX11" s="35"/>
      <c r="KY11" s="36"/>
      <c r="LE11" s="28" t="s">
        <v>13</v>
      </c>
      <c r="LF11" s="29" t="s">
        <v>36</v>
      </c>
      <c r="LG11" s="30" t="s">
        <v>15</v>
      </c>
      <c r="LH11" s="29" t="s">
        <v>37</v>
      </c>
      <c r="LI11" s="30" t="s">
        <v>15</v>
      </c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4">
        <v>2035</v>
      </c>
      <c r="LU11" s="35"/>
      <c r="LV11" s="36"/>
      <c r="MB11" s="28" t="s">
        <v>13</v>
      </c>
      <c r="MC11" s="29" t="s">
        <v>38</v>
      </c>
      <c r="MD11" s="30" t="s">
        <v>15</v>
      </c>
      <c r="ME11" s="31"/>
      <c r="MF11" s="31"/>
      <c r="MG11" s="31"/>
      <c r="MH11" s="31"/>
      <c r="MI11" s="31"/>
      <c r="MJ11" s="31"/>
      <c r="MK11" s="31"/>
      <c r="ML11" s="31"/>
      <c r="MM11" s="31"/>
      <c r="MY11" s="28" t="s">
        <v>13</v>
      </c>
      <c r="MZ11" s="29" t="s">
        <v>39</v>
      </c>
      <c r="NA11" s="30" t="s">
        <v>15</v>
      </c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4">
        <v>2035</v>
      </c>
      <c r="NN11" s="35"/>
      <c r="NO11" s="36"/>
      <c r="NV11" s="28" t="s">
        <v>13</v>
      </c>
      <c r="NW11" s="29" t="s">
        <v>40</v>
      </c>
      <c r="NX11" s="29" t="s">
        <v>41</v>
      </c>
      <c r="NY11" s="29" t="s">
        <v>42</v>
      </c>
      <c r="NZ11" s="29" t="s">
        <v>43</v>
      </c>
      <c r="OA11" s="31"/>
      <c r="OB11" s="31"/>
      <c r="OC11" s="31"/>
      <c r="OD11" s="31"/>
      <c r="OE11" s="31"/>
      <c r="OF11" s="31"/>
      <c r="OG11" s="31"/>
      <c r="OH11" s="31"/>
      <c r="OI11" s="31"/>
      <c r="OS11" s="27"/>
      <c r="OU11" s="28" t="s">
        <v>13</v>
      </c>
      <c r="OV11" s="29" t="s">
        <v>44</v>
      </c>
      <c r="OW11" s="30" t="s">
        <v>15</v>
      </c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Q11" s="28" t="s">
        <v>13</v>
      </c>
      <c r="PR11" s="29" t="s">
        <v>45</v>
      </c>
      <c r="PS11" s="30" t="s">
        <v>15</v>
      </c>
      <c r="PT11" s="31"/>
      <c r="PU11" s="31"/>
      <c r="PV11" s="31"/>
      <c r="PW11" s="31"/>
      <c r="PX11" s="31"/>
      <c r="PY11" s="31"/>
      <c r="PZ11" s="31"/>
      <c r="QA11" s="31"/>
      <c r="QB11" s="31"/>
      <c r="QM11" s="28" t="s">
        <v>13</v>
      </c>
      <c r="QN11" s="29" t="s">
        <v>14</v>
      </c>
      <c r="QO11" s="30" t="s">
        <v>15</v>
      </c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4">
        <v>2035</v>
      </c>
      <c r="RB11" s="35"/>
      <c r="RC11" s="36"/>
      <c r="RJ11" s="28" t="s">
        <v>13</v>
      </c>
      <c r="RK11" s="29" t="s">
        <v>46</v>
      </c>
      <c r="RL11" s="29" t="s">
        <v>47</v>
      </c>
      <c r="RM11" s="30" t="s">
        <v>15</v>
      </c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G11" s="28" t="s">
        <v>13</v>
      </c>
      <c r="SH11" s="29" t="s">
        <v>48</v>
      </c>
      <c r="SI11" s="30" t="s">
        <v>15</v>
      </c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TC11" s="28" t="s">
        <v>13</v>
      </c>
      <c r="TD11" s="29" t="s">
        <v>16</v>
      </c>
      <c r="TE11" s="30" t="s">
        <v>15</v>
      </c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X11" s="27"/>
      <c r="TZ11" s="28" t="s">
        <v>13</v>
      </c>
      <c r="UA11" s="29" t="s">
        <v>49</v>
      </c>
      <c r="UB11" s="29" t="s">
        <v>50</v>
      </c>
      <c r="UC11" s="30" t="s">
        <v>15</v>
      </c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4">
        <v>2035</v>
      </c>
      <c r="UP11" s="35"/>
      <c r="UQ11" s="36"/>
      <c r="UW11" s="28" t="s">
        <v>13</v>
      </c>
      <c r="UX11" s="29" t="s">
        <v>51</v>
      </c>
      <c r="UY11" s="30" t="s">
        <v>15</v>
      </c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4">
        <v>2035</v>
      </c>
      <c r="VL11" s="35"/>
      <c r="VM11" s="36"/>
      <c r="VS11" s="28" t="s">
        <v>13</v>
      </c>
      <c r="VT11" s="29" t="s">
        <v>14</v>
      </c>
      <c r="VU11" s="30" t="s">
        <v>15</v>
      </c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4">
        <v>2035</v>
      </c>
      <c r="WH11" s="35"/>
      <c r="WI11" s="36"/>
      <c r="WO11" s="28" t="s">
        <v>13</v>
      </c>
      <c r="WP11" s="29" t="s">
        <v>38</v>
      </c>
      <c r="WQ11" s="29" t="s">
        <v>52</v>
      </c>
      <c r="WR11" s="30" t="s">
        <v>15</v>
      </c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4">
        <v>2035</v>
      </c>
      <c r="XE11" s="35"/>
      <c r="XF11" s="36"/>
      <c r="XK11" s="28" t="s">
        <v>13</v>
      </c>
      <c r="XL11" s="37" t="s">
        <v>53</v>
      </c>
      <c r="XM11" s="30" t="s">
        <v>15</v>
      </c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4">
        <v>2035</v>
      </c>
      <c r="XZ11" s="35"/>
      <c r="YA11" s="36"/>
      <c r="YG11" s="28" t="s">
        <v>13</v>
      </c>
      <c r="YH11" s="29" t="s">
        <v>16</v>
      </c>
      <c r="YI11" s="30" t="s">
        <v>15</v>
      </c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ZE11" s="22" t="s">
        <v>54</v>
      </c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1"/>
    </row>
    <row r="12" ht="20.5" customHeight="1" spans="7:692" x14ac:dyDescent="0.25">
      <c r="G12" s="38">
        <v>44341</v>
      </c>
      <c r="H12" s="39" t="s">
        <v>55</v>
      </c>
      <c r="I12" s="40" t="s">
        <v>55</v>
      </c>
      <c r="K12" s="31"/>
      <c r="L12" s="31"/>
      <c r="M12" s="31"/>
      <c r="N12" s="31"/>
      <c r="O12" s="31"/>
      <c r="P12" s="31"/>
      <c r="Q12" s="24"/>
      <c r="R12" s="31"/>
      <c r="S12" s="31"/>
      <c r="T12" s="31"/>
      <c r="U12" s="31"/>
      <c r="V12" s="31"/>
      <c r="W12" s="31"/>
      <c r="X12" s="31"/>
      <c r="AD12" s="38">
        <f>G12</f>
        <v>44341</v>
      </c>
      <c r="AE12" s="39" t="s">
        <v>55</v>
      </c>
      <c r="AF12" s="39" t="s">
        <v>55</v>
      </c>
      <c r="AG12" s="40" t="s">
        <v>55</v>
      </c>
      <c r="AH12" s="31"/>
      <c r="AI12" s="31"/>
      <c r="AJ12" s="31"/>
      <c r="AK12" s="31"/>
      <c r="AL12" s="31"/>
      <c r="AM12" s="31"/>
      <c r="AN12" s="24"/>
      <c r="AO12" s="31"/>
      <c r="AP12" s="31"/>
      <c r="AQ12" s="31"/>
      <c r="AR12" s="31"/>
      <c r="AS12" s="31"/>
      <c r="AT12" s="31"/>
      <c r="AU12" s="31"/>
      <c r="BA12" s="38">
        <v>43933</v>
      </c>
      <c r="BB12" s="39" t="s">
        <v>55</v>
      </c>
      <c r="BC12" s="40" t="s">
        <v>55</v>
      </c>
      <c r="BD12" s="31"/>
      <c r="BE12" s="31"/>
      <c r="BF12" s="31"/>
      <c r="BG12" s="31"/>
      <c r="BH12" s="31"/>
      <c r="BI12" s="31"/>
      <c r="BJ12" s="24"/>
      <c r="BK12" s="31"/>
      <c r="BL12" s="31"/>
      <c r="BM12" s="31"/>
      <c r="BN12" s="31"/>
      <c r="BO12" s="31"/>
      <c r="BP12" s="31"/>
      <c r="BQ12" s="31"/>
      <c r="BW12" s="38">
        <v>43933</v>
      </c>
      <c r="BX12" s="39" t="s">
        <v>55</v>
      </c>
      <c r="BY12" s="39" t="s">
        <v>55</v>
      </c>
      <c r="BZ12" s="40" t="s">
        <v>55</v>
      </c>
      <c r="CA12" s="31"/>
      <c r="CB12" s="31"/>
      <c r="CC12" s="31"/>
      <c r="CD12" s="31"/>
      <c r="CE12" s="31"/>
      <c r="CF12" s="31"/>
      <c r="CG12" s="24"/>
      <c r="CH12" s="31"/>
      <c r="CI12" s="31"/>
      <c r="CJ12" s="31"/>
      <c r="CK12" s="24"/>
      <c r="CT12" s="38">
        <v>43934</v>
      </c>
      <c r="CU12" s="39" t="s">
        <v>56</v>
      </c>
      <c r="CV12" s="39" t="s">
        <v>56</v>
      </c>
      <c r="CW12" s="31"/>
      <c r="CX12" s="31"/>
      <c r="CY12" s="31"/>
      <c r="CZ12" s="31"/>
      <c r="DA12" s="31"/>
      <c r="DB12" s="31"/>
      <c r="DC12" s="24"/>
      <c r="DD12" s="31"/>
      <c r="DE12" s="31"/>
      <c r="DF12" s="31"/>
      <c r="DG12" s="31"/>
      <c r="DH12" s="31"/>
      <c r="DI12" s="31"/>
      <c r="DJ12" s="31"/>
      <c r="DO12" s="38">
        <v>43934</v>
      </c>
      <c r="DP12" s="39" t="s">
        <v>56</v>
      </c>
      <c r="DQ12" s="39" t="s">
        <v>57</v>
      </c>
      <c r="DR12" s="39" t="s">
        <v>56</v>
      </c>
      <c r="DS12" s="31"/>
      <c r="DT12" s="31"/>
      <c r="DU12" s="31"/>
      <c r="DV12" s="31"/>
      <c r="DW12" s="31"/>
      <c r="DX12" s="24"/>
      <c r="DY12" s="31"/>
      <c r="DZ12" s="31"/>
      <c r="EA12" s="31"/>
      <c r="EE12" s="27"/>
      <c r="EG12" s="38">
        <v>44016</v>
      </c>
      <c r="EH12" s="39" t="s">
        <v>55</v>
      </c>
      <c r="EI12" s="40" t="s">
        <v>55</v>
      </c>
      <c r="EJ12" s="31"/>
      <c r="EK12" s="31"/>
      <c r="EL12" s="31"/>
      <c r="EM12" s="31"/>
      <c r="EN12" s="31"/>
      <c r="EO12" s="31"/>
      <c r="EP12" s="24"/>
      <c r="EQ12" s="31"/>
      <c r="ER12" s="31"/>
      <c r="ES12" s="31"/>
      <c r="ET12" s="31"/>
      <c r="EU12" s="31"/>
      <c r="EV12" s="31"/>
      <c r="EW12" s="31"/>
      <c r="FC12" s="38">
        <f>EG12</f>
        <v>44016</v>
      </c>
      <c r="FD12" s="39" t="s">
        <v>55</v>
      </c>
      <c r="FE12" s="40" t="s">
        <v>55</v>
      </c>
      <c r="FF12" s="31"/>
      <c r="FG12" s="31"/>
      <c r="FH12" s="31"/>
      <c r="FI12" s="31"/>
      <c r="FJ12" s="31"/>
      <c r="FK12" s="31"/>
      <c r="FL12" s="24"/>
      <c r="FM12" s="31"/>
      <c r="FN12" s="31"/>
      <c r="FO12" s="31"/>
      <c r="FP12" s="31"/>
      <c r="FQ12" s="31"/>
      <c r="FR12" s="31"/>
      <c r="FS12" s="31"/>
      <c r="FY12" s="38">
        <v>43953</v>
      </c>
      <c r="FZ12" s="39" t="s">
        <v>55</v>
      </c>
      <c r="GA12" s="40" t="s">
        <v>55</v>
      </c>
      <c r="GB12" s="31"/>
      <c r="GC12" s="31"/>
      <c r="GD12" s="31"/>
      <c r="GE12" s="31"/>
      <c r="GF12" s="31"/>
      <c r="GG12" s="31"/>
      <c r="GH12" s="24"/>
      <c r="GI12" s="31"/>
      <c r="GJ12" s="31"/>
      <c r="GK12" s="31"/>
      <c r="GL12" s="31"/>
      <c r="GM12" s="31"/>
      <c r="GN12" s="31"/>
      <c r="GO12" s="31"/>
      <c r="GU12" s="38">
        <v>43953</v>
      </c>
      <c r="GV12" s="39" t="s">
        <v>56</v>
      </c>
      <c r="GW12" s="39" t="s">
        <v>55</v>
      </c>
      <c r="GX12" s="39" t="s">
        <v>56</v>
      </c>
      <c r="GY12" s="31"/>
      <c r="GZ12" s="31"/>
      <c r="HA12" s="31"/>
      <c r="HB12" s="31"/>
      <c r="HC12" s="31"/>
      <c r="HD12" s="24"/>
      <c r="HE12" s="31"/>
      <c r="HF12" s="31"/>
      <c r="HG12" s="31"/>
      <c r="HH12" s="31"/>
      <c r="HI12" s="31"/>
      <c r="HJ12" s="31"/>
      <c r="HK12" s="31"/>
      <c r="HR12" s="38">
        <v>43931</v>
      </c>
      <c r="HS12" s="39" t="s">
        <v>55</v>
      </c>
      <c r="HT12" s="40" t="s">
        <v>55</v>
      </c>
      <c r="HU12" s="31"/>
      <c r="HV12" s="31"/>
      <c r="HW12" s="31"/>
      <c r="HX12" s="31"/>
      <c r="HY12" s="31"/>
      <c r="HZ12" s="31"/>
      <c r="IA12" s="24"/>
      <c r="IB12" s="31"/>
      <c r="IC12" s="31"/>
      <c r="ID12" s="31"/>
      <c r="IE12" s="31"/>
      <c r="IF12" s="31"/>
      <c r="IG12" s="31"/>
      <c r="IH12" s="31"/>
      <c r="IN12" s="38">
        <v>43935</v>
      </c>
      <c r="IO12" s="39" t="s">
        <v>56</v>
      </c>
      <c r="IP12" s="39" t="s">
        <v>56</v>
      </c>
      <c r="IQ12" s="39" t="s">
        <v>56</v>
      </c>
      <c r="IR12" s="31"/>
      <c r="IS12" s="31"/>
      <c r="IT12" s="31"/>
      <c r="IU12" s="31"/>
      <c r="IV12" s="31"/>
      <c r="IW12" s="24"/>
      <c r="IX12" s="31"/>
      <c r="IY12" s="31"/>
      <c r="IZ12" s="31"/>
      <c r="JJ12" s="27"/>
      <c r="JL12" s="38">
        <v>43931</v>
      </c>
      <c r="JM12" s="39" t="s">
        <v>55</v>
      </c>
      <c r="JN12" s="40" t="s">
        <v>55</v>
      </c>
      <c r="JO12" s="31"/>
      <c r="JP12" s="31"/>
      <c r="JQ12" s="31"/>
      <c r="JR12" s="31"/>
      <c r="JS12" s="31"/>
      <c r="JT12" s="31"/>
      <c r="JU12" s="24"/>
      <c r="JV12" s="31"/>
      <c r="JW12" s="31"/>
      <c r="JX12" s="31"/>
      <c r="JY12" s="31"/>
      <c r="JZ12" s="31"/>
      <c r="KA12" s="31"/>
      <c r="KB12" s="31"/>
      <c r="KH12" s="41">
        <v>43952</v>
      </c>
      <c r="KI12" s="39" t="s">
        <v>55</v>
      </c>
      <c r="KJ12" s="39" t="s">
        <v>55</v>
      </c>
      <c r="KK12" s="40" t="s">
        <v>55</v>
      </c>
      <c r="KL12" s="31"/>
      <c r="KM12" s="31"/>
      <c r="KN12" s="31"/>
      <c r="KO12" s="31"/>
      <c r="KP12" s="31"/>
      <c r="KQ12" s="31"/>
      <c r="KR12" s="24"/>
      <c r="KS12" s="31"/>
      <c r="KT12" s="31"/>
      <c r="KU12" s="31"/>
      <c r="KV12" s="31"/>
      <c r="KW12" s="31"/>
      <c r="KX12" s="31"/>
      <c r="KY12" s="31"/>
      <c r="LE12" s="38">
        <v>43931</v>
      </c>
      <c r="LF12" s="39" t="s">
        <v>58</v>
      </c>
      <c r="LG12" s="39" t="s">
        <v>58</v>
      </c>
      <c r="LH12" s="39" t="s">
        <v>58</v>
      </c>
      <c r="LI12" s="39" t="s">
        <v>58</v>
      </c>
      <c r="LJ12" s="31"/>
      <c r="LK12" s="31"/>
      <c r="LL12" s="31"/>
      <c r="LM12" s="31"/>
      <c r="LN12" s="31"/>
      <c r="LO12" s="24"/>
      <c r="LP12" s="31"/>
      <c r="LQ12" s="31"/>
      <c r="LR12" s="31"/>
      <c r="LS12" s="31"/>
      <c r="LT12" s="31"/>
      <c r="LU12" s="31"/>
      <c r="LV12" s="31"/>
      <c r="MB12" s="38">
        <v>43931</v>
      </c>
      <c r="MC12" s="39" t="s">
        <v>56</v>
      </c>
      <c r="MD12" s="39" t="s">
        <v>56</v>
      </c>
      <c r="ME12" s="31"/>
      <c r="MF12" s="31"/>
      <c r="MG12" s="31"/>
      <c r="MH12" s="31"/>
      <c r="MI12" s="31"/>
      <c r="MJ12" s="24"/>
      <c r="MK12" s="31"/>
      <c r="ML12" s="31"/>
      <c r="MM12" s="31"/>
      <c r="MY12" s="38">
        <v>43931</v>
      </c>
      <c r="MZ12" s="39" t="s">
        <v>55</v>
      </c>
      <c r="NA12" s="40" t="s">
        <v>55</v>
      </c>
      <c r="NB12" s="31"/>
      <c r="NC12" s="31"/>
      <c r="ND12" s="31"/>
      <c r="NE12" s="31"/>
      <c r="NF12" s="31"/>
      <c r="NG12" s="31"/>
      <c r="NH12" s="24"/>
      <c r="NI12" s="31"/>
      <c r="NJ12" s="31"/>
      <c r="NK12" s="31"/>
      <c r="NL12" s="31"/>
      <c r="NM12" s="31"/>
      <c r="NN12" s="31"/>
      <c r="NO12" s="31"/>
      <c r="NV12" s="38">
        <v>43935</v>
      </c>
      <c r="NW12" s="39" t="s">
        <v>55</v>
      </c>
      <c r="NX12" s="39" t="s">
        <v>55</v>
      </c>
      <c r="NY12" s="39" t="s">
        <v>55</v>
      </c>
      <c r="NZ12" s="40" t="s">
        <v>55</v>
      </c>
      <c r="OA12" s="31"/>
      <c r="OB12" s="31"/>
      <c r="OC12" s="31"/>
      <c r="OD12" s="31"/>
      <c r="OE12" s="24"/>
      <c r="OF12" s="31"/>
      <c r="OG12" s="31"/>
      <c r="OH12" s="31"/>
      <c r="OI12" s="31"/>
      <c r="OS12" s="27"/>
      <c r="OU12" s="41" t="s">
        <v>59</v>
      </c>
      <c r="OV12" s="39" t="s">
        <v>55</v>
      </c>
      <c r="OW12" s="40" t="s">
        <v>55</v>
      </c>
      <c r="OX12" s="31"/>
      <c r="OY12" s="31"/>
      <c r="OZ12" s="31"/>
      <c r="PA12" s="31"/>
      <c r="PB12" s="31"/>
      <c r="PC12" s="31"/>
      <c r="PD12" s="24"/>
      <c r="PE12" s="31"/>
      <c r="PF12" s="31"/>
      <c r="PG12" s="31"/>
      <c r="PQ12" s="38">
        <f>OU12</f>
        <v>NaN</v>
      </c>
      <c r="PR12" s="39" t="s">
        <v>55</v>
      </c>
      <c r="PS12" s="40" t="s">
        <v>55</v>
      </c>
      <c r="PT12" s="31"/>
      <c r="PU12" s="31"/>
      <c r="PV12" s="31"/>
      <c r="PW12" s="31"/>
      <c r="PX12" s="31"/>
      <c r="PY12" s="31"/>
      <c r="PZ12" s="24"/>
      <c r="QA12" s="31"/>
      <c r="QB12" s="31"/>
      <c r="QM12" s="38">
        <v>43931</v>
      </c>
      <c r="QN12" s="39" t="s">
        <v>55</v>
      </c>
      <c r="QO12" s="40" t="s">
        <v>55</v>
      </c>
      <c r="QP12" s="31"/>
      <c r="QQ12" s="31"/>
      <c r="QR12" s="31"/>
      <c r="QS12" s="31"/>
      <c r="QT12" s="31"/>
      <c r="QU12" s="31"/>
      <c r="QV12" s="24"/>
      <c r="QW12" s="31"/>
      <c r="QX12" s="31"/>
      <c r="QY12" s="31"/>
      <c r="QZ12" s="31"/>
      <c r="RA12" s="31"/>
      <c r="RB12" s="31"/>
      <c r="RC12" s="31"/>
      <c r="RJ12" s="38">
        <v>43934</v>
      </c>
      <c r="RK12" s="39" t="s">
        <v>56</v>
      </c>
      <c r="RL12" s="42" t="s">
        <v>50</v>
      </c>
      <c r="RM12" s="39" t="s">
        <v>56</v>
      </c>
      <c r="RN12" s="31"/>
      <c r="RO12" s="31"/>
      <c r="RP12" s="31"/>
      <c r="RQ12" s="31"/>
      <c r="RR12" s="31"/>
      <c r="RS12" s="31"/>
      <c r="RT12" s="24"/>
      <c r="RU12" s="31"/>
      <c r="RV12" s="31"/>
      <c r="RW12" s="31"/>
      <c r="RX12" s="31"/>
      <c r="RY12" s="31"/>
      <c r="RZ12" s="31"/>
      <c r="SG12" s="38">
        <v>43956</v>
      </c>
      <c r="SH12" s="39" t="s">
        <v>55</v>
      </c>
      <c r="SI12" s="40" t="s">
        <v>55</v>
      </c>
      <c r="SJ12" s="31"/>
      <c r="SK12" s="31"/>
      <c r="SL12" s="31"/>
      <c r="SM12" s="31"/>
      <c r="SN12" s="31"/>
      <c r="SO12" s="31"/>
      <c r="SP12" s="24"/>
      <c r="SQ12" s="31"/>
      <c r="SR12" s="31"/>
      <c r="SS12" s="31"/>
      <c r="TC12" s="38">
        <v>43931</v>
      </c>
      <c r="TD12" s="39" t="s">
        <v>55</v>
      </c>
      <c r="TE12" s="40" t="s">
        <v>55</v>
      </c>
      <c r="TF12" s="31"/>
      <c r="TG12" s="31"/>
      <c r="TH12" s="31"/>
      <c r="TI12" s="31"/>
      <c r="TJ12" s="31"/>
      <c r="TK12" s="31"/>
      <c r="TL12" s="24"/>
      <c r="TM12" s="31"/>
      <c r="TN12" s="31"/>
      <c r="TO12" s="31"/>
      <c r="TP12" s="31"/>
      <c r="TX12" s="27"/>
      <c r="TZ12" s="41">
        <v>43953</v>
      </c>
      <c r="UA12" s="39" t="s">
        <v>55</v>
      </c>
      <c r="UB12" s="39" t="s">
        <v>55</v>
      </c>
      <c r="UC12" s="40" t="s">
        <v>55</v>
      </c>
      <c r="UD12" s="31"/>
      <c r="UE12" s="31"/>
      <c r="UF12" s="31"/>
      <c r="UG12" s="31"/>
      <c r="UH12" s="31"/>
      <c r="UI12" s="31"/>
      <c r="UJ12" s="24"/>
      <c r="UK12" s="31"/>
      <c r="UL12" s="31"/>
      <c r="UM12" s="31"/>
      <c r="UN12" s="31"/>
      <c r="UO12" s="31"/>
      <c r="UP12" s="31"/>
      <c r="UQ12" s="31"/>
      <c r="UW12" s="38">
        <v>43932</v>
      </c>
      <c r="UX12" s="39" t="s">
        <v>55</v>
      </c>
      <c r="UY12" s="40" t="s">
        <v>55</v>
      </c>
      <c r="UZ12" s="31"/>
      <c r="VA12" s="31"/>
      <c r="VB12" s="31"/>
      <c r="VC12" s="31"/>
      <c r="VD12" s="31"/>
      <c r="VE12" s="31"/>
      <c r="VF12" s="24"/>
      <c r="VG12" s="31"/>
      <c r="VH12" s="31"/>
      <c r="VI12" s="31"/>
      <c r="VJ12" s="31"/>
      <c r="VK12" s="31"/>
      <c r="VL12" s="31"/>
      <c r="VM12" s="31"/>
      <c r="VS12" s="38">
        <v>43931</v>
      </c>
      <c r="VT12" s="39" t="s">
        <v>55</v>
      </c>
      <c r="VU12" s="40" t="s">
        <v>55</v>
      </c>
      <c r="VV12" s="31"/>
      <c r="VW12" s="31"/>
      <c r="VX12" s="31"/>
      <c r="VY12" s="31"/>
      <c r="VZ12" s="31"/>
      <c r="WA12" s="31"/>
      <c r="WB12" s="24"/>
      <c r="WC12" s="31"/>
      <c r="WD12" s="31"/>
      <c r="WE12" s="31"/>
      <c r="WF12" s="31"/>
      <c r="WG12" s="31"/>
      <c r="WH12" s="31"/>
      <c r="WI12" s="31"/>
      <c r="WO12" s="38">
        <v>43956</v>
      </c>
      <c r="WP12" s="39" t="s">
        <v>56</v>
      </c>
      <c r="WQ12" s="39" t="s">
        <v>56</v>
      </c>
      <c r="WR12" s="39" t="s">
        <v>56</v>
      </c>
      <c r="WS12" s="31"/>
      <c r="WT12" s="31"/>
      <c r="WU12" s="31"/>
      <c r="WV12" s="31"/>
      <c r="WW12" s="31"/>
      <c r="WX12" s="31"/>
      <c r="WY12" s="24"/>
      <c r="WZ12" s="31"/>
      <c r="XA12" s="31"/>
      <c r="XB12" s="31"/>
      <c r="XC12" s="31"/>
      <c r="XD12" s="31"/>
      <c r="XE12" s="31"/>
      <c r="XF12" s="31"/>
      <c r="XK12" s="38">
        <v>43935</v>
      </c>
      <c r="XL12" s="39" t="s">
        <v>55</v>
      </c>
      <c r="XM12" s="40" t="s">
        <v>55</v>
      </c>
      <c r="XN12" s="31"/>
      <c r="XO12" s="31"/>
      <c r="XP12" s="31"/>
      <c r="XQ12" s="31"/>
      <c r="XR12" s="31"/>
      <c r="XS12" s="31"/>
      <c r="XT12" s="24"/>
      <c r="XU12" s="31"/>
      <c r="XV12" s="31"/>
      <c r="XW12" s="31"/>
      <c r="XX12" s="31"/>
      <c r="XY12" s="31"/>
      <c r="XZ12" s="31"/>
      <c r="YA12" s="31"/>
      <c r="YG12" s="38">
        <v>43931</v>
      </c>
      <c r="YH12" s="39" t="s">
        <v>55</v>
      </c>
      <c r="YI12" s="40" t="s">
        <v>55</v>
      </c>
      <c r="YJ12" s="31"/>
      <c r="YK12" s="31"/>
      <c r="YL12" s="31"/>
      <c r="YM12" s="31"/>
      <c r="YN12" s="31"/>
      <c r="YO12" s="31"/>
      <c r="YP12" s="24"/>
      <c r="YQ12" s="31"/>
      <c r="YR12" s="31"/>
      <c r="YS12" s="31"/>
      <c r="YT12" s="31"/>
      <c r="ZE12" s="22" t="s">
        <v>60</v>
      </c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1"/>
    </row>
    <row r="13" ht="20.5" customHeight="1" spans="7:692" x14ac:dyDescent="0.25">
      <c r="G13" s="43">
        <v>1995</v>
      </c>
      <c r="H13" s="44">
        <f t="array" ref="H13:H38">TRANSPOSE(ОТЧЁТ!U127:AT127)</f>
        <v>0.959</v>
      </c>
      <c r="I13" s="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AD13" s="43">
        <v>1995</v>
      </c>
      <c r="AE13" s="46">
        <v>1</v>
      </c>
      <c r="AF13" s="17"/>
      <c r="AG13" s="47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BA13" s="43">
        <v>1995</v>
      </c>
      <c r="BB13" s="48">
        <f t="array" ref="BB13:BB36">TRANSPOSE(СЧЁТ!O22:AL22)</f>
        <v>1</v>
      </c>
      <c r="BC13" s="45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W13" s="43">
        <v>1995</v>
      </c>
      <c r="BX13" s="46">
        <f>ОТЧЁТ!EE413</f>
        <v>1</v>
      </c>
      <c r="BY13" s="46">
        <v>1</v>
      </c>
      <c r="BZ13" s="47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24"/>
      <c r="CT13" s="43">
        <v>1995</v>
      </c>
      <c r="CU13" s="49">
        <v>230.407</v>
      </c>
      <c r="CV13" s="47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O13" s="43">
        <v>1995</v>
      </c>
      <c r="DP13" s="49">
        <f t="shared" ref="DP13:DP36" si="0">CU13</f>
        <v>230.407</v>
      </c>
      <c r="DQ13" s="17"/>
      <c r="DR13" s="50">
        <v>266.974</v>
      </c>
      <c r="DS13" s="51"/>
      <c r="DT13" s="51"/>
      <c r="DU13" s="51"/>
      <c r="DV13" s="51"/>
      <c r="DW13" s="51"/>
      <c r="DX13" s="51"/>
      <c r="DY13" s="51"/>
      <c r="DZ13" s="51"/>
      <c r="EA13" s="51"/>
      <c r="EE13" s="27"/>
      <c r="EG13" s="43">
        <v>1995</v>
      </c>
      <c r="EH13" s="52">
        <v>0.899</v>
      </c>
      <c r="EI13" s="52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FC13" s="43">
        <v>1995</v>
      </c>
      <c r="FD13" s="46">
        <v>1</v>
      </c>
      <c r="FE13" s="47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Y13" s="43">
        <v>1995</v>
      </c>
      <c r="FZ13" s="44">
        <v>1.07</v>
      </c>
      <c r="GA13" s="47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U13" s="43">
        <v>1995</v>
      </c>
      <c r="GV13" s="53">
        <v>1</v>
      </c>
      <c r="GW13" s="53">
        <f t="shared" ref="GW13:GW53" si="1">10*HS13</f>
        <v>1.3365369276604215</v>
      </c>
      <c r="GX13" s="47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R13" s="43">
        <v>1995</v>
      </c>
      <c r="HS13" s="54">
        <f t="array" ref="HS13:HS53">TRANSPOSE(СЧЁТ!O13:BC13)</f>
        <v>0.13365369276604216</v>
      </c>
      <c r="HT13" s="47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N13" s="43">
        <v>1995</v>
      </c>
      <c r="IO13" s="55">
        <v>230.407</v>
      </c>
      <c r="IP13" s="17"/>
      <c r="IQ13" s="56">
        <v>266.974</v>
      </c>
      <c r="IR13" s="51"/>
      <c r="IS13" s="51"/>
      <c r="IT13" s="51"/>
      <c r="IU13" s="51"/>
      <c r="IV13" s="51"/>
      <c r="IW13" s="51"/>
      <c r="IX13" s="51"/>
      <c r="IY13" s="51"/>
      <c r="IZ13" s="51"/>
      <c r="JJ13" s="27"/>
      <c r="JL13" s="43">
        <v>1995</v>
      </c>
      <c r="JM13" s="46">
        <f t="array" ref="JM13:JM36">TRANSPOSE(ОТЧЁТ!U135:AR135)</f>
        <v>0.972</v>
      </c>
      <c r="JN13" s="47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H13" s="43">
        <v>1995</v>
      </c>
      <c r="KI13" s="46">
        <v>1</v>
      </c>
      <c r="KJ13" s="17"/>
      <c r="KK13" s="47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LE13" s="43">
        <v>1995</v>
      </c>
      <c r="LF13" s="57">
        <f t="array" ref="LF13:LF36">TRANSPOSE(ОТЧЁТ!U91:AR91)</f>
        <v>64.055</v>
      </c>
      <c r="LG13" s="47"/>
      <c r="LH13" s="57">
        <v>6.684</v>
      </c>
      <c r="LI13" s="47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MB13" s="43">
        <v>1995</v>
      </c>
      <c r="MC13" s="58">
        <v>2767.6205</v>
      </c>
      <c r="MD13" s="47"/>
      <c r="ME13" s="31"/>
      <c r="MF13" s="31"/>
      <c r="MG13" s="31"/>
      <c r="MH13" s="31"/>
      <c r="MI13" s="31"/>
      <c r="MJ13" s="31"/>
      <c r="MK13" s="31"/>
      <c r="ML13" s="31"/>
      <c r="MM13" s="31"/>
      <c r="MY13" s="43">
        <v>1995</v>
      </c>
      <c r="MZ13" s="57">
        <f t="shared" ref="MZ13:MZ36" si="2">MC13/LF13</f>
        <v>43.206939348996954</v>
      </c>
      <c r="NA13" s="47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V13" s="43">
        <v>1995</v>
      </c>
      <c r="NW13" s="46">
        <v>1</v>
      </c>
      <c r="NX13" s="57">
        <v>1</v>
      </c>
      <c r="NY13" s="46">
        <v>1</v>
      </c>
      <c r="NZ13" s="47">
        <v>1</v>
      </c>
      <c r="OA13" s="31"/>
      <c r="OB13" s="31"/>
      <c r="OC13" s="31"/>
      <c r="OD13" s="31"/>
      <c r="OE13" s="31"/>
      <c r="OF13" s="31"/>
      <c r="OG13" s="31"/>
      <c r="OH13" s="31"/>
      <c r="OI13" s="31"/>
      <c r="OS13" s="27"/>
      <c r="OU13" s="43">
        <v>1995</v>
      </c>
      <c r="OV13" s="46">
        <v>1.011</v>
      </c>
      <c r="OW13" s="47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Q13" s="43">
        <v>1995</v>
      </c>
      <c r="PR13" s="46">
        <v>1</v>
      </c>
      <c r="PS13" s="47"/>
      <c r="PT13" s="31"/>
      <c r="PU13" s="31"/>
      <c r="PV13" s="31"/>
      <c r="PW13" s="31"/>
      <c r="PX13" s="31"/>
      <c r="PY13" s="31"/>
      <c r="PZ13" s="31"/>
      <c r="QA13" s="31"/>
      <c r="QB13" s="31"/>
      <c r="QM13" s="43">
        <v>1995</v>
      </c>
      <c r="QN13" s="46">
        <v>0.959</v>
      </c>
      <c r="QO13" s="47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I13" s="59">
        <v>1</v>
      </c>
      <c r="RJ13" s="43">
        <v>1995</v>
      </c>
      <c r="RK13" s="55">
        <v>5306</v>
      </c>
      <c r="RL13" s="55"/>
      <c r="RM13" s="47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G13" s="43">
        <v>1995</v>
      </c>
      <c r="SH13" s="46">
        <f t="shared" ref="SH13:SH36" si="3">MC13/RK13</f>
        <v>0.5216020542781756</v>
      </c>
      <c r="SI13" s="47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TC13" s="43">
        <v>1995</v>
      </c>
      <c r="TD13" s="46">
        <v>1</v>
      </c>
      <c r="TE13" s="47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X13" s="27"/>
      <c r="TZ13" s="43">
        <v>1995</v>
      </c>
      <c r="UA13" s="46">
        <v>0.9</v>
      </c>
      <c r="UC13" s="47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W13" s="43">
        <v>1995</v>
      </c>
      <c r="UX13" s="60">
        <v>1</v>
      </c>
      <c r="UY13" s="47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S13" s="43">
        <v>1995</v>
      </c>
      <c r="VT13" s="46">
        <v>0.959</v>
      </c>
      <c r="VU13" s="47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O13" s="43">
        <v>1995</v>
      </c>
      <c r="WP13" s="58">
        <v>2767.6205</v>
      </c>
      <c r="WQ13" s="55"/>
      <c r="WR13" s="56">
        <v>2767.6205</v>
      </c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K13" s="61">
        <v>1995</v>
      </c>
      <c r="XL13" s="44">
        <v>1</v>
      </c>
      <c r="XM13" s="47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G13" s="43">
        <v>1995</v>
      </c>
      <c r="YH13" s="46">
        <v>1</v>
      </c>
      <c r="YI13" s="47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ZE13" s="22" t="s">
        <v>61</v>
      </c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1"/>
    </row>
    <row r="14" ht="20.5" customHeight="1" spans="7:692" x14ac:dyDescent="0.25">
      <c r="G14" s="62">
        <v>1996</v>
      </c>
      <c r="H14" s="44">
        <v>0.964</v>
      </c>
      <c r="I14" s="5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AD14" s="62">
        <v>1996</v>
      </c>
      <c r="AE14" s="46">
        <f t="shared" ref="AE14:AE38" si="4">AE13*H14</f>
        <v>0.964</v>
      </c>
      <c r="AF14" s="20"/>
      <c r="AG14" s="63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BA14" s="62">
        <v>1996</v>
      </c>
      <c r="BB14" s="48">
        <v>1.1463921152743077</v>
      </c>
      <c r="BC14" s="52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W14" s="62">
        <v>1996</v>
      </c>
      <c r="BX14" s="46">
        <f>ОТЧЁТ!EE414</f>
        <v>1.0551238685898738</v>
      </c>
      <c r="BY14" s="46">
        <v>1.037</v>
      </c>
      <c r="BZ14" s="63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T14" s="62">
        <v>1996</v>
      </c>
      <c r="CU14" s="49">
        <v>197.18216614420064</v>
      </c>
      <c r="CV14" s="63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O14" s="62">
        <v>1996</v>
      </c>
      <c r="DP14" s="49">
        <f t="shared" si="0"/>
        <v>197.18216614420064</v>
      </c>
      <c r="DQ14" s="20"/>
      <c r="DR14" s="64">
        <v>218.651706</v>
      </c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65"/>
      <c r="EG14" s="62">
        <v>1996</v>
      </c>
      <c r="EH14" s="52">
        <v>0.819</v>
      </c>
      <c r="EI14" s="52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FC14" s="62">
        <v>1996</v>
      </c>
      <c r="FD14" s="46">
        <v>0.819</v>
      </c>
      <c r="FE14" s="63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Y14" s="62">
        <v>1996</v>
      </c>
      <c r="FZ14" s="44">
        <f t="shared" ref="FZ14:FZ36" si="5">GV14/GV13</f>
        <v>1.013</v>
      </c>
      <c r="GA14" s="63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U14" s="62">
        <v>1996</v>
      </c>
      <c r="GV14" s="53">
        <f>СЧЁТ!CN7</f>
        <v>1.013</v>
      </c>
      <c r="GW14" s="53">
        <f t="shared" si="1"/>
        <v>1.3929134853086491</v>
      </c>
      <c r="GX14" s="63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R14" s="62">
        <v>1996</v>
      </c>
      <c r="HS14" s="54">
        <v>0.13929134853086492</v>
      </c>
      <c r="HT14" s="63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N14" s="62">
        <v>1996</v>
      </c>
      <c r="IO14" s="55">
        <v>334.302</v>
      </c>
      <c r="IP14" s="20"/>
      <c r="IQ14" s="66">
        <v>375.958</v>
      </c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J14" s="27"/>
      <c r="JL14" s="62">
        <v>1996</v>
      </c>
      <c r="JM14" s="46">
        <v>0.951</v>
      </c>
      <c r="JN14" s="63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H14" s="62">
        <v>1996</v>
      </c>
      <c r="KI14" s="46">
        <v>0.951</v>
      </c>
      <c r="KJ14" s="20"/>
      <c r="KK14" s="63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LE14" s="62">
        <v>1996</v>
      </c>
      <c r="LF14" s="57">
        <v>62.928</v>
      </c>
      <c r="LG14" s="63"/>
      <c r="LH14" s="57">
        <v>6.732</v>
      </c>
      <c r="LI14" s="63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MB14" s="62">
        <v>1996</v>
      </c>
      <c r="MC14" s="67">
        <v>2690.127126</v>
      </c>
      <c r="MD14" s="63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Y14" s="62">
        <v>1996</v>
      </c>
      <c r="MZ14" s="57">
        <f t="shared" si="2"/>
        <v>42.7492868993135</v>
      </c>
      <c r="NA14" s="63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V14" s="62">
        <v>1996</v>
      </c>
      <c r="NW14" s="46">
        <v>1.695396731545807</v>
      </c>
      <c r="NX14" s="57">
        <v>1.218</v>
      </c>
      <c r="NY14" s="46">
        <v>2.4661634872716665</v>
      </c>
      <c r="NZ14" s="63">
        <v>1.7194377618988257</v>
      </c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S14" s="27"/>
      <c r="OU14" s="62">
        <v>1996</v>
      </c>
      <c r="OV14" s="46">
        <f>PR14/PR13</f>
        <v>1.031</v>
      </c>
      <c r="OW14" s="63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Q14" s="62">
        <v>1996</v>
      </c>
      <c r="PR14" s="46">
        <f>СЧЁТ!CI7</f>
        <v>1.031</v>
      </c>
      <c r="PS14" s="63"/>
      <c r="PT14" s="31"/>
      <c r="PU14" s="31"/>
      <c r="PV14" s="31"/>
      <c r="PW14" s="31"/>
      <c r="PX14" s="31"/>
      <c r="PY14" s="31"/>
      <c r="PZ14" s="31"/>
      <c r="QA14" s="31"/>
      <c r="QB14" s="31"/>
      <c r="QM14" s="62">
        <v>1996</v>
      </c>
      <c r="QN14" s="46">
        <v>0.964</v>
      </c>
      <c r="QO14" s="63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I14" s="59">
        <v>2</v>
      </c>
      <c r="RJ14" s="62">
        <v>1996</v>
      </c>
      <c r="RK14" s="55">
        <v>5300.694</v>
      </c>
      <c r="RL14" s="55"/>
      <c r="RM14" s="63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G14" s="62">
        <v>1996</v>
      </c>
      <c r="SH14" s="46">
        <f t="shared" si="3"/>
        <v>0.5075047014598465</v>
      </c>
      <c r="SI14" s="63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TC14" s="62">
        <v>1996</v>
      </c>
      <c r="TD14" s="46">
        <v>0.964</v>
      </c>
      <c r="TE14" s="63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X14" s="27"/>
      <c r="TZ14" s="62">
        <v>1996</v>
      </c>
      <c r="UA14" s="46">
        <f t="shared" ref="UA14:UA36" si="6">UX14/UX13</f>
        <v>1.006</v>
      </c>
      <c r="UC14" s="63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W14" s="62">
        <v>1996</v>
      </c>
      <c r="UX14" s="60">
        <f>СЧЁТ!CK7</f>
        <v>1.006</v>
      </c>
      <c r="UY14" s="63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S14" s="62">
        <v>1996</v>
      </c>
      <c r="VT14" s="46">
        <v>0.964</v>
      </c>
      <c r="VU14" s="63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O14" s="62">
        <v>1996</v>
      </c>
      <c r="WP14" s="67">
        <v>2690.127126</v>
      </c>
      <c r="WQ14" s="55"/>
      <c r="WR14" s="66">
        <v>2690.127126</v>
      </c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K14" s="68">
        <v>1996</v>
      </c>
      <c r="XL14" s="44">
        <v>1</v>
      </c>
      <c r="XM14" s="63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G14" s="62">
        <v>1996</v>
      </c>
      <c r="YH14" s="46">
        <v>0.964</v>
      </c>
      <c r="YI14" s="63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ZE14" s="22" t="s">
        <v>62</v>
      </c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1"/>
    </row>
    <row r="15" ht="20.5" customHeight="1" spans="7:692" x14ac:dyDescent="0.25">
      <c r="G15" s="62">
        <v>1997</v>
      </c>
      <c r="H15" s="44">
        <v>1.014</v>
      </c>
      <c r="I15" s="5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AD15" s="62">
        <v>1997</v>
      </c>
      <c r="AE15" s="46">
        <f t="shared" si="4"/>
        <v>0.977496</v>
      </c>
      <c r="AF15" s="20"/>
      <c r="AG15" s="63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BA15" s="62">
        <v>1997</v>
      </c>
      <c r="BB15" s="48">
        <v>1.2513079717780982</v>
      </c>
      <c r="BC15" s="52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W15" s="62">
        <v>1997</v>
      </c>
      <c r="BX15" s="46">
        <f>ОТЧЁТ!EE415</f>
        <v>1.0637144494078237</v>
      </c>
      <c r="BY15" s="46">
        <v>1.031815</v>
      </c>
      <c r="BZ15" s="63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T15" s="62">
        <v>1997</v>
      </c>
      <c r="CU15" s="49">
        <v>168.2910062695925</v>
      </c>
      <c r="CV15" s="63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O15" s="62">
        <v>1997</v>
      </c>
      <c r="DP15" s="49">
        <f t="shared" si="0"/>
        <v>168.2910062695925</v>
      </c>
      <c r="DQ15" s="53">
        <f>DP15/(0.7*DR15+0.2*DR14+0.1*DR13)</f>
        <v>0.7797346454621669</v>
      </c>
      <c r="DR15" s="64">
        <v>207.7191207</v>
      </c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65"/>
      <c r="EG15" s="62">
        <v>1997</v>
      </c>
      <c r="EH15" s="52">
        <v>0.95</v>
      </c>
      <c r="EI15" s="52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FC15" s="62">
        <v>1997</v>
      </c>
      <c r="FD15" s="46">
        <v>0.7780499999999999</v>
      </c>
      <c r="FE15" s="63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Y15" s="62">
        <v>1997</v>
      </c>
      <c r="FZ15" s="44">
        <f t="shared" si="5"/>
        <v>1.004</v>
      </c>
      <c r="GA15" s="63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U15" s="62">
        <v>1997</v>
      </c>
      <c r="GV15" s="53">
        <f>СЧЁТ!CN8</f>
        <v>1.0170519999999998</v>
      </c>
      <c r="GW15" s="53">
        <f t="shared" si="1"/>
        <v>1.379176665926907</v>
      </c>
      <c r="GX15" s="63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R15" s="62">
        <v>1997</v>
      </c>
      <c r="HS15" s="54">
        <v>0.1379176665926907</v>
      </c>
      <c r="HT15" s="63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N15" s="62">
        <v>1997</v>
      </c>
      <c r="IO15" s="55">
        <v>406.472</v>
      </c>
      <c r="IP15" s="55">
        <f t="shared" ref="IP15:IP36" si="7">0.7*IQ15+0.2*IQ14+0.1*IQ13</f>
        <v>388.0469</v>
      </c>
      <c r="IQ15" s="66">
        <v>408.797</v>
      </c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J15" s="27"/>
      <c r="JL15" s="62">
        <v>1997</v>
      </c>
      <c r="JM15" s="46">
        <v>1.05</v>
      </c>
      <c r="JN15" s="63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H15" s="62">
        <v>1997</v>
      </c>
      <c r="KI15" s="46">
        <v>0.99855</v>
      </c>
      <c r="KJ15" s="46">
        <f>KI15</f>
        <v>0.99855</v>
      </c>
      <c r="KK15" s="63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LE15" s="62">
        <v>1997</v>
      </c>
      <c r="LF15" s="57">
        <v>60.021</v>
      </c>
      <c r="LG15" s="63"/>
      <c r="LH15" s="57">
        <v>8.058</v>
      </c>
      <c r="LI15" s="63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MB15" s="62">
        <v>1997</v>
      </c>
      <c r="MC15" s="67">
        <v>2727.788905764</v>
      </c>
      <c r="MD15" s="63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Y15" s="62">
        <v>1997</v>
      </c>
      <c r="MZ15" s="57">
        <f t="shared" si="2"/>
        <v>45.44724189473684</v>
      </c>
      <c r="NA15" s="63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V15" s="62">
        <v>1997</v>
      </c>
      <c r="NW15" s="46">
        <v>2.415292468742241</v>
      </c>
      <c r="NX15" s="57">
        <v>1.3519800000000002</v>
      </c>
      <c r="NY15" s="46">
        <v>2.5165818894824628</v>
      </c>
      <c r="NZ15" s="63">
        <v>1.9680277801214476</v>
      </c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S15" s="27"/>
      <c r="OU15" s="62">
        <v>1997</v>
      </c>
      <c r="OV15" s="46">
        <f t="shared" ref="OV15:OV36" si="8">PR15/PR14</f>
        <v>0.9759999999999999</v>
      </c>
      <c r="OW15" s="63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Q15" s="62">
        <v>1997</v>
      </c>
      <c r="PR15" s="46">
        <f>СЧЁТ!CI8</f>
        <v>1.0062559999999998</v>
      </c>
      <c r="PS15" s="63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M15" s="62">
        <v>1997</v>
      </c>
      <c r="QN15" s="46">
        <v>1.014</v>
      </c>
      <c r="QO15" s="63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I15" s="59">
        <v>3</v>
      </c>
      <c r="RJ15" s="62">
        <v>1997</v>
      </c>
      <c r="RK15" s="55">
        <v>5279.491224</v>
      </c>
      <c r="RL15" s="55"/>
      <c r="RM15" s="63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G15" s="62">
        <v>1997</v>
      </c>
      <c r="SH15" s="46">
        <f t="shared" si="3"/>
        <v>0.5166764731729763</v>
      </c>
      <c r="SI15" s="63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TC15" s="62">
        <v>1997</v>
      </c>
      <c r="TD15" s="46">
        <v>0.977496</v>
      </c>
      <c r="TE15" s="63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X15" s="27"/>
      <c r="TZ15" s="62">
        <v>1997</v>
      </c>
      <c r="UA15" s="46">
        <f t="shared" si="6"/>
        <v>0.992</v>
      </c>
      <c r="UC15" s="63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W15" s="62">
        <v>1997</v>
      </c>
      <c r="UX15" s="60">
        <f>СЧЁТ!CK8</f>
        <v>0.997952</v>
      </c>
      <c r="UY15" s="63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S15" s="62">
        <v>1997</v>
      </c>
      <c r="VT15" s="46">
        <v>1.014</v>
      </c>
      <c r="VU15" s="63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O15" s="62">
        <v>1997</v>
      </c>
      <c r="WP15" s="67">
        <v>2727.788905764</v>
      </c>
      <c r="WQ15" s="55"/>
      <c r="WR15" s="66">
        <v>2727.788905764</v>
      </c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K15" s="68">
        <v>1997</v>
      </c>
      <c r="XL15" s="44">
        <v>1</v>
      </c>
      <c r="XM15" s="63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G15" s="62">
        <v>1997</v>
      </c>
      <c r="YH15" s="46">
        <v>0.977496</v>
      </c>
      <c r="YI15" s="63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ZE15" s="22" t="s">
        <v>63</v>
      </c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1"/>
    </row>
    <row r="16" ht="20.5" customHeight="1" spans="7:692" x14ac:dyDescent="0.25">
      <c r="G16" s="62">
        <v>1998</v>
      </c>
      <c r="H16" s="44">
        <v>0.947</v>
      </c>
      <c r="I16" s="5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AD16" s="62">
        <v>1998</v>
      </c>
      <c r="AE16" s="46">
        <f t="shared" si="4"/>
        <v>0.925688712</v>
      </c>
      <c r="AF16" s="20"/>
      <c r="AG16" s="63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BA16" s="62">
        <v>1998</v>
      </c>
      <c r="BB16" s="48">
        <v>1.7757982734232498</v>
      </c>
      <c r="BC16" s="52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W16" s="62">
        <v>1998</v>
      </c>
      <c r="BX16" s="46">
        <f>ОТЧЁТ!EE416</f>
        <v>0.8831435098620776</v>
      </c>
      <c r="BY16" s="46">
        <v>1.0514194849999998</v>
      </c>
      <c r="BZ16" s="63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T16" s="62">
        <v>1998</v>
      </c>
      <c r="CU16" s="49">
        <v>160.34593730407522</v>
      </c>
      <c r="CV16" s="63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O16" s="62">
        <v>1998</v>
      </c>
      <c r="DP16" s="49">
        <f t="shared" si="0"/>
        <v>160.34593730407522</v>
      </c>
      <c r="DQ16" s="53">
        <f t="shared" ref="DQ16:DQ36" si="9">DP16/(0.7*DR16+0.2*DR15+0.1*DR14)</f>
        <v>0.8379107870406609</v>
      </c>
      <c r="DR16" s="64">
        <v>182.79282621599998</v>
      </c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65"/>
      <c r="EG16" s="62">
        <v>1998</v>
      </c>
      <c r="EH16" s="52">
        <v>0.88</v>
      </c>
      <c r="EI16" s="52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FC16" s="62">
        <v>1998</v>
      </c>
      <c r="FD16" s="46">
        <v>0.684684</v>
      </c>
      <c r="FE16" s="63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Y16" s="62">
        <v>1998</v>
      </c>
      <c r="FZ16" s="44">
        <f t="shared" si="5"/>
        <v>0.8260000000000001</v>
      </c>
      <c r="GA16" s="63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U16" s="62">
        <v>1998</v>
      </c>
      <c r="GV16" s="53">
        <f>СЧЁТ!CN9</f>
        <v>0.8400849519999999</v>
      </c>
      <c r="GW16" s="53">
        <f t="shared" si="1"/>
        <v>1.2004214183937039</v>
      </c>
      <c r="GX16" s="63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R16" s="62">
        <v>1998</v>
      </c>
      <c r="HS16" s="54">
        <v>0.12004214183937038</v>
      </c>
      <c r="HT16" s="63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N16" s="62">
        <v>1998</v>
      </c>
      <c r="IO16" s="55">
        <v>428.564</v>
      </c>
      <c r="IP16" s="55">
        <f t="shared" si="7"/>
        <v>404.3154</v>
      </c>
      <c r="IQ16" s="66">
        <v>407.086</v>
      </c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J16" s="27"/>
      <c r="JL16" s="62">
        <v>1998</v>
      </c>
      <c r="JM16" s="46">
        <v>0.966</v>
      </c>
      <c r="JN16" s="63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H16" s="62">
        <v>1998</v>
      </c>
      <c r="KI16" s="46">
        <v>0.9645993</v>
      </c>
      <c r="KJ16" s="46">
        <f t="shared" ref="KJ16:KJ25" si="10">KI16</f>
        <v>0.9645993</v>
      </c>
      <c r="KK16" s="63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LE16" s="62">
        <v>1998</v>
      </c>
      <c r="LF16" s="57">
        <v>58.437</v>
      </c>
      <c r="LG16" s="63"/>
      <c r="LH16" s="57">
        <v>8.902</v>
      </c>
      <c r="LI16" s="63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MB16" s="62">
        <v>1998</v>
      </c>
      <c r="MC16" s="67">
        <v>2588.671671570036</v>
      </c>
      <c r="MD16" s="63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Y16" s="62">
        <v>1998</v>
      </c>
      <c r="MZ16" s="57">
        <f t="shared" si="2"/>
        <v>44.298503885723704</v>
      </c>
      <c r="NA16" s="63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V16" s="62">
        <v>1998</v>
      </c>
      <c r="NW16" s="46">
        <v>2.6727462335842294</v>
      </c>
      <c r="NX16" s="57">
        <v>2.4930511200000005</v>
      </c>
      <c r="NY16" s="46">
        <v>2.6836249787031963</v>
      </c>
      <c r="NZ16" s="63">
        <v>2.2270348811115843</v>
      </c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S16" s="27"/>
      <c r="OU16" s="62">
        <v>1998</v>
      </c>
      <c r="OV16" s="46">
        <f t="shared" si="8"/>
        <v>1.01</v>
      </c>
      <c r="OW16" s="63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Q16" s="62">
        <v>1998</v>
      </c>
      <c r="PR16" s="46">
        <f>СЧЁТ!CI9</f>
        <v>1.0163185599999998</v>
      </c>
      <c r="PS16" s="63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M16" s="62">
        <v>1998</v>
      </c>
      <c r="QN16" s="46">
        <v>0.947</v>
      </c>
      <c r="QO16" s="63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I16" s="59">
        <v>4</v>
      </c>
      <c r="RJ16" s="62">
        <v>1998</v>
      </c>
      <c r="RK16" s="55">
        <v>5263.652750328</v>
      </c>
      <c r="RL16" s="55"/>
      <c r="RM16" s="63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G16" s="62">
        <v>1998</v>
      </c>
      <c r="SH16" s="46">
        <f t="shared" si="3"/>
        <v>0.4918013771726725</v>
      </c>
      <c r="SI16" s="63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TC16" s="62">
        <v>1998</v>
      </c>
      <c r="TD16" s="46">
        <v>0.925688712</v>
      </c>
      <c r="TE16" s="63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X16" s="27"/>
      <c r="TZ16" s="62">
        <v>1998</v>
      </c>
      <c r="UA16" s="46">
        <f t="shared" si="6"/>
        <v>1.005</v>
      </c>
      <c r="UC16" s="63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W16" s="62">
        <v>1998</v>
      </c>
      <c r="UX16" s="60">
        <f>СЧЁТ!CK9</f>
        <v>1.00294176</v>
      </c>
      <c r="UY16" s="63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S16" s="62">
        <v>1998</v>
      </c>
      <c r="VT16" s="46">
        <v>0.947</v>
      </c>
      <c r="VU16" s="63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O16" s="62">
        <v>1998</v>
      </c>
      <c r="WP16" s="67">
        <v>2588.671671570036</v>
      </c>
      <c r="WQ16" s="55"/>
      <c r="WR16" s="66">
        <v>2588.671671570036</v>
      </c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K16" s="68">
        <v>1998</v>
      </c>
      <c r="XL16" s="44">
        <v>1</v>
      </c>
      <c r="XM16" s="63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G16" s="62">
        <v>1998</v>
      </c>
      <c r="YH16" s="46">
        <v>0.925688712</v>
      </c>
      <c r="YI16" s="63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ZE16" s="22" t="s">
        <v>64</v>
      </c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1"/>
    </row>
    <row r="17" ht="20.5" customHeight="1" spans="7:692" x14ac:dyDescent="0.25">
      <c r="G17" s="62">
        <v>1999</v>
      </c>
      <c r="H17" s="44">
        <v>1.064</v>
      </c>
      <c r="I17" s="5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AD17" s="62">
        <v>1999</v>
      </c>
      <c r="AE17" s="46">
        <f t="shared" si="4"/>
        <v>0.9849327895680001</v>
      </c>
      <c r="AF17" s="20"/>
      <c r="AG17" s="63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BA17" s="62">
        <v>1999</v>
      </c>
      <c r="BB17" s="48">
        <v>4.3836468174313525</v>
      </c>
      <c r="BC17" s="52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W17" s="62">
        <v>1999</v>
      </c>
      <c r="BX17" s="46">
        <f>ОТЧЁТ!EE417</f>
        <v>0.9435169819309864</v>
      </c>
      <c r="BY17" s="46">
        <v>1.1691784673199999</v>
      </c>
      <c r="BZ17" s="63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T17" s="62">
        <v>1999</v>
      </c>
      <c r="CU17" s="49">
        <v>171.18012225705328</v>
      </c>
      <c r="CV17" s="63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O17" s="62">
        <v>1999</v>
      </c>
      <c r="DP17" s="49">
        <f t="shared" si="0"/>
        <v>171.18012225705328</v>
      </c>
      <c r="DQ17" s="53">
        <f t="shared" si="9"/>
        <v>0.893036625876421</v>
      </c>
      <c r="DR17" s="64">
        <v>191.9324675268</v>
      </c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65"/>
      <c r="EG17" s="62">
        <v>1999</v>
      </c>
      <c r="EH17" s="52">
        <v>1.05</v>
      </c>
      <c r="EI17" s="52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FC17" s="62">
        <v>1999</v>
      </c>
      <c r="FD17" s="46">
        <v>0.7189182</v>
      </c>
      <c r="FE17" s="63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Y17" s="62">
        <v>1999</v>
      </c>
      <c r="FZ17" s="44">
        <f t="shared" si="5"/>
        <v>0.83</v>
      </c>
      <c r="GA17" s="63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U17" s="62">
        <v>1999</v>
      </c>
      <c r="GV17" s="53">
        <f>СЧЁТ!CN10</f>
        <v>0.6972705101599999</v>
      </c>
      <c r="GW17" s="53">
        <f t="shared" si="1"/>
        <v>0.9417294681160435</v>
      </c>
      <c r="GX17" s="63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R17" s="62">
        <v>1999</v>
      </c>
      <c r="HS17" s="54">
        <v>0.09417294681160435</v>
      </c>
      <c r="HT17" s="63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N17" s="62">
        <v>1999</v>
      </c>
      <c r="IO17" s="55">
        <v>597.306</v>
      </c>
      <c r="IP17" s="55">
        <f t="shared" si="7"/>
        <v>591.6041999999999</v>
      </c>
      <c r="IQ17" s="66">
        <v>670.439</v>
      </c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J17" s="27"/>
      <c r="JL17" s="62">
        <v>1999</v>
      </c>
      <c r="JM17" s="46">
        <v>0.976</v>
      </c>
      <c r="JN17" s="63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H17" s="62">
        <v>1999</v>
      </c>
      <c r="KI17" s="46">
        <v>0.9414489168</v>
      </c>
      <c r="KJ17" s="46">
        <f t="shared" si="10"/>
        <v>0.9414489168</v>
      </c>
      <c r="KK17" s="63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LE17" s="62">
        <v>1999</v>
      </c>
      <c r="LF17" s="57">
        <v>63.082</v>
      </c>
      <c r="LG17" s="63"/>
      <c r="LH17" s="57">
        <v>9.094</v>
      </c>
      <c r="LI17" s="63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MB17" s="62">
        <v>1999</v>
      </c>
      <c r="MC17" s="67">
        <v>2738.8146285210983</v>
      </c>
      <c r="MD17" s="63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Y17" s="62">
        <v>1999</v>
      </c>
      <c r="MZ17" s="57">
        <f t="shared" si="2"/>
        <v>43.41673739769028</v>
      </c>
      <c r="NA17" s="63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V17" s="62">
        <v>1999</v>
      </c>
      <c r="NW17" s="46">
        <v>3.4893420575027583</v>
      </c>
      <c r="NX17" s="57">
        <v>3.4030147788000007</v>
      </c>
      <c r="NY17" s="46">
        <v>2.701164323022275</v>
      </c>
      <c r="NZ17" s="63">
        <v>3.493098424873764</v>
      </c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S17" s="27"/>
      <c r="OU17" s="62">
        <v>1999</v>
      </c>
      <c r="OV17" s="46">
        <f t="shared" si="8"/>
        <v>1.031</v>
      </c>
      <c r="OW17" s="63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Q17" s="62">
        <v>1999</v>
      </c>
      <c r="PR17" s="46">
        <f>СЧЁТ!CI10</f>
        <v>1.0478244353599997</v>
      </c>
      <c r="PS17" s="63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M17" s="62">
        <v>1999</v>
      </c>
      <c r="QN17" s="46">
        <v>1.064</v>
      </c>
      <c r="QO17" s="63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I17" s="59">
        <v>5</v>
      </c>
      <c r="RJ17" s="62">
        <v>1999</v>
      </c>
      <c r="RK17" s="55">
        <v>5274.180055828657</v>
      </c>
      <c r="RL17" s="55"/>
      <c r="RM17" s="63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G17" s="62">
        <v>1999</v>
      </c>
      <c r="SH17" s="46">
        <f t="shared" si="3"/>
        <v>0.5192872824837201</v>
      </c>
      <c r="SI17" s="63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TC17" s="62">
        <v>1999</v>
      </c>
      <c r="TD17" s="46">
        <v>0.9849327895680001</v>
      </c>
      <c r="TE17" s="63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X17" s="27"/>
      <c r="TZ17" s="62">
        <v>1999</v>
      </c>
      <c r="UA17" s="46">
        <f t="shared" si="6"/>
        <v>0.986</v>
      </c>
      <c r="UC17" s="63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W17" s="62">
        <v>1999</v>
      </c>
      <c r="UX17" s="60">
        <f>СЧЁТ!CK10</f>
        <v>0.9889005753599999</v>
      </c>
      <c r="UY17" s="63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S17" s="62">
        <v>1999</v>
      </c>
      <c r="VT17" s="46">
        <v>1.064</v>
      </c>
      <c r="VU17" s="63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O17" s="62">
        <v>1999</v>
      </c>
      <c r="WP17" s="67">
        <v>2738.8146285210983</v>
      </c>
      <c r="WQ17" s="55"/>
      <c r="WR17" s="66">
        <v>2738.8146285210983</v>
      </c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K17" s="68">
        <v>1999</v>
      </c>
      <c r="XL17" s="44">
        <v>1</v>
      </c>
      <c r="XM17" s="63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G17" s="62">
        <v>1999</v>
      </c>
      <c r="YH17" s="46">
        <v>0.9849327895680001</v>
      </c>
      <c r="YI17" s="63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ZE17" s="22" t="s">
        <v>65</v>
      </c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1"/>
    </row>
    <row r="18" ht="20.5" customHeight="1" spans="7:692" x14ac:dyDescent="0.25">
      <c r="G18" s="62">
        <v>2000</v>
      </c>
      <c r="H18" s="44">
        <v>1.1</v>
      </c>
      <c r="I18" s="5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AD18" s="62">
        <v>2000</v>
      </c>
      <c r="AE18" s="46">
        <f t="shared" si="4"/>
        <v>1.0834260685248003</v>
      </c>
      <c r="AF18" s="46">
        <f t="shared" ref="AF18:AF26" si="11">AE18</f>
        <v>1.0834260685248003</v>
      </c>
      <c r="AG18" s="63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BA18" s="62">
        <v>2000</v>
      </c>
      <c r="BB18" s="48">
        <v>5.422670804728047</v>
      </c>
      <c r="BC18" s="52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W18" s="62">
        <v>2000</v>
      </c>
      <c r="BX18" s="46">
        <f>ОТЧЁТ!EE418</f>
        <v>1.2247490822844354</v>
      </c>
      <c r="BY18" s="46">
        <v>1.2802504217153998</v>
      </c>
      <c r="BZ18" s="63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T18" s="62">
        <v>2000</v>
      </c>
      <c r="CU18" s="49">
        <v>213.79458307210035</v>
      </c>
      <c r="CV18" s="63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O18" s="62">
        <v>2000</v>
      </c>
      <c r="DP18" s="49">
        <f t="shared" si="0"/>
        <v>213.79458307210035</v>
      </c>
      <c r="DQ18" s="53">
        <f t="shared" si="9"/>
        <v>0.9971953991179309</v>
      </c>
      <c r="DR18" s="64">
        <v>225.32871687646318</v>
      </c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65"/>
      <c r="EG18" s="62">
        <v>2000</v>
      </c>
      <c r="EH18" s="52">
        <v>1.174</v>
      </c>
      <c r="EI18" s="52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FC18" s="62">
        <v>2000</v>
      </c>
      <c r="FD18" s="46">
        <v>0.8440099667999998</v>
      </c>
      <c r="FE18" s="63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Y18" s="62">
        <v>2000</v>
      </c>
      <c r="FZ18" s="44">
        <f t="shared" si="5"/>
        <v>1.324</v>
      </c>
      <c r="GA18" s="63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U18" s="62">
        <v>2000</v>
      </c>
      <c r="GV18" s="53">
        <f>СЧЁТ!CN11</f>
        <v>0.9231861554518398</v>
      </c>
      <c r="GW18" s="53">
        <f t="shared" si="1"/>
        <v>1.1397164678113725</v>
      </c>
      <c r="GX18" s="63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R18" s="62">
        <v>2000</v>
      </c>
      <c r="HS18" s="54">
        <v>0.11397164678113725</v>
      </c>
      <c r="HT18" s="63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N18" s="62">
        <v>2000</v>
      </c>
      <c r="IO18" s="55">
        <v>843.378</v>
      </c>
      <c r="IP18" s="55">
        <f t="shared" si="7"/>
        <v>990.4602</v>
      </c>
      <c r="IQ18" s="66">
        <v>1165.234</v>
      </c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J18" s="27"/>
      <c r="JL18" s="62">
        <v>2000</v>
      </c>
      <c r="JM18" s="46">
        <v>1.059</v>
      </c>
      <c r="JN18" s="63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H18" s="62">
        <v>2000</v>
      </c>
      <c r="KI18" s="46">
        <v>0.9969944028911999</v>
      </c>
      <c r="KJ18" s="46">
        <f t="shared" si="10"/>
        <v>0.9969944028911999</v>
      </c>
      <c r="KK18" s="63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LE18" s="62">
        <v>2000</v>
      </c>
      <c r="LF18" s="57">
        <v>65.07</v>
      </c>
      <c r="LG18" s="63"/>
      <c r="LH18" s="57">
        <v>7.700000000000003</v>
      </c>
      <c r="LI18" s="63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MB18" s="62">
        <v>2000</v>
      </c>
      <c r="MC18" s="67">
        <v>2996.263203602082</v>
      </c>
      <c r="MD18" s="63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Y18" s="62">
        <v>2000</v>
      </c>
      <c r="MZ18" s="57">
        <f t="shared" si="2"/>
        <v>46.04676815125376</v>
      </c>
      <c r="NA18" s="63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V18" s="62">
        <v>2000</v>
      </c>
      <c r="NW18" s="46">
        <v>3.9448052793534916</v>
      </c>
      <c r="NX18" s="57">
        <v>4.090423764117601</v>
      </c>
      <c r="NY18" s="46">
        <v>3.2947518370474893</v>
      </c>
      <c r="NZ18" s="63">
        <v>5.171262749607017</v>
      </c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S18" s="27"/>
      <c r="OU18" s="62">
        <v>2000</v>
      </c>
      <c r="OV18" s="46">
        <f t="shared" si="8"/>
        <v>1.02</v>
      </c>
      <c r="OW18" s="63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Q18" s="62">
        <v>2000</v>
      </c>
      <c r="PR18" s="46">
        <f>СЧЁТ!CI11</f>
        <v>1.0687809240671997</v>
      </c>
      <c r="PS18" s="63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M18" s="62">
        <v>2000</v>
      </c>
      <c r="QN18" s="46">
        <v>1.1</v>
      </c>
      <c r="QO18" s="63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I18" s="59">
        <v>6</v>
      </c>
      <c r="RJ18" s="62">
        <v>2000</v>
      </c>
      <c r="RK18" s="55">
        <v>5300.5509561078</v>
      </c>
      <c r="RL18" s="55"/>
      <c r="RM18" s="63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G18" s="62">
        <v>2000</v>
      </c>
      <c r="SH18" s="46">
        <f t="shared" si="3"/>
        <v>0.5652739174499402</v>
      </c>
      <c r="SI18" s="63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TC18" s="62">
        <v>2000</v>
      </c>
      <c r="TD18" s="46">
        <v>1.0834260685248003</v>
      </c>
      <c r="TE18" s="63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X18" s="27"/>
      <c r="TZ18" s="62">
        <v>2000</v>
      </c>
      <c r="UA18" s="46">
        <f t="shared" si="6"/>
        <v>1.016</v>
      </c>
      <c r="UC18" s="63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W18" s="62">
        <v>2000</v>
      </c>
      <c r="UX18" s="60">
        <f>СЧЁТ!CK11</f>
        <v>1.00472298456576</v>
      </c>
      <c r="UY18" s="63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S18" s="62">
        <v>2000</v>
      </c>
      <c r="VT18" s="46">
        <v>1.1</v>
      </c>
      <c r="VU18" s="63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O18" s="62">
        <v>2000</v>
      </c>
      <c r="WP18" s="67">
        <v>2996.263203602082</v>
      </c>
      <c r="WQ18" s="55"/>
      <c r="WR18" s="66">
        <v>2996.263203602082</v>
      </c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K18" s="68">
        <v>2000</v>
      </c>
      <c r="XL18" s="44">
        <v>1</v>
      </c>
      <c r="XM18" s="63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G18" s="62">
        <v>2000</v>
      </c>
      <c r="YH18" s="46">
        <v>1.0834260685248003</v>
      </c>
      <c r="YI18" s="63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ZE18" s="22" t="s">
        <v>66</v>
      </c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1"/>
    </row>
    <row r="19" ht="20.5" customHeight="1" spans="7:692" x14ac:dyDescent="0.25">
      <c r="G19" s="62">
        <v>2001</v>
      </c>
      <c r="H19" s="44">
        <v>1.051</v>
      </c>
      <c r="I19" s="5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AD19" s="62">
        <v>2001</v>
      </c>
      <c r="AE19" s="46">
        <f t="shared" si="4"/>
        <v>1.138680798019565</v>
      </c>
      <c r="AF19" s="46">
        <f t="shared" si="11"/>
        <v>1.138680798019565</v>
      </c>
      <c r="AG19" s="63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BA19" s="62">
        <v>2001</v>
      </c>
      <c r="BB19" s="48">
        <v>5.416139427100017</v>
      </c>
      <c r="BC19" s="52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W19" s="62">
        <v>2001</v>
      </c>
      <c r="BX19" s="46">
        <f>ОТЧЁТ!EE419</f>
        <v>1.3476545615734206</v>
      </c>
      <c r="BY19" s="46">
        <v>1.3340209394274467</v>
      </c>
      <c r="BZ19" s="63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T19" s="62">
        <v>2001</v>
      </c>
      <c r="CU19" s="49">
        <v>254.24220689655175</v>
      </c>
      <c r="CV19" s="63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O19" s="62">
        <v>2001</v>
      </c>
      <c r="DP19" s="49">
        <f t="shared" si="0"/>
        <v>254.24220689655175</v>
      </c>
      <c r="DQ19" s="53">
        <f t="shared" si="9"/>
        <v>1.0693134213844868</v>
      </c>
      <c r="DR19" s="64">
        <v>247.86158856410952</v>
      </c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65"/>
      <c r="EG19" s="62">
        <v>2001</v>
      </c>
      <c r="EH19" s="52">
        <v>1.1</v>
      </c>
      <c r="EI19" s="52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FC19" s="62">
        <v>2001</v>
      </c>
      <c r="FD19" s="46">
        <v>0.9284109634799999</v>
      </c>
      <c r="FE19" s="63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Y19" s="62">
        <v>2001</v>
      </c>
      <c r="FZ19" s="44">
        <f t="shared" si="5"/>
        <v>1.187</v>
      </c>
      <c r="GA19" s="63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U19" s="62">
        <v>2001</v>
      </c>
      <c r="GV19" s="53">
        <f>СЧЁТ!CN12</f>
        <v>1.0958219665213338</v>
      </c>
      <c r="GW19" s="53">
        <f t="shared" si="1"/>
        <v>1.2896505693918963</v>
      </c>
      <c r="GX19" s="63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R19" s="62">
        <v>2001</v>
      </c>
      <c r="HS19" s="54">
        <v>0.12896505693918964</v>
      </c>
      <c r="HT19" s="63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N19" s="62">
        <v>2001</v>
      </c>
      <c r="IO19" s="55">
        <v>1117.655</v>
      </c>
      <c r="IP19" s="55">
        <f t="shared" si="7"/>
        <v>1353.3807</v>
      </c>
      <c r="IQ19" s="66">
        <v>1504.7</v>
      </c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J19" s="27"/>
      <c r="JL19" s="62">
        <v>2001</v>
      </c>
      <c r="JM19" s="46">
        <v>1.082</v>
      </c>
      <c r="JN19" s="63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H19" s="62">
        <v>2001</v>
      </c>
      <c r="KI19" s="46">
        <v>1.0787479439282783</v>
      </c>
      <c r="KJ19" s="46">
        <f t="shared" si="10"/>
        <v>1.0787479439282783</v>
      </c>
      <c r="KK19" s="63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LE19" s="62">
        <v>2001</v>
      </c>
      <c r="LF19" s="57">
        <v>65.123</v>
      </c>
      <c r="LG19" s="63"/>
      <c r="LH19" s="57">
        <v>6.421999999999997</v>
      </c>
      <c r="LI19" s="63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MB19" s="62">
        <v>2001</v>
      </c>
      <c r="MC19" s="67">
        <v>3143.0801005785834</v>
      </c>
      <c r="MD19" s="63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Y19" s="62">
        <v>2001</v>
      </c>
      <c r="MZ19" s="57">
        <f t="shared" si="2"/>
        <v>48.263748607689806</v>
      </c>
      <c r="NA19" s="63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V19" s="62">
        <v>2001</v>
      </c>
      <c r="NW19" s="46">
        <v>4.396024616222597</v>
      </c>
      <c r="NX19" s="57">
        <v>4.851242584243474</v>
      </c>
      <c r="NY19" s="46">
        <v>3.7846782806927575</v>
      </c>
      <c r="NZ19" s="63">
        <v>6.070726846853919</v>
      </c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S19" s="27"/>
      <c r="OU19" s="62">
        <v>2001</v>
      </c>
      <c r="OV19" s="46">
        <f t="shared" si="8"/>
        <v>0.992</v>
      </c>
      <c r="OW19" s="63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Q19" s="62">
        <v>2001</v>
      </c>
      <c r="PR19" s="46">
        <f>СЧЁТ!CI12</f>
        <v>1.060230676674662</v>
      </c>
      <c r="PS19" s="63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M19" s="62">
        <v>2001</v>
      </c>
      <c r="QN19" s="46">
        <v>1.051</v>
      </c>
      <c r="QO19" s="63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I19" s="59">
        <v>7</v>
      </c>
      <c r="RJ19" s="62">
        <v>2001</v>
      </c>
      <c r="RK19" s="55">
        <v>5348.25591471277</v>
      </c>
      <c r="RL19" s="55"/>
      <c r="RM19" s="63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G19" s="62">
        <v>2001</v>
      </c>
      <c r="SH19" s="46">
        <f t="shared" si="3"/>
        <v>0.587683190688788</v>
      </c>
      <c r="SI19" s="63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TC19" s="62">
        <v>2001</v>
      </c>
      <c r="TD19" s="46">
        <v>1.138680798019565</v>
      </c>
      <c r="TE19" s="63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X19" s="27"/>
      <c r="TZ19" s="62">
        <v>2001</v>
      </c>
      <c r="UA19" s="46">
        <f t="shared" si="6"/>
        <v>1.019</v>
      </c>
      <c r="UC19" s="63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W19" s="62">
        <v>2001</v>
      </c>
      <c r="UX19" s="60">
        <f>СЧЁТ!CK12</f>
        <v>1.0238127212725092</v>
      </c>
      <c r="UY19" s="63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S19" s="62">
        <v>2001</v>
      </c>
      <c r="VT19" s="46">
        <v>1.051</v>
      </c>
      <c r="VU19" s="63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O19" s="62">
        <v>2001</v>
      </c>
      <c r="WP19" s="67">
        <v>3143.0801005785834</v>
      </c>
      <c r="WQ19" s="55"/>
      <c r="WR19" s="66">
        <v>3143.0801005785834</v>
      </c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K19" s="68">
        <v>2001</v>
      </c>
      <c r="XL19" s="44">
        <v>1</v>
      </c>
      <c r="XM19" s="63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G19" s="62">
        <v>2001</v>
      </c>
      <c r="YH19" s="46">
        <v>1.138680798019565</v>
      </c>
      <c r="YI19" s="63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ZE19" s="22" t="s">
        <v>67</v>
      </c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1"/>
    </row>
    <row r="20" ht="20.5" customHeight="1" spans="7:692" x14ac:dyDescent="0.25">
      <c r="G20" s="62">
        <v>2002</v>
      </c>
      <c r="H20" s="44">
        <v>1.047</v>
      </c>
      <c r="I20" s="5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AD20" s="62">
        <v>2002</v>
      </c>
      <c r="AE20" s="46">
        <f t="shared" si="4"/>
        <v>1.1921987955264846</v>
      </c>
      <c r="AF20" s="46">
        <f t="shared" si="11"/>
        <v>1.1921987955264846</v>
      </c>
      <c r="AG20" s="63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BA20" s="62">
        <v>2002</v>
      </c>
      <c r="BB20" s="48">
        <v>5.589991573495779</v>
      </c>
      <c r="BC20" s="52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W20" s="62">
        <v>2002</v>
      </c>
      <c r="BX20" s="46">
        <f>ОТЧЁТ!EE420</f>
        <v>1.4665088426814834</v>
      </c>
      <c r="BY20" s="46">
        <v>1.4714250961884736</v>
      </c>
      <c r="BZ20" s="63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T20" s="62">
        <v>2002</v>
      </c>
      <c r="CU20" s="49">
        <v>274.4660188087774</v>
      </c>
      <c r="CV20" s="63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O20" s="62">
        <v>2002</v>
      </c>
      <c r="DP20" s="49">
        <f t="shared" si="0"/>
        <v>274.4660188087774</v>
      </c>
      <c r="DQ20" s="53">
        <f t="shared" si="9"/>
        <v>1.0958197641540484</v>
      </c>
      <c r="DR20" s="64">
        <v>254.80171304390458</v>
      </c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65"/>
      <c r="EG20" s="62">
        <v>2002</v>
      </c>
      <c r="EH20" s="52">
        <v>1.028</v>
      </c>
      <c r="EI20" s="52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FC20" s="62">
        <v>2002</v>
      </c>
      <c r="FD20" s="46">
        <v>0.9544064704574399</v>
      </c>
      <c r="FE20" s="63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Y20" s="62">
        <v>2002</v>
      </c>
      <c r="FZ20" s="44">
        <f t="shared" si="5"/>
        <v>1.146</v>
      </c>
      <c r="GA20" s="63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U20" s="62">
        <v>2002</v>
      </c>
      <c r="GV20" s="53">
        <f>СЧЁТ!CN13</f>
        <v>1.2558119736334485</v>
      </c>
      <c r="GW20" s="53">
        <f t="shared" si="1"/>
        <v>1.4156509123784609</v>
      </c>
      <c r="GX20" s="63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R20" s="62">
        <v>2002</v>
      </c>
      <c r="HS20" s="54">
        <v>0.14156509123784608</v>
      </c>
      <c r="HT20" s="63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N20" s="62">
        <v>2002</v>
      </c>
      <c r="IO20" s="55">
        <v>1615.063</v>
      </c>
      <c r="IP20" s="55">
        <f t="shared" si="7"/>
        <v>1651.1434000000002</v>
      </c>
      <c r="IQ20" s="66">
        <v>1762.4</v>
      </c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J20" s="27"/>
      <c r="JL20" s="62">
        <v>2002</v>
      </c>
      <c r="JM20" s="46">
        <v>1.077</v>
      </c>
      <c r="JN20" s="63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H20" s="62">
        <v>2002</v>
      </c>
      <c r="KI20" s="46">
        <v>1.1618115356107557</v>
      </c>
      <c r="KJ20" s="46">
        <f t="shared" si="10"/>
        <v>1.1618115356107557</v>
      </c>
      <c r="KK20" s="63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LE20" s="62">
        <v>2002</v>
      </c>
      <c r="LF20" s="57">
        <v>66.659</v>
      </c>
      <c r="LG20" s="63"/>
      <c r="LH20" s="57">
        <v>5.697999999999993</v>
      </c>
      <c r="LI20" s="63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MB20" s="62">
        <v>2002</v>
      </c>
      <c r="MC20" s="67">
        <v>3281.3756250040415</v>
      </c>
      <c r="MD20" s="63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Y20" s="62">
        <v>2002</v>
      </c>
      <c r="MZ20" s="57">
        <f t="shared" si="2"/>
        <v>49.22629539903151</v>
      </c>
      <c r="NA20" s="63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V20" s="62">
        <v>2002</v>
      </c>
      <c r="NW20" s="46">
        <v>5.884382361829743</v>
      </c>
      <c r="NX20" s="57">
        <v>5.583780214464239</v>
      </c>
      <c r="NY20" s="46">
        <v>4.522803189792793</v>
      </c>
      <c r="NZ20" s="63">
        <v>6.916750986271128</v>
      </c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S20" s="27"/>
      <c r="OU20" s="62">
        <v>2002</v>
      </c>
      <c r="OV20" s="46">
        <f t="shared" si="8"/>
        <v>1.026</v>
      </c>
      <c r="OW20" s="63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Q20" s="62">
        <v>2002</v>
      </c>
      <c r="PR20" s="46">
        <f>СЧЁТ!CI13</f>
        <v>1.0877966742682033</v>
      </c>
      <c r="PS20" s="63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M20" s="62">
        <v>2002</v>
      </c>
      <c r="QN20" s="46">
        <v>1.047</v>
      </c>
      <c r="QO20" s="63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I20" s="59">
        <v>8</v>
      </c>
      <c r="RJ20" s="62">
        <v>2002</v>
      </c>
      <c r="RK20" s="55">
        <v>5401.7384738598985</v>
      </c>
      <c r="RL20" s="55"/>
      <c r="RM20" s="63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G20" s="62">
        <v>2002</v>
      </c>
      <c r="SH20" s="46">
        <f t="shared" si="3"/>
        <v>0.6074665852268265</v>
      </c>
      <c r="SI20" s="63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TC20" s="62">
        <v>2002</v>
      </c>
      <c r="TD20" s="46">
        <v>1.1921987955264846</v>
      </c>
      <c r="TE20" s="63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X20" s="27"/>
      <c r="TZ20" s="62">
        <v>2002</v>
      </c>
      <c r="UA20" s="46">
        <f t="shared" si="6"/>
        <v>1.008</v>
      </c>
      <c r="UC20" s="63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W20" s="62">
        <v>2002</v>
      </c>
      <c r="UX20" s="60">
        <f>СЧЁТ!CK13</f>
        <v>1.0320032230426892</v>
      </c>
      <c r="UY20" s="63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S20" s="62">
        <v>2002</v>
      </c>
      <c r="VT20" s="46">
        <v>1.047</v>
      </c>
      <c r="VU20" s="63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O20" s="62">
        <v>2002</v>
      </c>
      <c r="WP20" s="67">
        <v>3281.3756250040415</v>
      </c>
      <c r="WQ20" s="55"/>
      <c r="WR20" s="66">
        <v>3281.3756250040415</v>
      </c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K20" s="68">
        <v>2002</v>
      </c>
      <c r="XL20" s="44">
        <v>1</v>
      </c>
      <c r="XM20" s="63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G20" s="62">
        <v>2002</v>
      </c>
      <c r="YH20" s="46">
        <v>1.1921987955264846</v>
      </c>
      <c r="YI20" s="63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ZE20" s="22" t="s">
        <v>6</v>
      </c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1"/>
    </row>
    <row r="21" ht="20.5" customHeight="1" spans="7:692" x14ac:dyDescent="0.25">
      <c r="G21" s="62">
        <v>2003</v>
      </c>
      <c r="H21" s="44">
        <v>1.073</v>
      </c>
      <c r="I21" s="5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AD21" s="62">
        <v>2003</v>
      </c>
      <c r="AE21" s="46">
        <f t="shared" si="4"/>
        <v>1.279229307599918</v>
      </c>
      <c r="AF21" s="46">
        <f t="shared" si="11"/>
        <v>1.279229307599918</v>
      </c>
      <c r="AG21" s="63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BA21" s="62">
        <v>2003</v>
      </c>
      <c r="BB21" s="48">
        <v>6.100949264694751</v>
      </c>
      <c r="BC21" s="52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W21" s="62">
        <v>2003</v>
      </c>
      <c r="BX21" s="46">
        <f>ОТЧЁТ!EE421</f>
        <v>1.6632756085335</v>
      </c>
      <c r="BY21" s="46">
        <v>1.6568246583082211</v>
      </c>
      <c r="BZ21" s="63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T21" s="62">
        <v>2003</v>
      </c>
      <c r="CU21" s="49">
        <v>307.69085266457677</v>
      </c>
      <c r="CV21" s="63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O21" s="62">
        <v>2003</v>
      </c>
      <c r="DP21" s="49">
        <f t="shared" si="0"/>
        <v>307.69085266457677</v>
      </c>
      <c r="DQ21" s="53">
        <f t="shared" si="9"/>
        <v>1.113197103872673</v>
      </c>
      <c r="DR21" s="64">
        <v>286.65192717439265</v>
      </c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65"/>
      <c r="EG21" s="62">
        <v>2003</v>
      </c>
      <c r="EH21" s="52">
        <v>1.125</v>
      </c>
      <c r="EI21" s="52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FC21" s="62">
        <v>2003</v>
      </c>
      <c r="FD21" s="46">
        <v>1.0737072792646198</v>
      </c>
      <c r="FE21" s="63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Y21" s="62">
        <v>2003</v>
      </c>
      <c r="FZ21" s="44">
        <f t="shared" si="5"/>
        <v>1.173</v>
      </c>
      <c r="GA21" s="63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U21" s="62">
        <v>2003</v>
      </c>
      <c r="GV21" s="53">
        <f>СЧЁТ!CN14</f>
        <v>1.4730674450720351</v>
      </c>
      <c r="GW21" s="53">
        <f t="shared" si="1"/>
        <v>1.5432700002044</v>
      </c>
      <c r="GX21" s="63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R21" s="62">
        <v>2003</v>
      </c>
      <c r="HS21" s="54">
        <v>0.15432700002044</v>
      </c>
      <c r="HT21" s="63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N21" s="62">
        <v>2003</v>
      </c>
      <c r="IO21" s="55">
        <v>1815.658</v>
      </c>
      <c r="IP21" s="55">
        <f t="shared" si="7"/>
        <v>2033.43</v>
      </c>
      <c r="IQ21" s="66">
        <v>2186.4</v>
      </c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J21" s="27"/>
      <c r="JL21" s="62">
        <v>2003</v>
      </c>
      <c r="JM21" s="46">
        <v>1.077</v>
      </c>
      <c r="JN21" s="63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H21" s="62">
        <v>2003</v>
      </c>
      <c r="KI21" s="46">
        <v>1.2512710238527838</v>
      </c>
      <c r="KJ21" s="46">
        <f t="shared" si="10"/>
        <v>1.2512710238527838</v>
      </c>
      <c r="KK21" s="63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LE21" s="62">
        <v>2003</v>
      </c>
      <c r="LF21" s="57">
        <v>66.339</v>
      </c>
      <c r="LG21" s="63"/>
      <c r="LH21" s="57">
        <v>5.9339999999999975</v>
      </c>
      <c r="LI21" s="63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MB21" s="62">
        <v>2003</v>
      </c>
      <c r="MC21" s="67">
        <v>3530.7601725043487</v>
      </c>
      <c r="MD21" s="63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Y21" s="62">
        <v>2003</v>
      </c>
      <c r="MZ21" s="57">
        <f t="shared" si="2"/>
        <v>53.22299360111471</v>
      </c>
      <c r="NA21" s="63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V21" s="62">
        <v>2003</v>
      </c>
      <c r="NW21" s="46">
        <v>5.90091640449027</v>
      </c>
      <c r="NX21" s="57">
        <v>6.253833840199949</v>
      </c>
      <c r="NY21" s="46">
        <v>5.542638112686384</v>
      </c>
      <c r="NZ21" s="63">
        <v>7.6273689193439225</v>
      </c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S21" s="27"/>
      <c r="OU21" s="62">
        <v>2003</v>
      </c>
      <c r="OV21" s="46">
        <f t="shared" si="8"/>
        <v>1.024</v>
      </c>
      <c r="OW21" s="63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Q21" s="62">
        <v>2003</v>
      </c>
      <c r="PR21" s="46">
        <f>СЧЁТ!CI14</f>
        <v>1.1139037944506402</v>
      </c>
      <c r="PS21" s="63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M21" s="62">
        <v>2003</v>
      </c>
      <c r="QN21" s="46">
        <v>1.073</v>
      </c>
      <c r="QO21" s="63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I21" s="59">
        <v>9</v>
      </c>
      <c r="RJ21" s="62">
        <v>2003</v>
      </c>
      <c r="RK21" s="55">
        <v>5471.961074020077</v>
      </c>
      <c r="RL21" s="55"/>
      <c r="RM21" s="63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G21" s="62">
        <v>2003</v>
      </c>
      <c r="SH21" s="46">
        <f t="shared" si="3"/>
        <v>0.6452458496585047</v>
      </c>
      <c r="SI21" s="63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TC21" s="62">
        <v>2003</v>
      </c>
      <c r="TD21" s="46">
        <v>1.279229307599918</v>
      </c>
      <c r="TE21" s="63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X21" s="27"/>
      <c r="TZ21" s="62">
        <v>2003</v>
      </c>
      <c r="UA21" s="46">
        <f t="shared" si="6"/>
        <v>1.001</v>
      </c>
      <c r="UC21" s="63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W21" s="62">
        <v>2003</v>
      </c>
      <c r="UX21" s="60">
        <f>СЧЁТ!CK14</f>
        <v>1.0330352262657319</v>
      </c>
      <c r="UY21" s="63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S21" s="62">
        <v>2003</v>
      </c>
      <c r="VT21" s="46">
        <v>1.073</v>
      </c>
      <c r="VU21" s="63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O21" s="62">
        <v>2003</v>
      </c>
      <c r="WP21" s="67">
        <v>3530.7601725043487</v>
      </c>
      <c r="WQ21" s="55"/>
      <c r="WR21" s="66">
        <v>3530.7601725043487</v>
      </c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K21" s="68">
        <v>2003</v>
      </c>
      <c r="XL21" s="44">
        <v>1</v>
      </c>
      <c r="XM21" s="63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G21" s="62">
        <v>2003</v>
      </c>
      <c r="YH21" s="46">
        <v>1.279229307599918</v>
      </c>
      <c r="YI21" s="63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ZE21" s="22" t="s">
        <v>7</v>
      </c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1"/>
    </row>
    <row r="22" ht="20.5" customHeight="1" spans="5:692" x14ac:dyDescent="0.25">
      <c r="E22" s="20"/>
      <c r="G22" s="62">
        <v>2004</v>
      </c>
      <c r="H22" s="44">
        <v>1.072</v>
      </c>
      <c r="I22" s="5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AD22" s="62">
        <v>2004</v>
      </c>
      <c r="AE22" s="46">
        <f t="shared" si="4"/>
        <v>1.3713338177471122</v>
      </c>
      <c r="AF22" s="46">
        <f t="shared" si="11"/>
        <v>1.3713338177471122</v>
      </c>
      <c r="AG22" s="63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BA22" s="62">
        <v>2004</v>
      </c>
      <c r="BB22" s="48">
        <v>6.831459964645646</v>
      </c>
      <c r="BC22" s="52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W22" s="62">
        <v>2004</v>
      </c>
      <c r="BX22" s="46">
        <f>ОТЧЁТ!EE422</f>
        <v>1.8635096058631688</v>
      </c>
      <c r="BY22" s="46">
        <v>1.8523299679885914</v>
      </c>
      <c r="BZ22" s="63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T22" s="62">
        <v>2004</v>
      </c>
      <c r="CU22" s="49">
        <v>343.804802507837</v>
      </c>
      <c r="CV22" s="63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O22" s="62">
        <v>2004</v>
      </c>
      <c r="DP22" s="49">
        <f t="shared" si="0"/>
        <v>343.804802507837</v>
      </c>
      <c r="DQ22" s="53">
        <f t="shared" si="9"/>
        <v>1.1056351693502098</v>
      </c>
      <c r="DR22" s="64">
        <v>325.9232411972844</v>
      </c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65"/>
      <c r="EG22" s="62">
        <v>2004</v>
      </c>
      <c r="EH22" s="52">
        <v>1.137</v>
      </c>
      <c r="EI22" s="52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FC22" s="62">
        <v>2004</v>
      </c>
      <c r="FD22" s="46">
        <v>1.2208051765238728</v>
      </c>
      <c r="FE22" s="63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Y22" s="62">
        <v>2004</v>
      </c>
      <c r="FZ22" s="44">
        <f t="shared" si="5"/>
        <v>1.233</v>
      </c>
      <c r="GA22" s="63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U22" s="62">
        <v>2004</v>
      </c>
      <c r="GV22" s="53">
        <f>СЧЁТ!CN15</f>
        <v>1.8162921597738195</v>
      </c>
      <c r="GW22" s="53">
        <f t="shared" si="1"/>
        <v>1.7618999169000236</v>
      </c>
      <c r="GX22" s="63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R22" s="62">
        <v>2004</v>
      </c>
      <c r="HS22" s="54">
        <v>0.17618999169000235</v>
      </c>
      <c r="HT22" s="63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N22" s="62">
        <v>2004</v>
      </c>
      <c r="IO22" s="55">
        <v>1972.112</v>
      </c>
      <c r="IP22" s="55">
        <f t="shared" si="7"/>
        <v>2619.0199999999995</v>
      </c>
      <c r="IQ22" s="66">
        <v>2865</v>
      </c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J22" s="27"/>
      <c r="JL22" s="62">
        <v>2004</v>
      </c>
      <c r="JM22" s="46">
        <v>1.125</v>
      </c>
      <c r="JN22" s="63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H22" s="62">
        <v>2004</v>
      </c>
      <c r="KI22" s="46">
        <v>1.4076799018343817</v>
      </c>
      <c r="KJ22" s="46">
        <f t="shared" si="10"/>
        <v>1.4076799018343817</v>
      </c>
      <c r="KK22" s="63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LE22" s="62">
        <v>2004</v>
      </c>
      <c r="LF22" s="57">
        <v>67.319</v>
      </c>
      <c r="LG22" s="63"/>
      <c r="LH22" s="57">
        <v>5.665999999999997</v>
      </c>
      <c r="LI22" s="63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MB22" s="62">
        <v>2004</v>
      </c>
      <c r="MC22" s="67">
        <v>3813.2209863046965</v>
      </c>
      <c r="MD22" s="63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Y22" s="62">
        <v>2004</v>
      </c>
      <c r="MZ22" s="57">
        <f t="shared" si="2"/>
        <v>56.64405273852399</v>
      </c>
      <c r="NA22" s="63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V22" s="62">
        <v>2004</v>
      </c>
      <c r="NW22" s="46">
        <v>5.736138604273994</v>
      </c>
      <c r="NX22" s="57">
        <v>6.9855323995033425</v>
      </c>
      <c r="NY22" s="46">
        <v>6.272852216104846</v>
      </c>
      <c r="NZ22" s="63">
        <v>8.79041331779647</v>
      </c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S22" s="27"/>
      <c r="OU22" s="62">
        <v>2004</v>
      </c>
      <c r="OV22" s="46">
        <f t="shared" si="8"/>
        <v>1.021</v>
      </c>
      <c r="OW22" s="63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Q22" s="62">
        <v>2004</v>
      </c>
      <c r="PR22" s="46">
        <f>СЧЁТ!CI15</f>
        <v>1.1372957741341037</v>
      </c>
      <c r="PS22" s="63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M22" s="62">
        <v>2004</v>
      </c>
      <c r="QN22" s="46">
        <v>1.072</v>
      </c>
      <c r="QO22" s="63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I22" s="59">
        <v>10</v>
      </c>
      <c r="RJ22" s="62">
        <v>2004</v>
      </c>
      <c r="RK22" s="55">
        <v>5559.5124512043985</v>
      </c>
      <c r="RL22" s="55"/>
      <c r="RM22" s="63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G22" s="62">
        <v>2004</v>
      </c>
      <c r="SH22" s="46">
        <f t="shared" si="3"/>
        <v>0.6858912575110089</v>
      </c>
      <c r="SI22" s="63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TC22" s="62">
        <v>2004</v>
      </c>
      <c r="TD22" s="46">
        <v>1.3713338177471122</v>
      </c>
      <c r="TE22" s="63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X22" s="27"/>
      <c r="TZ22" s="62">
        <v>2004</v>
      </c>
      <c r="UA22" s="46">
        <f t="shared" si="6"/>
        <v>0.889</v>
      </c>
      <c r="UC22" s="63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W22" s="62">
        <v>2004</v>
      </c>
      <c r="UX22" s="60">
        <f>СЧЁТ!CK15</f>
        <v>0.9183683161502356</v>
      </c>
      <c r="UY22" s="63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S22" s="62">
        <v>2004</v>
      </c>
      <c r="VT22" s="46">
        <v>1.072</v>
      </c>
      <c r="VU22" s="63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O22" s="62">
        <v>2004</v>
      </c>
      <c r="WP22" s="67">
        <v>3813.2209863046965</v>
      </c>
      <c r="WQ22" s="55"/>
      <c r="WR22" s="66">
        <v>3813.2209863046965</v>
      </c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K22" s="68">
        <v>2004</v>
      </c>
      <c r="XL22" s="44">
        <v>1</v>
      </c>
      <c r="XM22" s="63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G22" s="62">
        <v>2004</v>
      </c>
      <c r="YH22" s="46">
        <v>1.3713338177471122</v>
      </c>
      <c r="YI22" s="63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ZE22" s="22" t="s">
        <v>8</v>
      </c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1"/>
    </row>
    <row r="23" ht="20.5" customHeight="1" spans="7:692" x14ac:dyDescent="0.25">
      <c r="G23" s="62">
        <v>2005</v>
      </c>
      <c r="H23" s="44">
        <v>1.064</v>
      </c>
      <c r="I23" s="5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AD23" s="62">
        <v>2005</v>
      </c>
      <c r="AE23" s="46">
        <f t="shared" si="4"/>
        <v>1.4590991820829273</v>
      </c>
      <c r="AF23" s="46">
        <f t="shared" si="11"/>
        <v>1.4590991820829273</v>
      </c>
      <c r="AG23" s="63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BA23" s="62">
        <v>2005</v>
      </c>
      <c r="BB23" s="48">
        <v>8.02031164551573</v>
      </c>
      <c r="BC23" s="52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W23" s="62">
        <v>2005</v>
      </c>
      <c r="BX23" s="46">
        <f>ОТЧЁТ!EE423</f>
        <v>2.018480610292013</v>
      </c>
      <c r="BY23" s="46">
        <v>1.9727314159078497</v>
      </c>
      <c r="BZ23" s="63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T23" s="62">
        <v>2005</v>
      </c>
      <c r="CU23" s="49">
        <v>381.3633103448276</v>
      </c>
      <c r="CV23" s="63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O23" s="62">
        <v>2005</v>
      </c>
      <c r="DP23" s="49">
        <f t="shared" si="0"/>
        <v>381.3633103448276</v>
      </c>
      <c r="DQ23" s="53">
        <f t="shared" si="9"/>
        <v>1.1045459834675206</v>
      </c>
      <c r="DR23" s="64">
        <v>359.1674117994075</v>
      </c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65"/>
      <c r="EG23" s="62">
        <v>2005</v>
      </c>
      <c r="EH23" s="52">
        <v>1.102</v>
      </c>
      <c r="EI23" s="52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FC23" s="62">
        <v>2005</v>
      </c>
      <c r="FD23" s="46">
        <v>1.345327304529308</v>
      </c>
      <c r="FE23" s="63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Y23" s="62">
        <v>2005</v>
      </c>
      <c r="FZ23" s="44">
        <f t="shared" si="5"/>
        <v>1.1660000000000001</v>
      </c>
      <c r="GA23" s="63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U23" s="62">
        <v>2005</v>
      </c>
      <c r="GV23" s="53">
        <f>СЧЁТ!CN16</f>
        <v>2.1177966582962737</v>
      </c>
      <c r="GW23" s="53">
        <f t="shared" si="1"/>
        <v>1.9435906368074052</v>
      </c>
      <c r="GX23" s="63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R23" s="62">
        <v>2005</v>
      </c>
      <c r="HS23" s="54">
        <v>0.19435906368074052</v>
      </c>
      <c r="HT23" s="63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N23" s="62">
        <v>2005</v>
      </c>
      <c r="IO23" s="55">
        <v>2943.686</v>
      </c>
      <c r="IP23" s="55">
        <f t="shared" si="7"/>
        <v>3319.41</v>
      </c>
      <c r="IQ23" s="66">
        <v>3611.1</v>
      </c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J23" s="27"/>
      <c r="JL23" s="62">
        <v>2005</v>
      </c>
      <c r="JM23" s="46">
        <v>1.122</v>
      </c>
      <c r="JN23" s="63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H23" s="62">
        <v>2005</v>
      </c>
      <c r="KI23" s="46">
        <v>1.5794168498581764</v>
      </c>
      <c r="KJ23" s="46">
        <f t="shared" si="10"/>
        <v>1.5794168498581764</v>
      </c>
      <c r="KK23" s="63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LE23" s="62">
        <v>2005</v>
      </c>
      <c r="LF23" s="57">
        <v>68.339</v>
      </c>
      <c r="LG23" s="63"/>
      <c r="LH23" s="57">
        <v>5.242000000000004</v>
      </c>
      <c r="LI23" s="63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MB23" s="62">
        <v>2005</v>
      </c>
      <c r="MC23" s="67">
        <v>4030.5745825240638</v>
      </c>
      <c r="MD23" s="63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Y23" s="62">
        <v>2005</v>
      </c>
      <c r="MZ23" s="57">
        <f t="shared" si="2"/>
        <v>58.97912732881757</v>
      </c>
      <c r="NA23" s="63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V23" s="62">
        <v>2005</v>
      </c>
      <c r="NW23" s="46">
        <v>7.718849506887088</v>
      </c>
      <c r="NX23" s="57">
        <v>7.746955431049207</v>
      </c>
      <c r="NY23" s="46">
        <v>7.324439758120246</v>
      </c>
      <c r="NZ23" s="63">
        <v>10.054085870175701</v>
      </c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S23" s="27"/>
      <c r="OU23" s="62">
        <v>2005</v>
      </c>
      <c r="OV23" s="46">
        <f t="shared" si="8"/>
        <v>1.014</v>
      </c>
      <c r="OW23" s="63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Q23" s="62">
        <v>2005</v>
      </c>
      <c r="PR23" s="46">
        <f>СЧЁТ!CI16</f>
        <v>1.1532179149719812</v>
      </c>
      <c r="PS23" s="63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M23" s="62">
        <v>2005</v>
      </c>
      <c r="QN23" s="46">
        <v>1.064</v>
      </c>
      <c r="QO23" s="63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I23" s="59">
        <v>11</v>
      </c>
      <c r="RJ23" s="62">
        <v>2005</v>
      </c>
      <c r="RK23" s="55">
        <v>5665.143187777283</v>
      </c>
      <c r="RL23" s="55"/>
      <c r="RM23" s="63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G23" s="62">
        <v>2005</v>
      </c>
      <c r="SH23" s="46">
        <f t="shared" si="3"/>
        <v>0.7114691454260414</v>
      </c>
      <c r="SI23" s="63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TC23" s="62">
        <v>2005</v>
      </c>
      <c r="TD23" s="46">
        <v>1.4590991820829273</v>
      </c>
      <c r="TE23" s="63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X23" s="27"/>
      <c r="TZ23" s="62">
        <v>2005</v>
      </c>
      <c r="UA23" s="46">
        <f t="shared" si="6"/>
        <v>0.817</v>
      </c>
      <c r="UB23" s="60">
        <f>UA23</f>
        <v>0.817</v>
      </c>
      <c r="UC23" s="63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W23" s="62">
        <v>2005</v>
      </c>
      <c r="UX23" s="60">
        <f>СЧЁТ!CK16</f>
        <v>0.7503069142947425</v>
      </c>
      <c r="UY23" s="63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S23" s="62">
        <v>2005</v>
      </c>
      <c r="VT23" s="46">
        <v>1.064</v>
      </c>
      <c r="VU23" s="63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O23" s="62">
        <v>2005</v>
      </c>
      <c r="WP23" s="67">
        <v>4030.5745825240638</v>
      </c>
      <c r="WQ23" s="55"/>
      <c r="WR23" s="66">
        <v>4030.5745825240638</v>
      </c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K23" s="68">
        <v>2005</v>
      </c>
      <c r="XL23" s="44">
        <v>1</v>
      </c>
      <c r="XM23" s="63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G23" s="62">
        <v>2005</v>
      </c>
      <c r="YH23" s="46">
        <v>1.4590991820829273</v>
      </c>
      <c r="YI23" s="63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ZE23" s="22" t="s">
        <v>68</v>
      </c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1"/>
    </row>
    <row r="24" ht="20.5" customHeight="1" spans="7:692" x14ac:dyDescent="0.25">
      <c r="G24" s="62">
        <v>2006</v>
      </c>
      <c r="H24" s="44">
        <v>1.082</v>
      </c>
      <c r="I24" s="5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AD24" s="62">
        <v>2006</v>
      </c>
      <c r="AE24" s="46">
        <f t="shared" si="4"/>
        <v>1.5787453150137274</v>
      </c>
      <c r="AF24" s="46">
        <f t="shared" si="11"/>
        <v>1.5787453150137274</v>
      </c>
      <c r="AG24" s="63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BA24" s="62">
        <v>2006</v>
      </c>
      <c r="BB24" s="48">
        <v>8.577771592643286</v>
      </c>
      <c r="BC24" s="52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W24" s="62">
        <v>2006</v>
      </c>
      <c r="BX24" s="46">
        <f>ОТЧЁТ!EE424</f>
        <v>2.2752161070197054</v>
      </c>
      <c r="BY24" s="46">
        <v>2.1167408092691224</v>
      </c>
      <c r="BZ24" s="63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T24" s="62">
        <v>2006</v>
      </c>
      <c r="CU24" s="49">
        <v>443.4793040752351</v>
      </c>
      <c r="CV24" s="63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O24" s="62">
        <v>2006</v>
      </c>
      <c r="DP24" s="49">
        <f t="shared" si="0"/>
        <v>443.4793040752351</v>
      </c>
      <c r="DQ24" s="53">
        <f t="shared" si="9"/>
        <v>1.1147466941063877</v>
      </c>
      <c r="DR24" s="64">
        <v>419.14836956990854</v>
      </c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65"/>
      <c r="EG24" s="62">
        <v>2006</v>
      </c>
      <c r="EH24" s="52">
        <v>1.167</v>
      </c>
      <c r="EI24" s="52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FC24" s="62">
        <v>2006</v>
      </c>
      <c r="FD24" s="46">
        <v>1.5699969643857024</v>
      </c>
      <c r="FE24" s="63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Y24" s="62">
        <v>2006</v>
      </c>
      <c r="FZ24" s="44">
        <f t="shared" si="5"/>
        <v>1.2129999999999999</v>
      </c>
      <c r="GA24" s="63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U24" s="62">
        <v>2006</v>
      </c>
      <c r="GV24" s="53">
        <f>СЧЁТ!CN17</f>
        <v>2.56888734651338</v>
      </c>
      <c r="GW24" s="53">
        <f t="shared" si="1"/>
        <v>2.164899396186761</v>
      </c>
      <c r="GX24" s="63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R24" s="62">
        <v>2006</v>
      </c>
      <c r="HS24" s="54">
        <v>0.2164899396186761</v>
      </c>
      <c r="HT24" s="63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N24" s="62">
        <v>2006</v>
      </c>
      <c r="IO24" s="55">
        <v>3252.436</v>
      </c>
      <c r="IP24" s="55">
        <f t="shared" si="7"/>
        <v>4319.72</v>
      </c>
      <c r="IQ24" s="66">
        <v>4730</v>
      </c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J24" s="27"/>
      <c r="JL24" s="62">
        <v>2006</v>
      </c>
      <c r="JM24" s="46">
        <v>1.122</v>
      </c>
      <c r="JN24" s="63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H24" s="62">
        <v>2006</v>
      </c>
      <c r="KI24" s="46">
        <v>1.7721057055408742</v>
      </c>
      <c r="KJ24" s="46">
        <f t="shared" si="10"/>
        <v>1.7721057055408742</v>
      </c>
      <c r="KK24" s="63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LE24" s="62">
        <v>2006</v>
      </c>
      <c r="LF24" s="57">
        <v>69.169</v>
      </c>
      <c r="LG24" s="63"/>
      <c r="LH24" s="57">
        <v>5.25</v>
      </c>
      <c r="LI24" s="63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MB24" s="62">
        <v>2006</v>
      </c>
      <c r="MC24" s="67">
        <v>4389.295720368706</v>
      </c>
      <c r="MD24" s="63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Y24" s="62">
        <v>2006</v>
      </c>
      <c r="MZ24" s="57">
        <f t="shared" si="2"/>
        <v>63.457556425113935</v>
      </c>
      <c r="NA24" s="63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V24" s="62">
        <v>2006</v>
      </c>
      <c r="NW24" s="46">
        <v>7.333907061981483</v>
      </c>
      <c r="NX24" s="57">
        <v>8.444181419843636</v>
      </c>
      <c r="NY24" s="46">
        <v>8.186196716537998</v>
      </c>
      <c r="NZ24" s="63">
        <v>11.28478682823815</v>
      </c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S24" s="27"/>
      <c r="OU24" s="62">
        <v>2006</v>
      </c>
      <c r="OV24" s="46">
        <f t="shared" si="8"/>
        <v>1.023</v>
      </c>
      <c r="OW24" s="63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Q24" s="62">
        <v>2006</v>
      </c>
      <c r="PR24" s="46">
        <f>СЧЁТ!CI17</f>
        <v>1.1797419270163367</v>
      </c>
      <c r="PS24" s="63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M24" s="62">
        <v>2006</v>
      </c>
      <c r="QN24" s="46">
        <v>1.082</v>
      </c>
      <c r="QO24" s="63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I24" s="59">
        <v>12</v>
      </c>
      <c r="RJ24" s="62">
        <v>2006</v>
      </c>
      <c r="RK24" s="55">
        <v>5801.106624283938</v>
      </c>
      <c r="RL24" s="55"/>
      <c r="RM24" s="63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G24" s="62">
        <v>2006</v>
      </c>
      <c r="SH24" s="46">
        <f t="shared" si="3"/>
        <v>0.7566307611024992</v>
      </c>
      <c r="SI24" s="63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TC24" s="62">
        <v>2006</v>
      </c>
      <c r="TD24" s="46">
        <v>1.5787453150137274</v>
      </c>
      <c r="TE24" s="63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X24" s="27"/>
      <c r="TZ24" s="62">
        <v>2006</v>
      </c>
      <c r="UA24" s="46">
        <f t="shared" si="6"/>
        <v>0.9829999999999999</v>
      </c>
      <c r="UB24" s="60">
        <f t="shared" ref="UB24:UB36" si="12">UA24</f>
        <v>0.9829999999999999</v>
      </c>
      <c r="UC24" s="63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W24" s="62">
        <v>2006</v>
      </c>
      <c r="UX24" s="60">
        <f>СЧЁТ!CK17</f>
        <v>0.7375516967517318</v>
      </c>
      <c r="UY24" s="63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S24" s="62">
        <v>2006</v>
      </c>
      <c r="VT24" s="46">
        <v>1.082</v>
      </c>
      <c r="VU24" s="63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O24" s="62">
        <v>2006</v>
      </c>
      <c r="WP24" s="67">
        <v>4389.295720368706</v>
      </c>
      <c r="WQ24" s="55"/>
      <c r="WR24" s="66">
        <v>4389.295720368706</v>
      </c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K24" s="68">
        <v>2006</v>
      </c>
      <c r="XL24" s="44">
        <v>1</v>
      </c>
      <c r="XM24" s="63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G24" s="62">
        <v>2006</v>
      </c>
      <c r="YH24" s="46">
        <v>1.5787453150137274</v>
      </c>
      <c r="YI24" s="63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ZE24" s="22" t="s">
        <v>69</v>
      </c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1"/>
    </row>
    <row r="25" ht="20.5" customHeight="1" spans="7:692" x14ac:dyDescent="0.25">
      <c r="G25" s="62">
        <v>2007</v>
      </c>
      <c r="H25" s="44">
        <v>1.085</v>
      </c>
      <c r="I25" s="5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AD25" s="62">
        <v>2007</v>
      </c>
      <c r="AE25" s="46">
        <f t="shared" si="4"/>
        <v>1.7129386667898943</v>
      </c>
      <c r="AF25" s="46">
        <f t="shared" si="11"/>
        <v>1.7129386667898943</v>
      </c>
      <c r="AG25" s="63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BA25" s="62">
        <v>2007</v>
      </c>
      <c r="BB25" s="48">
        <v>8.561217930593617</v>
      </c>
      <c r="BC25" s="52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W25" s="62">
        <v>2007</v>
      </c>
      <c r="BX25" s="46">
        <f>ОТЧЁТ!EE425</f>
        <v>2.574224804669774</v>
      </c>
      <c r="BY25" s="46">
        <v>2.2500954802530773</v>
      </c>
      <c r="BZ25" s="63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T25" s="62">
        <v>2007</v>
      </c>
      <c r="CU25" s="49">
        <v>540.9869686520377</v>
      </c>
      <c r="CV25" s="63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O25" s="62">
        <v>2007</v>
      </c>
      <c r="DP25" s="49">
        <f t="shared" si="0"/>
        <v>540.9869686520377</v>
      </c>
      <c r="DQ25" s="53">
        <f t="shared" si="9"/>
        <v>1.127636565800327</v>
      </c>
      <c r="DR25" s="64">
        <v>514.2950494622778</v>
      </c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65"/>
      <c r="EG25" s="62">
        <v>2007</v>
      </c>
      <c r="EH25" s="52">
        <v>1.227</v>
      </c>
      <c r="EI25" s="52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FC25" s="62">
        <v>2007</v>
      </c>
      <c r="FD25" s="46">
        <v>1.9263862753012568</v>
      </c>
      <c r="FE25" s="63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Y25" s="62">
        <v>2007</v>
      </c>
      <c r="FZ25" s="44">
        <f t="shared" si="5"/>
        <v>1.262</v>
      </c>
      <c r="GA25" s="63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U25" s="62">
        <v>2007</v>
      </c>
      <c r="GV25" s="53">
        <f>СЧЁТ!CN18</f>
        <v>3.2419358312998856</v>
      </c>
      <c r="GW25" s="53">
        <f t="shared" si="1"/>
        <v>2.5111241157975113</v>
      </c>
      <c r="GX25" s="63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R25" s="62">
        <v>2007</v>
      </c>
      <c r="HS25" s="54">
        <v>0.2511124115797511</v>
      </c>
      <c r="HT25" s="63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N25" s="62">
        <v>2007</v>
      </c>
      <c r="IO25" s="55">
        <v>4296.411</v>
      </c>
      <c r="IP25" s="55">
        <f t="shared" si="7"/>
        <v>6008.465399999999</v>
      </c>
      <c r="IQ25" s="66">
        <v>6716.222</v>
      </c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J25" s="27"/>
      <c r="JL25" s="62">
        <v>2007</v>
      </c>
      <c r="JM25" s="46">
        <v>1.143</v>
      </c>
      <c r="JN25" s="63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H25" s="62">
        <v>2007</v>
      </c>
      <c r="KI25" s="46">
        <v>2.0255168214332193</v>
      </c>
      <c r="KJ25" s="46">
        <f t="shared" si="10"/>
        <v>2.0255168214332193</v>
      </c>
      <c r="KK25" s="63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LE25" s="62">
        <v>2007</v>
      </c>
      <c r="LF25" s="57">
        <v>70.77</v>
      </c>
      <c r="LG25" s="63"/>
      <c r="LH25" s="57">
        <v>4.5190000000000055</v>
      </c>
      <c r="LI25" s="63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MB25" s="62">
        <v>2007</v>
      </c>
      <c r="MC25" s="67">
        <v>4775.553743761152</v>
      </c>
      <c r="MD25" s="63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Y25" s="62">
        <v>2007</v>
      </c>
      <c r="MZ25" s="57">
        <f t="shared" si="2"/>
        <v>67.47991724969835</v>
      </c>
      <c r="NA25" s="63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V25" s="62">
        <v>2007</v>
      </c>
      <c r="NW25" s="46">
        <v>7.941801279807624</v>
      </c>
      <c r="NX25" s="57">
        <v>9.446505754379075</v>
      </c>
      <c r="NY25" s="46">
        <v>10.097240670067599</v>
      </c>
      <c r="NZ25" s="63">
        <v>13.059083510568804</v>
      </c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S25" s="27"/>
      <c r="OU25" s="62">
        <v>2007</v>
      </c>
      <c r="OV25" s="46">
        <f t="shared" si="8"/>
        <v>1.027</v>
      </c>
      <c r="OW25" s="63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Q25" s="62">
        <v>2007</v>
      </c>
      <c r="PR25" s="46">
        <f>СЧЁТ!CI18</f>
        <v>1.2115949590457777</v>
      </c>
      <c r="PS25" s="63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M25" s="62">
        <v>2007</v>
      </c>
      <c r="QN25" s="46">
        <v>1.085</v>
      </c>
      <c r="QO25" s="63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I25" s="59">
        <v>13</v>
      </c>
      <c r="RJ25" s="62">
        <v>2007</v>
      </c>
      <c r="RK25" s="55">
        <v>5980.940929636739</v>
      </c>
      <c r="RL25" s="55"/>
      <c r="RM25" s="63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G25" s="62">
        <v>2007</v>
      </c>
      <c r="SH25" s="46">
        <f t="shared" si="3"/>
        <v>0.7984619477007946</v>
      </c>
      <c r="SI25" s="63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TC25" s="62">
        <v>2007</v>
      </c>
      <c r="TD25" s="46">
        <v>1.7129386667898943</v>
      </c>
      <c r="TE25" s="63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X25" s="27"/>
      <c r="TZ25" s="62">
        <v>2007</v>
      </c>
      <c r="UA25" s="46">
        <f t="shared" si="6"/>
        <v>1.027</v>
      </c>
      <c r="UB25" s="60">
        <f t="shared" si="12"/>
        <v>1.027</v>
      </c>
      <c r="UC25" s="63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W25" s="62">
        <v>2007</v>
      </c>
      <c r="UX25" s="60">
        <f>СЧЁТ!CK18</f>
        <v>0.7574655925640286</v>
      </c>
      <c r="UY25" s="63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S25" s="62">
        <v>2007</v>
      </c>
      <c r="VT25" s="46">
        <v>1.085</v>
      </c>
      <c r="VU25" s="63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O25" s="62">
        <v>2007</v>
      </c>
      <c r="WP25" s="67">
        <v>4775.553743761152</v>
      </c>
      <c r="WQ25" s="55"/>
      <c r="WR25" s="66">
        <v>4775.553743761152</v>
      </c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K25" s="68">
        <v>2007</v>
      </c>
      <c r="XL25" s="44">
        <v>1</v>
      </c>
      <c r="XM25" s="63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G25" s="62">
        <v>2007</v>
      </c>
      <c r="YH25" s="46">
        <v>1.7129386667898943</v>
      </c>
      <c r="YI25" s="63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ZE25" s="22" t="s">
        <v>70</v>
      </c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1"/>
    </row>
    <row r="26" ht="20.5" customHeight="1" spans="7:692" x14ac:dyDescent="0.25">
      <c r="G26" s="62">
        <v>2008</v>
      </c>
      <c r="H26" s="44">
        <v>1.052</v>
      </c>
      <c r="I26" s="5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AD26" s="62">
        <v>2008</v>
      </c>
      <c r="AE26" s="46">
        <f t="shared" si="4"/>
        <v>1.8020114774629687</v>
      </c>
      <c r="AF26" s="46">
        <f t="shared" si="11"/>
        <v>1.8020114774629687</v>
      </c>
      <c r="AG26" s="63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BA26" s="62">
        <v>2008</v>
      </c>
      <c r="BB26" s="48">
        <v>10.360928463828223</v>
      </c>
      <c r="BC26" s="52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W26" s="62">
        <v>2008</v>
      </c>
      <c r="BX26" s="46">
        <f>ОТЧЁТ!EE426</f>
        <v>2.7497210051148255</v>
      </c>
      <c r="BY26" s="46">
        <v>2.2635960531345956</v>
      </c>
      <c r="BZ26" s="63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T26" s="62">
        <v>2008</v>
      </c>
      <c r="CU26" s="49">
        <v>616.8262633228841</v>
      </c>
      <c r="CV26" s="63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O26" s="62">
        <v>2008</v>
      </c>
      <c r="DP26" s="49">
        <f t="shared" si="0"/>
        <v>616.8262633228841</v>
      </c>
      <c r="DQ26" s="53">
        <f t="shared" si="9"/>
        <v>1.1444304358295734</v>
      </c>
      <c r="DR26" s="64">
        <v>563.1530791611942</v>
      </c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65"/>
      <c r="EG26" s="62">
        <v>2008</v>
      </c>
      <c r="EH26" s="52">
        <v>1.095</v>
      </c>
      <c r="EI26" s="52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FC26" s="62">
        <v>2008</v>
      </c>
      <c r="FD26" s="46">
        <v>2.1093929714548763</v>
      </c>
      <c r="FE26" s="63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Y26" s="62">
        <v>2008</v>
      </c>
      <c r="FZ26" s="44">
        <f t="shared" si="5"/>
        <v>1.148</v>
      </c>
      <c r="GA26" s="63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U26" s="62">
        <v>2008</v>
      </c>
      <c r="GV26" s="53">
        <f>СЧЁТ!CN19</f>
        <v>3.7217423343322684</v>
      </c>
      <c r="GW26" s="53">
        <f t="shared" si="1"/>
        <v>2.7454956999386115</v>
      </c>
      <c r="GX26" s="63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R26" s="62">
        <v>2008</v>
      </c>
      <c r="HS26" s="54">
        <v>0.27454956999386115</v>
      </c>
      <c r="HT26" s="63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N26" s="62">
        <v>2008</v>
      </c>
      <c r="IO26" s="55">
        <v>5744.847</v>
      </c>
      <c r="IP26" s="55">
        <f t="shared" si="7"/>
        <v>7963.375599999999</v>
      </c>
      <c r="IQ26" s="66">
        <v>8781.616</v>
      </c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J26" s="27"/>
      <c r="JL26" s="62">
        <v>2008</v>
      </c>
      <c r="JM26" s="46">
        <v>1.106</v>
      </c>
      <c r="JN26" s="63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H26" s="62">
        <v>2008</v>
      </c>
      <c r="KI26" s="46">
        <v>2.2402216045051406</v>
      </c>
      <c r="KJ26" s="20"/>
      <c r="KK26" s="63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LE26" s="62">
        <v>2008</v>
      </c>
      <c r="LF26" s="57">
        <v>71.003</v>
      </c>
      <c r="LG26" s="63"/>
      <c r="LH26" s="57">
        <v>4.697000000000003</v>
      </c>
      <c r="LI26" s="63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MB26" s="62">
        <v>2008</v>
      </c>
      <c r="MC26" s="67">
        <v>5014.33143094921</v>
      </c>
      <c r="MD26" s="63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Y26" s="62">
        <v>2008</v>
      </c>
      <c r="MZ26" s="57">
        <f t="shared" si="2"/>
        <v>70.62140234848118</v>
      </c>
      <c r="NA26" s="63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V26" s="62">
        <v>2008</v>
      </c>
      <c r="NW26" s="46">
        <v>9.313557709187231</v>
      </c>
      <c r="NX26" s="57">
        <v>10.701001718560617</v>
      </c>
      <c r="NY26" s="46">
        <v>12.014838376677151</v>
      </c>
      <c r="NZ26" s="63">
        <v>15.593657080025292</v>
      </c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S26" s="27"/>
      <c r="OU26" s="62">
        <v>2008</v>
      </c>
      <c r="OV26" s="46">
        <f t="shared" si="8"/>
        <v>1.034</v>
      </c>
      <c r="OW26" s="63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Q26" s="62">
        <v>2008</v>
      </c>
      <c r="PR26" s="46">
        <f>СЧЁТ!CI19</f>
        <v>1.2527891876533341</v>
      </c>
      <c r="PS26" s="63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M26" s="62">
        <v>2008</v>
      </c>
      <c r="QN26" s="46">
        <v>1.052</v>
      </c>
      <c r="QO26" s="63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I26" s="59">
        <v>14</v>
      </c>
      <c r="RJ26" s="62">
        <v>2008</v>
      </c>
      <c r="RK26" s="55">
        <v>6196.254803103662</v>
      </c>
      <c r="RL26" s="55"/>
      <c r="RM26" s="66">
        <f>RK26</f>
        <v>6196.254803103662</v>
      </c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G26" s="62">
        <v>2008</v>
      </c>
      <c r="SH26" s="46">
        <f t="shared" si="3"/>
        <v>0.8092519740210756</v>
      </c>
      <c r="SI26" s="63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TC26" s="62">
        <v>2008</v>
      </c>
      <c r="TD26" s="46">
        <v>1.8020114774629687</v>
      </c>
      <c r="TE26" s="63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X26" s="27"/>
      <c r="TZ26" s="62">
        <v>2008</v>
      </c>
      <c r="UA26" s="46">
        <f t="shared" si="6"/>
        <v>0.986</v>
      </c>
      <c r="UB26" s="60">
        <f t="shared" si="12"/>
        <v>0.986</v>
      </c>
      <c r="UC26" s="63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W26" s="62">
        <v>2008</v>
      </c>
      <c r="UX26" s="60">
        <f>СЧЁТ!CK19</f>
        <v>0.7468610742681322</v>
      </c>
      <c r="UY26" s="63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S26" s="62">
        <v>2008</v>
      </c>
      <c r="VT26" s="46">
        <v>1.052</v>
      </c>
      <c r="VU26" s="63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O26" s="62">
        <v>2008</v>
      </c>
      <c r="WP26" s="67">
        <v>5014.33143094921</v>
      </c>
      <c r="WQ26" s="55">
        <f t="shared" ref="WQ26:WQ53" si="13">0.809*RM26</f>
        <v>5012.770135710863</v>
      </c>
      <c r="WR26" s="66">
        <v>5014.33143094921</v>
      </c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K26" s="68">
        <v>2008</v>
      </c>
      <c r="XL26" s="44">
        <v>1</v>
      </c>
      <c r="XM26" s="63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G26" s="62">
        <v>2008</v>
      </c>
      <c r="YH26" s="46">
        <v>1.8020114774629687</v>
      </c>
      <c r="YI26" s="63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ZE26" s="22" t="s">
        <v>71</v>
      </c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1"/>
    </row>
    <row r="27" ht="20.5" customHeight="1" spans="7:692" x14ac:dyDescent="0.25">
      <c r="G27" s="62">
        <v>2009</v>
      </c>
      <c r="H27" s="44">
        <v>0.921</v>
      </c>
      <c r="I27" s="5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AD27" s="62">
        <v>2009</v>
      </c>
      <c r="AE27" s="46">
        <f t="shared" si="4"/>
        <v>1.6596525707433942</v>
      </c>
      <c r="AF27" s="20"/>
      <c r="AG27" s="63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BA27" s="62">
        <v>2009</v>
      </c>
      <c r="BB27" s="48">
        <v>10.685163024983835</v>
      </c>
      <c r="BC27" s="52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W27" s="62">
        <v>2009</v>
      </c>
      <c r="BX27" s="46">
        <f>ОТЧЁТ!EE427</f>
        <v>1.8560505362598563</v>
      </c>
      <c r="BY27" s="46">
        <v>2.1572070386372695</v>
      </c>
      <c r="BZ27" s="63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T27" s="62">
        <v>2009</v>
      </c>
      <c r="CU27" s="49">
        <v>595.880172413793</v>
      </c>
      <c r="CV27" s="63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O27" s="62">
        <v>2009</v>
      </c>
      <c r="DP27" s="49">
        <f t="shared" si="0"/>
        <v>595.880172413793</v>
      </c>
      <c r="DQ27" s="53">
        <f t="shared" si="9"/>
        <v>1.179845532637899</v>
      </c>
      <c r="DR27" s="64">
        <v>487.127413474433</v>
      </c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65"/>
      <c r="EG27" s="62">
        <v>2009</v>
      </c>
      <c r="EH27" s="52">
        <v>0.865</v>
      </c>
      <c r="EI27" s="52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FC27" s="62">
        <v>2009</v>
      </c>
      <c r="FD27" s="46">
        <v>1.824624920308468</v>
      </c>
      <c r="FE27" s="63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Y27" s="62">
        <v>2009</v>
      </c>
      <c r="FZ27" s="44">
        <f t="shared" si="5"/>
        <v>0.6960000000000001</v>
      </c>
      <c r="GA27" s="63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U27" s="62">
        <v>2009</v>
      </c>
      <c r="GV27" s="53">
        <f>СЧЁТ!CN20</f>
        <v>2.590332664695259</v>
      </c>
      <c r="GW27" s="53">
        <f t="shared" si="1"/>
        <v>2.0635691222000796</v>
      </c>
      <c r="GX27" s="63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R27" s="62">
        <v>2009</v>
      </c>
      <c r="HS27" s="54">
        <v>0.20635691222000796</v>
      </c>
      <c r="HT27" s="63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N27" s="62">
        <v>2009</v>
      </c>
      <c r="IO27" s="55">
        <v>6356.223</v>
      </c>
      <c r="IP27" s="55">
        <f t="shared" si="7"/>
        <v>8011.1545</v>
      </c>
      <c r="IQ27" s="66">
        <v>7976.013</v>
      </c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J27" s="27"/>
      <c r="JL27" s="62">
        <v>2009</v>
      </c>
      <c r="JM27" s="46">
        <v>0.949</v>
      </c>
      <c r="JN27" s="63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H27" s="62">
        <v>2009</v>
      </c>
      <c r="KI27" s="46">
        <v>2.1259703026753782</v>
      </c>
      <c r="KJ27" s="20"/>
      <c r="KK27" s="63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LE27" s="62">
        <v>2009</v>
      </c>
      <c r="LF27" s="57">
        <v>69.41</v>
      </c>
      <c r="LG27" s="63"/>
      <c r="LH27" s="57">
        <v>6.284000000000006</v>
      </c>
      <c r="LI27" s="63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MB27" s="62">
        <v>2009</v>
      </c>
      <c r="MC27" s="67">
        <v>4643.270905058968</v>
      </c>
      <c r="MD27" s="63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Y27" s="62">
        <v>2009</v>
      </c>
      <c r="MZ27" s="57">
        <f t="shared" si="2"/>
        <v>66.89628158851706</v>
      </c>
      <c r="NA27" s="63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V27" s="62">
        <v>2009</v>
      </c>
      <c r="NW27" s="46">
        <v>10.66694831320229</v>
      </c>
      <c r="NX27" s="57">
        <v>11.642689869793951</v>
      </c>
      <c r="NY27" s="46">
        <v>12.870829474853368</v>
      </c>
      <c r="NZ27" s="63">
        <v>16.373566297801105</v>
      </c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S27" s="27"/>
      <c r="OU27" s="62">
        <v>2009</v>
      </c>
      <c r="OV27" s="46">
        <f t="shared" si="8"/>
        <v>0.994</v>
      </c>
      <c r="OW27" s="63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Q27" s="62">
        <v>2009</v>
      </c>
      <c r="PR27" s="46">
        <f>СЧЁТ!CI20</f>
        <v>1.2452724525274141</v>
      </c>
      <c r="PS27" s="63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M27" s="62">
        <v>2009</v>
      </c>
      <c r="QN27" s="46">
        <v>0.921</v>
      </c>
      <c r="QO27" s="63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I27" s="59">
        <v>15</v>
      </c>
      <c r="RJ27" s="62">
        <v>2009</v>
      </c>
      <c r="RK27" s="55">
        <v>6394.53495680298</v>
      </c>
      <c r="RL27" s="55"/>
      <c r="RM27" s="66">
        <f t="shared" ref="RM27:RM36" si="14">RK27</f>
        <v>6394.53495680298</v>
      </c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G27" s="62">
        <v>2009</v>
      </c>
      <c r="SH27" s="46">
        <f t="shared" si="3"/>
        <v>0.7261311317282132</v>
      </c>
      <c r="SI27" s="63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TC27" s="62">
        <v>2009</v>
      </c>
      <c r="TD27" s="46">
        <v>1.6596525707433942</v>
      </c>
      <c r="TE27" s="63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X27" s="27"/>
      <c r="TZ27" s="62">
        <v>2009</v>
      </c>
      <c r="UA27" s="46">
        <f t="shared" si="6"/>
        <v>0.92</v>
      </c>
      <c r="UB27" s="60">
        <f t="shared" si="12"/>
        <v>0.92</v>
      </c>
      <c r="UC27" s="63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W27" s="62">
        <v>2009</v>
      </c>
      <c r="UX27" s="60">
        <f>СЧЁТ!CK20</f>
        <v>0.6871121883266816</v>
      </c>
      <c r="UY27" s="63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S27" s="62">
        <v>2009</v>
      </c>
      <c r="VT27" s="46">
        <v>0.921</v>
      </c>
      <c r="VU27" s="63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O27" s="62">
        <v>2009</v>
      </c>
      <c r="WP27" s="67">
        <v>4643.270905058968</v>
      </c>
      <c r="WQ27" s="55">
        <f t="shared" si="13"/>
        <v>5173.178780053611</v>
      </c>
      <c r="WR27" s="66">
        <v>4643.270905058968</v>
      </c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K27" s="68">
        <v>2009</v>
      </c>
      <c r="XL27" s="44">
        <f>1 -(WQ27-WP27)/WQ27</f>
        <v>0.8975662938544042</v>
      </c>
      <c r="XM27" s="63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G27" s="62">
        <v>2009</v>
      </c>
      <c r="YH27" s="46">
        <v>1.6596525707433942</v>
      </c>
      <c r="YI27" s="63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ZE27" s="22" t="s">
        <v>72</v>
      </c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1"/>
    </row>
    <row r="28" ht="20.5" customHeight="1" spans="7:692" x14ac:dyDescent="0.25">
      <c r="G28" s="62">
        <v>2010</v>
      </c>
      <c r="H28" s="44">
        <v>1.045</v>
      </c>
      <c r="I28" s="5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AD28" s="62">
        <v>2010</v>
      </c>
      <c r="AE28" s="46">
        <f t="shared" si="4"/>
        <v>1.7343369364268468</v>
      </c>
      <c r="AF28" s="20"/>
      <c r="AG28" s="6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BA28" s="62">
        <v>2010</v>
      </c>
      <c r="BB28" s="48">
        <v>12.376778209553063</v>
      </c>
      <c r="BC28" s="52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W28" s="62">
        <v>2010</v>
      </c>
      <c r="BX28" s="46">
        <f>ОТЧЁТ!EE428</f>
        <v>2.330390730221253</v>
      </c>
      <c r="BY28" s="46">
        <v>2.3082115313418785</v>
      </c>
      <c r="BZ28" s="63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T28" s="62">
        <v>2010</v>
      </c>
      <c r="CU28" s="49">
        <v>556.5520810344827</v>
      </c>
      <c r="CV28" s="63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O28" s="62">
        <v>2010</v>
      </c>
      <c r="DP28" s="49">
        <f t="shared" si="0"/>
        <v>556.5520810344827</v>
      </c>
      <c r="DQ28" s="53">
        <f t="shared" si="9"/>
        <v>1.0781457205437925</v>
      </c>
      <c r="DR28" s="64">
        <v>517.8164405233223</v>
      </c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65"/>
      <c r="EG28" s="62">
        <v>2010</v>
      </c>
      <c r="EH28" s="52">
        <v>1.063</v>
      </c>
      <c r="EI28" s="52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FC28" s="62">
        <v>2010</v>
      </c>
      <c r="FD28" s="46">
        <v>1.9395762902879012</v>
      </c>
      <c r="FE28" s="63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Y28" s="62">
        <v>2010</v>
      </c>
      <c r="FZ28" s="44">
        <f t="shared" si="5"/>
        <v>1.2579999999999998</v>
      </c>
      <c r="GA28" s="63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U28" s="62">
        <v>2010</v>
      </c>
      <c r="GV28" s="53">
        <f>СЧЁТ!CN21</f>
        <v>3.2586384921866354</v>
      </c>
      <c r="GW28" s="53">
        <f t="shared" si="1"/>
        <v>2.4723523387882858</v>
      </c>
      <c r="GX28" s="63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R28" s="62">
        <v>2010</v>
      </c>
      <c r="HS28" s="54">
        <v>0.2472352338788286</v>
      </c>
      <c r="HT28" s="63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N28" s="62">
        <v>2010</v>
      </c>
      <c r="IO28" s="55">
        <v>6275.931</v>
      </c>
      <c r="IP28" s="55">
        <f t="shared" si="7"/>
        <v>8879.8342</v>
      </c>
      <c r="IQ28" s="66">
        <v>9152.1</v>
      </c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J28" s="27"/>
      <c r="JL28" s="62">
        <v>2010</v>
      </c>
      <c r="JM28" s="46">
        <v>1.055</v>
      </c>
      <c r="JN28" s="63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H28" s="62">
        <v>2010</v>
      </c>
      <c r="KI28" s="46">
        <v>2.242898669322524</v>
      </c>
      <c r="KJ28" s="20"/>
      <c r="KK28" s="63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LE28" s="62">
        <v>2010</v>
      </c>
      <c r="LF28" s="57">
        <v>69.93370846147305</v>
      </c>
      <c r="LG28" s="63"/>
      <c r="LH28" s="57">
        <v>5.544165583815838</v>
      </c>
      <c r="LI28" s="63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MB28" s="62">
        <v>2010</v>
      </c>
      <c r="MC28" s="67">
        <v>4875.434450311916</v>
      </c>
      <c r="MD28" s="63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Y28" s="62">
        <v>2010</v>
      </c>
      <c r="MZ28" s="57">
        <f t="shared" si="2"/>
        <v>69.7150852939227</v>
      </c>
      <c r="NA28" s="63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V28" s="62">
        <v>2010</v>
      </c>
      <c r="NW28" s="46">
        <v>11.27644871677545</v>
      </c>
      <c r="NX28" s="57">
        <v>12.664918040361862</v>
      </c>
      <c r="NY28" s="46">
        <v>14.148307151553455</v>
      </c>
      <c r="NZ28" s="63">
        <v>17.674409856030426</v>
      </c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S28" s="27"/>
      <c r="OU28" s="62">
        <v>2010</v>
      </c>
      <c r="OV28" s="46">
        <f t="shared" si="8"/>
        <v>0.985</v>
      </c>
      <c r="OW28" s="63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Q28" s="62">
        <v>2010</v>
      </c>
      <c r="PR28" s="46">
        <f>СЧЁТ!CI21</f>
        <v>1.226593365739503</v>
      </c>
      <c r="PS28" s="63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M28" s="62">
        <v>2010</v>
      </c>
      <c r="QN28" s="46">
        <v>1.045</v>
      </c>
      <c r="QO28" s="63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I28" s="59">
        <v>16</v>
      </c>
      <c r="RJ28" s="62">
        <v>2010</v>
      </c>
      <c r="RK28" s="55">
        <v>6586.37100550707</v>
      </c>
      <c r="RL28" s="55"/>
      <c r="RM28" s="66">
        <f t="shared" si="14"/>
        <v>6586.37100550707</v>
      </c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G28" s="62">
        <v>2010</v>
      </c>
      <c r="SH28" s="46">
        <f t="shared" si="3"/>
        <v>0.7402307653540036</v>
      </c>
      <c r="SI28" s="63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TC28" s="62">
        <v>2010</v>
      </c>
      <c r="TD28" s="46">
        <v>1.7343369364268468</v>
      </c>
      <c r="TE28" s="63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X28" s="27"/>
      <c r="TZ28" s="62">
        <v>2010</v>
      </c>
      <c r="UA28" s="46">
        <f t="shared" si="6"/>
        <v>0.995</v>
      </c>
      <c r="UB28" s="60">
        <f t="shared" si="12"/>
        <v>0.995</v>
      </c>
      <c r="UC28" s="63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W28" s="62">
        <v>2010</v>
      </c>
      <c r="UX28" s="60">
        <f>СЧЁТ!CK21</f>
        <v>0.6836766273850482</v>
      </c>
      <c r="UY28" s="63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S28" s="62">
        <v>2010</v>
      </c>
      <c r="VT28" s="46">
        <v>1.045</v>
      </c>
      <c r="VU28" s="63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O28" s="62">
        <v>2010</v>
      </c>
      <c r="WP28" s="67">
        <v>4875.434450311916</v>
      </c>
      <c r="WQ28" s="55">
        <f t="shared" si="13"/>
        <v>5328.374143455219</v>
      </c>
      <c r="WR28" s="66">
        <v>4875.434450311916</v>
      </c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K28" s="68">
        <v>2010</v>
      </c>
      <c r="XL28" s="44">
        <f t="shared" ref="XL28:XL36" si="15">1 -(WQ28-WP28)/WQ28</f>
        <v>0.9149947655797325</v>
      </c>
      <c r="XM28" s="63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G28" s="62">
        <v>2010</v>
      </c>
      <c r="YH28" s="46">
        <v>1.7343369364268468</v>
      </c>
      <c r="YI28" s="63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ZE28" s="22" t="s">
        <v>73</v>
      </c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1"/>
    </row>
    <row r="29" ht="20.5" customHeight="1" spans="7:692" x14ac:dyDescent="0.25">
      <c r="G29" s="62">
        <v>2011</v>
      </c>
      <c r="H29" s="44">
        <v>1.043</v>
      </c>
      <c r="I29" s="5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AD29" s="62">
        <v>2011</v>
      </c>
      <c r="AE29" s="46">
        <f t="shared" si="4"/>
        <v>1.808913424693201</v>
      </c>
      <c r="AF29" s="20"/>
      <c r="AG29" s="63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BA29" s="62">
        <v>2011</v>
      </c>
      <c r="BB29" s="48">
        <v>14.886630426588821</v>
      </c>
      <c r="BC29" s="52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W29" s="62">
        <v>2011</v>
      </c>
      <c r="BX29" s="46">
        <f>ОТЧЁТ!EE429</f>
        <v>2.683219177751119</v>
      </c>
      <c r="BY29" s="46">
        <v>2.315136165935904</v>
      </c>
      <c r="BZ29" s="63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T29" s="62">
        <v>2011</v>
      </c>
      <c r="CU29" s="49">
        <v>717.5262886488664</v>
      </c>
      <c r="CV29" s="63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O29" s="62">
        <v>2011</v>
      </c>
      <c r="DP29" s="49">
        <f t="shared" si="0"/>
        <v>717.5262886488664</v>
      </c>
      <c r="DQ29" s="53">
        <f t="shared" si="9"/>
        <v>1.2954205891742936</v>
      </c>
      <c r="DR29" s="64">
        <v>573.7406160998412</v>
      </c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65"/>
      <c r="EG29" s="62">
        <v>2011</v>
      </c>
      <c r="EH29" s="52">
        <v>1.108</v>
      </c>
      <c r="EI29" s="52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FC29" s="62">
        <v>2011</v>
      </c>
      <c r="FD29" s="46">
        <v>2.149050529638995</v>
      </c>
      <c r="FE29" s="63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Y29" s="62">
        <v>2011</v>
      </c>
      <c r="FZ29" s="44">
        <f t="shared" si="5"/>
        <v>1.2029999999999998</v>
      </c>
      <c r="GA29" s="63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U29" s="62">
        <v>2011</v>
      </c>
      <c r="GV29" s="53">
        <f>СЧЁТ!CN22</f>
        <v>3.920142106100522</v>
      </c>
      <c r="GW29" s="53">
        <f t="shared" si="1"/>
        <v>2.851620195169998</v>
      </c>
      <c r="GX29" s="63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R29" s="62">
        <v>2011</v>
      </c>
      <c r="HS29" s="54">
        <v>0.2851620195169998</v>
      </c>
      <c r="HT29" s="63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N29" s="62">
        <v>2011</v>
      </c>
      <c r="IO29" s="55">
        <v>8813.314</v>
      </c>
      <c r="IP29" s="55">
        <f t="shared" si="7"/>
        <v>10352.9777</v>
      </c>
      <c r="IQ29" s="66">
        <v>11035.652</v>
      </c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J29" s="27"/>
      <c r="JL29" s="62">
        <v>2011</v>
      </c>
      <c r="JM29" s="46">
        <v>1.068</v>
      </c>
      <c r="JN29" s="63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H29" s="62">
        <v>2011</v>
      </c>
      <c r="KI29" s="46">
        <v>2.3954157788364556</v>
      </c>
      <c r="KJ29" s="20"/>
      <c r="KK29" s="63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LE29" s="62">
        <v>2011</v>
      </c>
      <c r="LF29" s="57">
        <v>70.85661311334043</v>
      </c>
      <c r="LG29" s="63"/>
      <c r="LH29" s="57">
        <v>4.922399755454807</v>
      </c>
      <c r="LI29" s="63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MB29" s="62">
        <v>2011</v>
      </c>
      <c r="MC29" s="67">
        <v>5085.078131675329</v>
      </c>
      <c r="MD29" s="63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Y29" s="62">
        <v>2011</v>
      </c>
      <c r="MZ29" s="57">
        <f t="shared" si="2"/>
        <v>71.76575210476639</v>
      </c>
      <c r="NA29" s="63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V29" s="62">
        <v>2011</v>
      </c>
      <c r="NW29" s="46">
        <v>12.282914423380722</v>
      </c>
      <c r="NX29" s="57">
        <v>13.437478040823935</v>
      </c>
      <c r="NY29" s="46">
        <v>15.766970202222982</v>
      </c>
      <c r="NZ29" s="63">
        <v>19.234566440524752</v>
      </c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S29" s="27"/>
      <c r="OU29" s="62">
        <v>2011</v>
      </c>
      <c r="OV29" s="46">
        <f t="shared" si="8"/>
        <v>1.014</v>
      </c>
      <c r="OW29" s="63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Q29" s="62">
        <v>2011</v>
      </c>
      <c r="PR29" s="46">
        <f>СЧЁТ!CI22</f>
        <v>1.243765672859856</v>
      </c>
      <c r="PS29" s="63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M29" s="62">
        <v>2011</v>
      </c>
      <c r="QN29" s="46">
        <v>1.043</v>
      </c>
      <c r="QO29" s="63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I29" s="59">
        <v>17</v>
      </c>
      <c r="RJ29" s="62">
        <v>2011</v>
      </c>
      <c r="RK29" s="55">
        <v>6849.825845727352</v>
      </c>
      <c r="RL29" s="55"/>
      <c r="RM29" s="66">
        <f t="shared" si="14"/>
        <v>6849.825845727352</v>
      </c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G29" s="62">
        <v>2011</v>
      </c>
      <c r="SH29" s="46">
        <f t="shared" si="3"/>
        <v>0.7423660464079095</v>
      </c>
      <c r="SI29" s="63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TC29" s="62">
        <v>2011</v>
      </c>
      <c r="TD29" s="46">
        <v>1.808913424693201</v>
      </c>
      <c r="TE29" s="63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X29" s="27"/>
      <c r="TZ29" s="62">
        <v>2011</v>
      </c>
      <c r="UA29" s="46">
        <f t="shared" si="6"/>
        <v>0.951</v>
      </c>
      <c r="UB29" s="60">
        <f t="shared" si="12"/>
        <v>0.951</v>
      </c>
      <c r="UC29" s="63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W29" s="62">
        <v>2011</v>
      </c>
      <c r="UX29" s="60">
        <f>СЧЁТ!CK22</f>
        <v>0.6501764726431808</v>
      </c>
      <c r="UY29" s="63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S29" s="62">
        <v>2011</v>
      </c>
      <c r="VT29" s="46">
        <v>1.043</v>
      </c>
      <c r="VU29" s="63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O29" s="62">
        <v>2011</v>
      </c>
      <c r="WP29" s="67">
        <v>5085.078131675329</v>
      </c>
      <c r="WQ29" s="55">
        <f t="shared" si="13"/>
        <v>5541.509109193428</v>
      </c>
      <c r="WR29" s="66">
        <v>5085.078131675329</v>
      </c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K29" s="68">
        <v>2011</v>
      </c>
      <c r="XL29" s="44">
        <f t="shared" si="15"/>
        <v>0.9176341735573664</v>
      </c>
      <c r="XM29" s="63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G29" s="62">
        <v>2011</v>
      </c>
      <c r="YH29" s="46">
        <v>1.808913424693201</v>
      </c>
      <c r="YI29" s="63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ZE29" s="22" t="s">
        <v>74</v>
      </c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1"/>
    </row>
    <row r="30" ht="20.5" customHeight="1" spans="7:692" x14ac:dyDescent="0.25">
      <c r="G30" s="62">
        <v>2012</v>
      </c>
      <c r="H30" s="44">
        <v>1.0365590157306384</v>
      </c>
      <c r="I30" s="5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AD30" s="62">
        <v>2012</v>
      </c>
      <c r="AE30" s="46">
        <f t="shared" si="4"/>
        <v>1.8750455190419226</v>
      </c>
      <c r="AF30" s="20"/>
      <c r="AG30" s="6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BA30" s="62">
        <v>2012</v>
      </c>
      <c r="BB30" s="48">
        <v>15.682710215951944</v>
      </c>
      <c r="BC30" s="52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W30" s="62">
        <v>2012</v>
      </c>
      <c r="BX30" s="46">
        <f>ОТЧЁТ!EE430</f>
        <v>2.7827564782033063</v>
      </c>
      <c r="BY30" s="46">
        <v>2.3475480722590065</v>
      </c>
      <c r="BZ30" s="63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T30" s="62">
        <v>2012</v>
      </c>
      <c r="CU30" s="49">
        <v>780.3098389056421</v>
      </c>
      <c r="CV30" s="63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O30" s="62">
        <v>2012</v>
      </c>
      <c r="DP30" s="49">
        <f t="shared" si="0"/>
        <v>780.3098389056421</v>
      </c>
      <c r="DQ30" s="53">
        <f t="shared" si="9"/>
        <v>1.3104358474452877</v>
      </c>
      <c r="DR30" s="64">
        <v>612.7549779946304</v>
      </c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65"/>
      <c r="EG30" s="62">
        <v>2012</v>
      </c>
      <c r="EH30" s="52">
        <v>1.068</v>
      </c>
      <c r="EI30" s="52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FC30" s="62">
        <v>2012</v>
      </c>
      <c r="FD30" s="46">
        <v>2.2951859656544467</v>
      </c>
      <c r="FE30" s="63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Y30" s="62">
        <v>2012</v>
      </c>
      <c r="FZ30" s="44">
        <f t="shared" si="5"/>
        <v>1.097</v>
      </c>
      <c r="GA30" s="63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U30" s="62">
        <v>2012</v>
      </c>
      <c r="GV30" s="53">
        <f>СЧЁТ!CN23</f>
        <v>4.300395890392273</v>
      </c>
      <c r="GW30" s="53">
        <f t="shared" si="1"/>
        <v>3.010805923100566</v>
      </c>
      <c r="GX30" s="63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R30" s="62">
        <v>2012</v>
      </c>
      <c r="HS30" s="54">
        <v>0.3010805923100566</v>
      </c>
      <c r="HT30" s="63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N30" s="62">
        <v>2012</v>
      </c>
      <c r="IO30" s="55">
        <v>10338.4</v>
      </c>
      <c r="IP30" s="55">
        <f t="shared" si="7"/>
        <v>11932.60368</v>
      </c>
      <c r="IQ30" s="66">
        <v>12586.090400000001</v>
      </c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J30" s="27"/>
      <c r="JL30" s="62">
        <v>2012</v>
      </c>
      <c r="JM30" s="46">
        <v>1.079</v>
      </c>
      <c r="JN30" s="63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H30" s="62">
        <v>2012</v>
      </c>
      <c r="KI30" s="46">
        <v>2.5846536253645356</v>
      </c>
      <c r="KJ30" s="20"/>
      <c r="KK30" s="63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LE30" s="62">
        <v>2012</v>
      </c>
      <c r="LF30" s="57">
        <v>71.54541586357954</v>
      </c>
      <c r="LG30" s="63"/>
      <c r="LH30" s="57">
        <v>4.130659994510245</v>
      </c>
      <c r="LI30" s="63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MB30" s="62">
        <v>2012</v>
      </c>
      <c r="MC30" s="67">
        <v>5283.396178810667</v>
      </c>
      <c r="MD30" s="63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Y30" s="62">
        <v>2012</v>
      </c>
      <c r="MZ30" s="57">
        <f t="shared" si="2"/>
        <v>73.84674636436351</v>
      </c>
      <c r="NA30" s="63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V30" s="62">
        <v>2012</v>
      </c>
      <c r="NW30" s="46">
        <v>13.249096044334456</v>
      </c>
      <c r="NX30" s="57">
        <v>14.321664095910151</v>
      </c>
      <c r="NY30" s="46">
        <v>16.974068796381736</v>
      </c>
      <c r="NZ30" s="63">
        <v>20.540168341333807</v>
      </c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S30" s="27"/>
      <c r="OU30" s="62">
        <v>2012</v>
      </c>
      <c r="OV30" s="46">
        <f t="shared" si="8"/>
        <v>1.026</v>
      </c>
      <c r="OW30" s="63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Q30" s="62">
        <v>2012</v>
      </c>
      <c r="PR30" s="46">
        <f>СЧЁТ!CI23</f>
        <v>1.2761035803542125</v>
      </c>
      <c r="PS30" s="63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M30" s="62">
        <v>2012</v>
      </c>
      <c r="QN30" s="46">
        <v>1.0365590157306384</v>
      </c>
      <c r="QO30" s="63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I30" s="59">
        <v>18</v>
      </c>
      <c r="RJ30" s="62">
        <v>2012</v>
      </c>
      <c r="RK30" s="55">
        <v>7144.368357093628</v>
      </c>
      <c r="RL30" s="55"/>
      <c r="RM30" s="66">
        <f t="shared" si="14"/>
        <v>7144.368357093628</v>
      </c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G30" s="62">
        <v>2012</v>
      </c>
      <c r="SH30" s="46">
        <f t="shared" si="3"/>
        <v>0.7395190050027017</v>
      </c>
      <c r="SI30" s="63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TC30" s="62">
        <v>2012</v>
      </c>
      <c r="TD30" s="46">
        <v>1.8750455190419226</v>
      </c>
      <c r="TE30" s="63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X30" s="27"/>
      <c r="TZ30" s="62">
        <v>2012</v>
      </c>
      <c r="UA30" s="46">
        <f t="shared" si="6"/>
        <v>0.99</v>
      </c>
      <c r="UB30" s="60">
        <f t="shared" si="12"/>
        <v>0.99</v>
      </c>
      <c r="UC30" s="63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W30" s="62">
        <v>2012</v>
      </c>
      <c r="UX30" s="60">
        <f>СЧЁТ!CK23</f>
        <v>0.643674707916749</v>
      </c>
      <c r="UY30" s="63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S30" s="62">
        <v>2012</v>
      </c>
      <c r="VT30" s="46">
        <v>1.0365590157306384</v>
      </c>
      <c r="VU30" s="63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O30" s="62">
        <v>2012</v>
      </c>
      <c r="WP30" s="67">
        <v>5283.396178810667</v>
      </c>
      <c r="WQ30" s="55">
        <f t="shared" si="13"/>
        <v>5779.794000888745</v>
      </c>
      <c r="WR30" s="66">
        <v>5283.396178810667</v>
      </c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K30" s="68">
        <v>2012</v>
      </c>
      <c r="XL30" s="44">
        <f t="shared" si="15"/>
        <v>0.9141149629205213</v>
      </c>
      <c r="XM30" s="63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G30" s="62">
        <v>2012</v>
      </c>
      <c r="YH30" s="46">
        <v>1.8750455190419226</v>
      </c>
      <c r="YI30" s="63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ZE30" s="22" t="s">
        <v>75</v>
      </c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1"/>
    </row>
    <row r="31" ht="20.5" customHeight="1" spans="7:692" x14ac:dyDescent="0.25">
      <c r="G31" s="62">
        <v>2013</v>
      </c>
      <c r="H31" s="44">
        <v>1.0178535450091057</v>
      </c>
      <c r="I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AD31" s="62">
        <v>2013</v>
      </c>
      <c r="AE31" s="46">
        <f t="shared" si="4"/>
        <v>1.9085217286102596</v>
      </c>
      <c r="AF31" s="20"/>
      <c r="AG31" s="63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BA31" s="62">
        <v>2013</v>
      </c>
      <c r="BB31" s="48">
        <v>15.596922733834738</v>
      </c>
      <c r="BC31" s="52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W31" s="62">
        <v>2013</v>
      </c>
      <c r="BX31" s="46">
        <f>ОТЧЁТ!EE431</f>
        <v>2.7806418221752773</v>
      </c>
      <c r="BY31" s="46">
        <v>2.455535283582921</v>
      </c>
      <c r="BZ31" s="63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T31" s="62">
        <v>2013</v>
      </c>
      <c r="CU31" s="49">
        <v>788.2455899673125</v>
      </c>
      <c r="CV31" s="63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O31" s="62">
        <v>2013</v>
      </c>
      <c r="DP31" s="49">
        <f t="shared" si="0"/>
        <v>788.2455899673125</v>
      </c>
      <c r="DQ31" s="53">
        <f t="shared" si="9"/>
        <v>1.2873835370755577</v>
      </c>
      <c r="DR31" s="64">
        <v>617.6570178185874</v>
      </c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65"/>
      <c r="EG31" s="62">
        <v>2013</v>
      </c>
      <c r="EH31" s="52">
        <v>1.008</v>
      </c>
      <c r="EI31" s="52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FC31" s="62">
        <v>2013</v>
      </c>
      <c r="FD31" s="46">
        <v>2.313547453379682</v>
      </c>
      <c r="FE31" s="63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Y31" s="62">
        <v>2013</v>
      </c>
      <c r="FZ31" s="44">
        <f t="shared" si="5"/>
        <v>1.035</v>
      </c>
      <c r="GA31" s="63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U31" s="62">
        <v>2013</v>
      </c>
      <c r="GV31" s="53">
        <f>СЧЁТ!CN24</f>
        <v>4.450909746556002</v>
      </c>
      <c r="GW31" s="53">
        <f t="shared" si="1"/>
        <v>3.052090235464335</v>
      </c>
      <c r="GX31" s="63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R31" s="62">
        <v>2013</v>
      </c>
      <c r="HS31" s="54">
        <v>0.3052090235464335</v>
      </c>
      <c r="HT31" s="63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N31" s="62">
        <v>2013</v>
      </c>
      <c r="IO31" s="55">
        <v>11160.485</v>
      </c>
      <c r="IP31" s="55">
        <f t="shared" si="7"/>
        <v>13035.95002</v>
      </c>
      <c r="IQ31" s="66">
        <v>13450.2382</v>
      </c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J31" s="27"/>
      <c r="JL31" s="62">
        <v>2013</v>
      </c>
      <c r="JM31" s="46">
        <v>1.052</v>
      </c>
      <c r="JN31" s="63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H31" s="62">
        <v>2013</v>
      </c>
      <c r="KI31" s="46">
        <v>2.7190556138834916</v>
      </c>
      <c r="KJ31" s="20"/>
      <c r="KK31" s="63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LE31" s="62">
        <v>2013</v>
      </c>
      <c r="LF31" s="57">
        <v>71.391459581339</v>
      </c>
      <c r="LG31" s="63"/>
      <c r="LH31" s="57">
        <v>4.137443347976</v>
      </c>
      <c r="LI31" s="63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MB31" s="62">
        <v>2013</v>
      </c>
      <c r="MC31" s="67">
        <v>5394.347498565691</v>
      </c>
      <c r="MD31" s="63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Y31" s="62">
        <v>2013</v>
      </c>
      <c r="MZ31" s="57">
        <f t="shared" si="2"/>
        <v>75.56012344053151</v>
      </c>
      <c r="NA31" s="63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V31" s="62">
        <v>2013</v>
      </c>
      <c r="NW31" s="46">
        <v>14.15863931501705</v>
      </c>
      <c r="NX31" s="57">
        <v>15.245411430096356</v>
      </c>
      <c r="NY31" s="46">
        <v>17.95315842273053</v>
      </c>
      <c r="NZ31" s="63">
        <v>21.77622501158156</v>
      </c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S31" s="27"/>
      <c r="OU31" s="62">
        <v>2013</v>
      </c>
      <c r="OV31" s="46">
        <f t="shared" si="8"/>
        <v>1.0090000000000001</v>
      </c>
      <c r="OW31" s="63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Q31" s="62">
        <v>2013</v>
      </c>
      <c r="PR31" s="46">
        <f>СЧЁТ!CI24</f>
        <v>1.2875885125774005</v>
      </c>
      <c r="PS31" s="63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M31" s="62">
        <v>2013</v>
      </c>
      <c r="QN31" s="46">
        <v>1.0178535450091057</v>
      </c>
      <c r="QO31" s="63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I31" s="59">
        <v>19</v>
      </c>
      <c r="RJ31" s="62">
        <v>2013</v>
      </c>
      <c r="RK31" s="55">
        <v>7437.287459734466</v>
      </c>
      <c r="RL31" s="55"/>
      <c r="RM31" s="66">
        <f t="shared" si="14"/>
        <v>7437.287459734466</v>
      </c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G31" s="62">
        <v>2013</v>
      </c>
      <c r="SH31" s="46">
        <f t="shared" si="3"/>
        <v>0.7253111470775779</v>
      </c>
      <c r="SI31" s="63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TC31" s="62">
        <v>2013</v>
      </c>
      <c r="TD31" s="46">
        <v>1.9085217286102596</v>
      </c>
      <c r="TE31" s="63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X31" s="27"/>
      <c r="TZ31" s="62">
        <v>2013</v>
      </c>
      <c r="UA31" s="46">
        <f t="shared" si="6"/>
        <v>0.9880000000000001</v>
      </c>
      <c r="UB31" s="60">
        <f t="shared" si="12"/>
        <v>0.9880000000000001</v>
      </c>
      <c r="UC31" s="63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W31" s="62">
        <v>2013</v>
      </c>
      <c r="UX31" s="60">
        <f>СЧЁТ!CK24</f>
        <v>0.635950611421748</v>
      </c>
      <c r="UY31" s="63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S31" s="62">
        <v>2013</v>
      </c>
      <c r="VT31" s="46">
        <v>1.0178535450091057</v>
      </c>
      <c r="VU31" s="63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O31" s="62">
        <v>2013</v>
      </c>
      <c r="WP31" s="67">
        <v>5394.347498565691</v>
      </c>
      <c r="WQ31" s="55">
        <f t="shared" si="13"/>
        <v>6016.765554925184</v>
      </c>
      <c r="WR31" s="66">
        <v>5394.347498565691</v>
      </c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K31" s="68">
        <v>2013</v>
      </c>
      <c r="XL31" s="44">
        <f t="shared" si="15"/>
        <v>0.8965527157942865</v>
      </c>
      <c r="XM31" s="63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G31" s="62">
        <v>2013</v>
      </c>
      <c r="YH31" s="46">
        <v>1.9085217286102596</v>
      </c>
      <c r="YI31" s="63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ZE31" s="22" t="s">
        <v>76</v>
      </c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1"/>
    </row>
    <row r="32" ht="20.5" customHeight="1" spans="7:692" x14ac:dyDescent="0.25">
      <c r="G32" s="62">
        <v>2014</v>
      </c>
      <c r="H32" s="44">
        <v>1.0073860077330101</v>
      </c>
      <c r="I32" s="5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AD32" s="62">
        <v>2014</v>
      </c>
      <c r="AE32" s="46">
        <f t="shared" si="4"/>
        <v>1.9226180848563927</v>
      </c>
      <c r="AF32" s="20"/>
      <c r="AG32" s="63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BA32" s="62">
        <v>2014</v>
      </c>
      <c r="BB32" s="48">
        <v>19.408072573294923</v>
      </c>
      <c r="BC32" s="52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W32" s="62">
        <v>2014</v>
      </c>
      <c r="BX32" s="46">
        <f>ОТЧЁТ!EE432</f>
        <v>2.5425932511944835</v>
      </c>
      <c r="BY32" s="46">
        <v>2.467812960000835</v>
      </c>
      <c r="BZ32" s="63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T32" s="62">
        <v>2014</v>
      </c>
      <c r="CU32" s="49">
        <v>764.5982222682932</v>
      </c>
      <c r="CV32" s="63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O32" s="62">
        <v>2014</v>
      </c>
      <c r="DP32" s="49">
        <f t="shared" si="0"/>
        <v>764.5982222682932</v>
      </c>
      <c r="DQ32" s="53">
        <f t="shared" si="9"/>
        <v>1.2520410860736908</v>
      </c>
      <c r="DR32" s="64">
        <v>608.3921625513086</v>
      </c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65"/>
      <c r="EG32" s="62">
        <v>2014</v>
      </c>
      <c r="EH32" s="52">
        <v>0.985</v>
      </c>
      <c r="EI32" s="52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FC32" s="62">
        <v>2014</v>
      </c>
      <c r="FD32" s="46">
        <v>2.278844241578987</v>
      </c>
      <c r="FE32" s="63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Y32" s="62">
        <v>2014</v>
      </c>
      <c r="FZ32" s="44">
        <f t="shared" si="5"/>
        <v>0.927</v>
      </c>
      <c r="GA32" s="63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U32" s="62">
        <v>2014</v>
      </c>
      <c r="GV32" s="53">
        <f>СЧЁТ!CN25</f>
        <v>4.125993335057414</v>
      </c>
      <c r="GW32" s="53">
        <f t="shared" si="1"/>
        <v>2.806832984400236</v>
      </c>
      <c r="GX32" s="63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R32" s="62">
        <v>2014</v>
      </c>
      <c r="HS32" s="54">
        <v>0.2806832984400236</v>
      </c>
      <c r="HT32" s="63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N32" s="62">
        <v>2014</v>
      </c>
      <c r="IO32" s="55">
        <v>10888</v>
      </c>
      <c r="IP32" s="55">
        <f t="shared" si="7"/>
        <v>13680.508389999999</v>
      </c>
      <c r="IQ32" s="66">
        <v>13902.6453</v>
      </c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J32" s="27"/>
      <c r="JL32" s="62">
        <v>2014</v>
      </c>
      <c r="JM32" s="46">
        <v>1.02</v>
      </c>
      <c r="JN32" s="63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H32" s="62">
        <v>2014</v>
      </c>
      <c r="KI32" s="46">
        <v>2.7734367261611617</v>
      </c>
      <c r="KJ32" s="20"/>
      <c r="KK32" s="63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LE32" s="62">
        <v>2014</v>
      </c>
      <c r="LF32" s="57">
        <v>71.539043569578</v>
      </c>
      <c r="LG32" s="63"/>
      <c r="LH32" s="57">
        <v>3.889373856792</v>
      </c>
      <c r="LI32" s="63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MB32" s="62">
        <v>2014</v>
      </c>
      <c r="MC32" s="67">
        <v>5437.502278554217</v>
      </c>
      <c r="MD32" s="63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Y32" s="62">
        <v>2014</v>
      </c>
      <c r="MZ32" s="57">
        <f t="shared" si="2"/>
        <v>76.00747797621544</v>
      </c>
      <c r="NA32" s="63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V32" s="62">
        <v>2014</v>
      </c>
      <c r="NW32" s="46">
        <v>14.240158664898729</v>
      </c>
      <c r="NX32" s="57">
        <v>17.31878738458946</v>
      </c>
      <c r="NY32" s="46">
        <v>19.115802786548628</v>
      </c>
      <c r="NZ32" s="63">
        <v>22.851453644141124</v>
      </c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S32" s="27"/>
      <c r="OU32" s="62">
        <v>2014</v>
      </c>
      <c r="OV32" s="46">
        <f t="shared" si="8"/>
        <v>0.9790000000000001</v>
      </c>
      <c r="OW32" s="63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Q32" s="62">
        <v>2014</v>
      </c>
      <c r="PR32" s="46">
        <f>СЧЁТ!CI25</f>
        <v>1.2605491538132751</v>
      </c>
      <c r="PS32" s="63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M32" s="62">
        <v>2014</v>
      </c>
      <c r="QN32" s="46">
        <v>1.0073860077330101</v>
      </c>
      <c r="QO32" s="63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I32" s="59">
        <v>20</v>
      </c>
      <c r="RJ32" s="62">
        <v>2014</v>
      </c>
      <c r="RK32" s="55">
        <v>7712.467095744641</v>
      </c>
      <c r="RL32" s="55"/>
      <c r="RM32" s="66">
        <f t="shared" si="14"/>
        <v>7712.467095744641</v>
      </c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G32" s="62">
        <v>2014</v>
      </c>
      <c r="SH32" s="46">
        <f t="shared" si="3"/>
        <v>0.7050276145170672</v>
      </c>
      <c r="SI32" s="63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TC32" s="62">
        <v>2014</v>
      </c>
      <c r="TD32" s="46">
        <v>1.9226180848563927</v>
      </c>
      <c r="TE32" s="63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X32" s="27"/>
      <c r="TZ32" s="62">
        <v>2014</v>
      </c>
      <c r="UA32" s="46">
        <f t="shared" si="6"/>
        <v>1</v>
      </c>
      <c r="UB32" s="60">
        <f t="shared" si="12"/>
        <v>1</v>
      </c>
      <c r="UC32" s="63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W32" s="62">
        <v>2014</v>
      </c>
      <c r="UX32" s="60">
        <f>СЧЁТ!CK25</f>
        <v>0.635950611421748</v>
      </c>
      <c r="UY32" s="63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S32" s="62">
        <v>2014</v>
      </c>
      <c r="VT32" s="46">
        <v>1.0073860077330101</v>
      </c>
      <c r="VU32" s="63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O32" s="62">
        <v>2014</v>
      </c>
      <c r="WP32" s="67">
        <v>5437.502278554217</v>
      </c>
      <c r="WQ32" s="55">
        <f t="shared" si="13"/>
        <v>6239.385880457415</v>
      </c>
      <c r="WR32" s="66">
        <v>5437.502278554217</v>
      </c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K32" s="68">
        <v>2014</v>
      </c>
      <c r="XL32" s="44">
        <f t="shared" si="15"/>
        <v>0.8714803640507628</v>
      </c>
      <c r="XM32" s="63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G32" s="62">
        <v>2014</v>
      </c>
      <c r="YH32" s="46">
        <v>1.9226180848563927</v>
      </c>
      <c r="YI32" s="63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ZE32" s="22" t="s">
        <v>77</v>
      </c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1"/>
    </row>
    <row r="33" ht="20.5" customHeight="1" spans="7:692" x14ac:dyDescent="0.25">
      <c r="G33" s="62">
        <v>2015</v>
      </c>
      <c r="H33" s="44">
        <v>0.977</v>
      </c>
      <c r="I33" s="5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AD33" s="62">
        <v>2015</v>
      </c>
      <c r="AE33" s="46">
        <f t="shared" si="4"/>
        <v>1.8783978689046956</v>
      </c>
      <c r="AF33" s="20"/>
      <c r="AG33" s="63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BA33" s="62">
        <v>2015</v>
      </c>
      <c r="BB33" s="48">
        <v>25.392619710313024</v>
      </c>
      <c r="BC33" s="52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W33" s="62">
        <v>2015</v>
      </c>
      <c r="BX33" s="46">
        <f>ОТЧЁТ!EE433</f>
        <v>2.1845595087999583</v>
      </c>
      <c r="BY33" s="46">
        <v>2.559122039520866</v>
      </c>
      <c r="BZ33" s="63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T33" s="62">
        <v>2015</v>
      </c>
      <c r="CU33" s="49">
        <v>722.545320043537</v>
      </c>
      <c r="CV33" s="63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O33" s="62">
        <v>2015</v>
      </c>
      <c r="DP33" s="49">
        <f t="shared" si="0"/>
        <v>722.545320043537</v>
      </c>
      <c r="DQ33" s="53">
        <f t="shared" si="9"/>
        <v>1.2758935714304587</v>
      </c>
      <c r="DR33" s="64">
        <v>546.9445541336264</v>
      </c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65"/>
      <c r="EG33" s="62">
        <v>2015</v>
      </c>
      <c r="EH33" s="52">
        <v>0.899</v>
      </c>
      <c r="EI33" s="52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FC33" s="62">
        <v>2015</v>
      </c>
      <c r="FD33" s="46">
        <v>2.0486809731795095</v>
      </c>
      <c r="FE33" s="63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Y33" s="62">
        <v>2015</v>
      </c>
      <c r="FZ33" s="44">
        <f t="shared" si="5"/>
        <v>0.749</v>
      </c>
      <c r="GA33" s="63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U33" s="62">
        <v>2015</v>
      </c>
      <c r="GV33" s="53">
        <f>СЧЁТ!CN26</f>
        <v>3.090369007958003</v>
      </c>
      <c r="GW33" s="53">
        <f t="shared" si="1"/>
        <v>2.1300080094384772</v>
      </c>
      <c r="GX33" s="63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R33" s="62">
        <v>2015</v>
      </c>
      <c r="HS33" s="54">
        <v>0.21300080094384774</v>
      </c>
      <c r="HT33" s="63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N33" s="62">
        <v>2015</v>
      </c>
      <c r="IO33" s="55">
        <v>10721</v>
      </c>
      <c r="IP33" s="55">
        <f t="shared" si="7"/>
        <v>13853.59288</v>
      </c>
      <c r="IQ33" s="66">
        <v>13897.2</v>
      </c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J33" s="27"/>
      <c r="JL33" s="62">
        <v>2015</v>
      </c>
      <c r="JM33" s="46">
        <v>0.906</v>
      </c>
      <c r="JN33" s="63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H33" s="62">
        <v>2015</v>
      </c>
      <c r="KI33" s="46">
        <v>2.5127336739020127</v>
      </c>
      <c r="KJ33" s="20"/>
      <c r="KK33" s="63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LE33" s="62">
        <v>2015</v>
      </c>
      <c r="LF33" s="57">
        <v>72.323622532452</v>
      </c>
      <c r="LG33" s="63"/>
      <c r="LH33" s="57">
        <v>4.263926593338001</v>
      </c>
      <c r="LI33" s="63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MB33" s="62">
        <v>2015</v>
      </c>
      <c r="MC33" s="67">
        <v>5366.814748933011</v>
      </c>
      <c r="MD33" s="63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Y33" s="62">
        <v>2015</v>
      </c>
      <c r="MZ33" s="57">
        <f t="shared" si="2"/>
        <v>74.20555775569582</v>
      </c>
      <c r="NA33" s="63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V33" s="62">
        <v>2015</v>
      </c>
      <c r="NW33" s="46">
        <v>14.837823597492827</v>
      </c>
      <c r="NX33" s="57">
        <v>19.5529109572015</v>
      </c>
      <c r="NY33" s="46">
        <v>20.193444864834213</v>
      </c>
      <c r="NZ33" s="63">
        <v>25.408791247612854</v>
      </c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S33" s="27"/>
      <c r="OU33" s="62">
        <v>2015</v>
      </c>
      <c r="OV33" s="46">
        <f t="shared" si="8"/>
        <v>0.964</v>
      </c>
      <c r="OW33" s="63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Q33" s="62">
        <v>2015</v>
      </c>
      <c r="PR33" s="46">
        <f>СЧЁТ!CI26</f>
        <v>1.2151693842759972</v>
      </c>
      <c r="PS33" s="63">
        <f>СЧЁТ!CI26</f>
        <v>1.2151693842759972</v>
      </c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M33" s="62">
        <v>2015</v>
      </c>
      <c r="QN33" s="46">
        <v>0.977</v>
      </c>
      <c r="QO33" s="63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I33" s="59">
        <v>21</v>
      </c>
      <c r="RJ33" s="62">
        <v>2015</v>
      </c>
      <c r="RK33" s="55">
        <v>7959.266042808469</v>
      </c>
      <c r="RL33" s="55"/>
      <c r="RM33" s="66">
        <f t="shared" si="14"/>
        <v>7959.266042808469</v>
      </c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G33" s="62">
        <v>2015</v>
      </c>
      <c r="SH33" s="46">
        <f t="shared" si="3"/>
        <v>0.6742851313259158</v>
      </c>
      <c r="SI33" s="63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TC33" s="62">
        <v>2015</v>
      </c>
      <c r="TD33" s="46">
        <v>1.8783978689046956</v>
      </c>
      <c r="TE33" s="63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X33" s="27"/>
      <c r="TZ33" s="62">
        <v>2015</v>
      </c>
      <c r="UA33" s="46">
        <f t="shared" si="6"/>
        <v>0.9709999999999999</v>
      </c>
      <c r="UB33" s="60">
        <f t="shared" si="12"/>
        <v>0.9709999999999999</v>
      </c>
      <c r="UC33" s="63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W33" s="62">
        <v>2015</v>
      </c>
      <c r="UX33" s="60">
        <f>СЧЁТ!CK26</f>
        <v>0.6175080436905173</v>
      </c>
      <c r="UY33" s="63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S33" s="62">
        <v>2015</v>
      </c>
      <c r="VT33" s="46">
        <v>0.977</v>
      </c>
      <c r="VU33" s="63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O33" s="62">
        <v>2015</v>
      </c>
      <c r="WP33" s="67">
        <v>5366.814748933011</v>
      </c>
      <c r="WQ33" s="55">
        <f t="shared" si="13"/>
        <v>6439.046228632052</v>
      </c>
      <c r="WR33" s="67">
        <v>5366.814748933011</v>
      </c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K33" s="68">
        <v>2015</v>
      </c>
      <c r="XL33" s="44">
        <f t="shared" si="15"/>
        <v>0.8334797667811074</v>
      </c>
      <c r="XM33" s="63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G33" s="62">
        <v>2015</v>
      </c>
      <c r="YH33" s="46">
        <v>1.8783978689046956</v>
      </c>
      <c r="YI33" s="63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ZE33" s="22" t="s">
        <v>78</v>
      </c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1"/>
    </row>
    <row r="34" ht="20.5" customHeight="1" spans="7:692" x14ac:dyDescent="0.25">
      <c r="G34" s="62">
        <v>2016</v>
      </c>
      <c r="H34" s="44">
        <v>1.002</v>
      </c>
      <c r="I34" s="5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AD34" s="62">
        <v>2016</v>
      </c>
      <c r="AE34" s="46">
        <f t="shared" si="4"/>
        <v>1.882154664642505</v>
      </c>
      <c r="AF34" s="20"/>
      <c r="AG34" s="63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BA34" s="62">
        <v>2016</v>
      </c>
      <c r="BB34" s="48">
        <v>24.686694352693262</v>
      </c>
      <c r="BC34" s="69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W34" s="62">
        <v>2016</v>
      </c>
      <c r="BX34" s="46">
        <f>ОТЧЁТ!EE434</f>
        <v>2.1739835580660896</v>
      </c>
      <c r="BY34" s="46">
        <v>2.641013944785534</v>
      </c>
      <c r="BZ34" s="63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T34" s="62">
        <v>2016</v>
      </c>
      <c r="CU34" s="49">
        <v>843.9329338108512</v>
      </c>
      <c r="CV34" s="63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O34" s="62">
        <v>2016</v>
      </c>
      <c r="DP34" s="49">
        <f t="shared" si="0"/>
        <v>843.9329338108512</v>
      </c>
      <c r="DQ34" s="53">
        <f t="shared" si="9"/>
        <v>1.5279682872837883</v>
      </c>
      <c r="DR34" s="64">
        <v>545.8506650253591</v>
      </c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65"/>
      <c r="EG34" s="62">
        <v>2016</v>
      </c>
      <c r="EH34" s="52">
        <v>0.998</v>
      </c>
      <c r="EI34" s="52">
        <f>EH34</f>
        <v>0.998</v>
      </c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FC34" s="62">
        <v>2016</v>
      </c>
      <c r="FD34" s="46">
        <v>2.0445836112331506</v>
      </c>
      <c r="FE34" s="63">
        <f>СЧЁТ!CG27</f>
        <v>2.0445836112331506</v>
      </c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Y34" s="62">
        <v>2016</v>
      </c>
      <c r="FZ34" s="44">
        <f t="shared" si="5"/>
        <v>0.964</v>
      </c>
      <c r="GA34" s="63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U34" s="62">
        <v>2016</v>
      </c>
      <c r="GV34" s="53">
        <f>СЧЁТ!CN27</f>
        <v>2.979115723671515</v>
      </c>
      <c r="GW34" s="53">
        <f t="shared" si="1"/>
        <v>2.0289799615599726</v>
      </c>
      <c r="GX34" s="70">
        <f>СЧЁТ!CN27</f>
        <v>2.979115723671515</v>
      </c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R34" s="62">
        <v>2016</v>
      </c>
      <c r="HS34" s="54">
        <v>0.20289799615599724</v>
      </c>
      <c r="HT34" s="63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N34" s="62">
        <v>2016</v>
      </c>
      <c r="IO34" s="55">
        <v>13256</v>
      </c>
      <c r="IP34" s="55">
        <f t="shared" si="7"/>
        <v>14493.864529999999</v>
      </c>
      <c r="IQ34" s="66">
        <v>14748.8</v>
      </c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J34" s="27"/>
      <c r="JL34" s="62">
        <v>2016</v>
      </c>
      <c r="JM34" s="46">
        <v>0.981</v>
      </c>
      <c r="JN34" s="63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H34" s="62">
        <v>2016</v>
      </c>
      <c r="KI34" s="46">
        <v>2.4649917340978744</v>
      </c>
      <c r="KJ34" s="20"/>
      <c r="KK34" s="63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LE34" s="62">
        <v>2016</v>
      </c>
      <c r="LF34" s="57">
        <v>72.393</v>
      </c>
      <c r="LG34" s="63"/>
      <c r="LH34" s="57">
        <v>4.243</v>
      </c>
      <c r="LI34" s="63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MB34" s="62">
        <v>2016</v>
      </c>
      <c r="MC34" s="67">
        <v>5431.2165259202075</v>
      </c>
      <c r="MD34" s="63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Y34" s="62">
        <v>2016</v>
      </c>
      <c r="MZ34" s="57">
        <f t="shared" si="2"/>
        <v>75.0240565513269</v>
      </c>
      <c r="NA34" s="63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V34" s="62">
        <v>2016</v>
      </c>
      <c r="NW34" s="46">
        <v>15.707409284457475</v>
      </c>
      <c r="NX34" s="57">
        <v>20.608768148890384</v>
      </c>
      <c r="NY34" s="46">
        <v>22.17789046888298</v>
      </c>
      <c r="NZ34" s="63">
        <v>27.019844336572895</v>
      </c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S34" s="27"/>
      <c r="OU34" s="62">
        <v>2016</v>
      </c>
      <c r="OV34" s="46">
        <f t="shared" si="8"/>
        <v>1.015</v>
      </c>
      <c r="OW34" s="63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Q34" s="62">
        <v>2016</v>
      </c>
      <c r="PR34" s="46">
        <f>СЧЁТ!CI27</f>
        <v>1.233396925040137</v>
      </c>
      <c r="PS34" s="63">
        <f>СЧЁТ!CI27</f>
        <v>1.233396925040137</v>
      </c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M34" s="62">
        <v>2016</v>
      </c>
      <c r="QN34" s="46">
        <v>1.003</v>
      </c>
      <c r="QO34" s="63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I34" s="59">
        <v>22</v>
      </c>
      <c r="RJ34" s="62">
        <v>2016</v>
      </c>
      <c r="RK34" s="55">
        <v>8269.677418477999</v>
      </c>
      <c r="RL34" s="55"/>
      <c r="RM34" s="66">
        <f t="shared" si="14"/>
        <v>8269.677418477999</v>
      </c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G34" s="62">
        <v>2016</v>
      </c>
      <c r="SH34" s="46">
        <f t="shared" si="3"/>
        <v>0.6567628035628748</v>
      </c>
      <c r="SI34" s="63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TC34" s="62">
        <v>2016</v>
      </c>
      <c r="TD34" s="46">
        <v>1.8840330625114095</v>
      </c>
      <c r="TE34" s="63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X34" s="27"/>
      <c r="TZ34" s="62">
        <v>2016</v>
      </c>
      <c r="UA34" s="46">
        <f t="shared" si="6"/>
        <v>1.01</v>
      </c>
      <c r="UB34" s="60">
        <f t="shared" si="12"/>
        <v>1.01</v>
      </c>
      <c r="UC34" s="63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W34" s="62">
        <v>2016</v>
      </c>
      <c r="UX34" s="60">
        <f>СЧЁТ!CK27</f>
        <v>0.6236831241274224</v>
      </c>
      <c r="UY34" s="63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S34" s="62">
        <v>2016</v>
      </c>
      <c r="VT34" s="46">
        <v>1.003</v>
      </c>
      <c r="VU34" s="63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O34" s="62">
        <v>2016</v>
      </c>
      <c r="WP34" s="67">
        <v>5431.2165259202075</v>
      </c>
      <c r="WQ34" s="55">
        <f t="shared" si="13"/>
        <v>6690.169031548701</v>
      </c>
      <c r="WR34" s="67">
        <v>5431.2165259202075</v>
      </c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K34" s="68">
        <v>2016</v>
      </c>
      <c r="XL34" s="44">
        <f t="shared" si="15"/>
        <v>0.8118205235635041</v>
      </c>
      <c r="XM34" s="63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G34" s="62">
        <v>2016</v>
      </c>
      <c r="YH34" s="46">
        <v>1.8840330625114095</v>
      </c>
      <c r="YI34" s="63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ZE34" s="22" t="s">
        <v>79</v>
      </c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1"/>
    </row>
    <row r="35" ht="21" customHeight="1" spans="7:692" x14ac:dyDescent="0.25">
      <c r="G35" s="62">
        <v>2017</v>
      </c>
      <c r="H35" s="44">
        <v>1.018</v>
      </c>
      <c r="I35" s="7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AD35" s="62">
        <v>2017</v>
      </c>
      <c r="AE35" s="46">
        <f t="shared" si="4"/>
        <v>1.91603344860607</v>
      </c>
      <c r="AF35" s="20"/>
      <c r="AG35" s="63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BA35" s="62">
        <v>2017</v>
      </c>
      <c r="BB35" s="48">
        <v>23.815961506525245</v>
      </c>
      <c r="BC35" s="69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W35" s="62">
        <v>2017</v>
      </c>
      <c r="BX35" s="46">
        <f>ОТЧЁТ!EE435</f>
        <v>2.459327825213312</v>
      </c>
      <c r="BY35" s="46">
        <v>2.773064642024811</v>
      </c>
      <c r="BZ35" s="63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T35" s="62">
        <v>2017</v>
      </c>
      <c r="CU35" s="49">
        <v>844.7768667446619</v>
      </c>
      <c r="CV35" s="72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O35" s="62">
        <v>2017</v>
      </c>
      <c r="DP35" s="49">
        <f t="shared" si="0"/>
        <v>844.7768667446619</v>
      </c>
      <c r="DQ35" s="53">
        <f t="shared" si="9"/>
        <v>1.4970333407952048</v>
      </c>
      <c r="DR35" s="73">
        <v>572.0514969465764</v>
      </c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65"/>
      <c r="EG35" s="62">
        <v>2017</v>
      </c>
      <c r="EH35" s="52">
        <v>1.048</v>
      </c>
      <c r="EI35" s="52">
        <f t="shared" ref="EI35:EI53" si="16">FE35/FE34</f>
        <v>1.048</v>
      </c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FC35" s="62">
        <v>2017</v>
      </c>
      <c r="FD35" s="46">
        <v>2.142723624572342</v>
      </c>
      <c r="FE35" s="63">
        <f>СЧЁТ!CG28</f>
        <v>2.142723624572342</v>
      </c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Y35" s="62">
        <v>2017</v>
      </c>
      <c r="FZ35" s="44">
        <f t="shared" si="5"/>
        <v>1.174</v>
      </c>
      <c r="GA35" s="52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U35" s="62">
        <v>2017</v>
      </c>
      <c r="GV35" s="53">
        <f>СЧЁТ!CN28</f>
        <v>3.497481859590358</v>
      </c>
      <c r="GW35" s="53">
        <f t="shared" si="1"/>
        <v>2.3239243657282023</v>
      </c>
      <c r="GX35" s="70">
        <f>СЧЁТ!CN28</f>
        <v>3.497481859590358</v>
      </c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R35" s="62">
        <v>2017</v>
      </c>
      <c r="HS35" s="54">
        <v>0.23239243657282024</v>
      </c>
      <c r="HT35" s="72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N35" s="62">
        <v>2017</v>
      </c>
      <c r="IO35" s="55">
        <v>12484.1</v>
      </c>
      <c r="IP35" s="55">
        <f t="shared" si="7"/>
        <v>15558.59</v>
      </c>
      <c r="IQ35" s="74">
        <v>16027.3</v>
      </c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J35" s="27"/>
      <c r="JL35" s="62">
        <v>2017</v>
      </c>
      <c r="JM35" s="46">
        <v>1.033</v>
      </c>
      <c r="JN35" s="63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H35" s="62">
        <v>2017</v>
      </c>
      <c r="KI35" s="46">
        <v>2.546336461323104</v>
      </c>
      <c r="KJ35" s="20"/>
      <c r="KK35" s="63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LE35" s="62">
        <v>2017</v>
      </c>
      <c r="LF35" s="57">
        <v>72.142</v>
      </c>
      <c r="LG35" s="75">
        <f t="array" ref="LG35:LG53">TRANSPOSE(СЧЁТ!AJ146:BC146)</f>
        <v>72.393</v>
      </c>
      <c r="LH35" s="57">
        <v>3.967</v>
      </c>
      <c r="LI35" s="75">
        <f t="array" ref="LI35:LI53">TRANSPOSE(СЧЁТ!AK147:BC147)</f>
        <v>3.967</v>
      </c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MB35" s="62">
        <v>2017</v>
      </c>
      <c r="MC35" s="67">
        <v>5566.996939068213</v>
      </c>
      <c r="MD35" s="67">
        <f>СЧЁТ!CE28</f>
        <v>5566.996939068213</v>
      </c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Y35" s="62">
        <v>2017</v>
      </c>
      <c r="MZ35" s="57">
        <f t="shared" si="2"/>
        <v>77.16721104305692</v>
      </c>
      <c r="NA35" s="57">
        <f>СЧЁТ!CB28</f>
        <v>77.16721104305692</v>
      </c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V35" s="62">
        <v>2017</v>
      </c>
      <c r="NW35" s="46">
        <v>14.777985159687598</v>
      </c>
      <c r="NX35" s="57">
        <v>21.12398735261264</v>
      </c>
      <c r="NY35" s="46">
        <v>22.675989872141365</v>
      </c>
      <c r="NZ35" s="63">
        <v>28.017232863734257</v>
      </c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S35" s="27"/>
      <c r="OU35" s="62">
        <v>2017</v>
      </c>
      <c r="OV35" s="46">
        <f t="shared" si="8"/>
        <v>1.025</v>
      </c>
      <c r="OW35" s="7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Q35" s="62">
        <v>2017</v>
      </c>
      <c r="PR35" s="46">
        <f>СЧЁТ!CI28</f>
        <v>1.2642318481661403</v>
      </c>
      <c r="PS35" s="63">
        <f>СЧЁТ!CI28</f>
        <v>1.2642318481661403</v>
      </c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M35" s="62">
        <v>2017</v>
      </c>
      <c r="QN35" s="46">
        <v>1.016</v>
      </c>
      <c r="QO35" s="72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I35" s="59">
        <v>23</v>
      </c>
      <c r="RJ35" s="62">
        <v>2017</v>
      </c>
      <c r="RK35" s="55">
        <v>8583.925160380162</v>
      </c>
      <c r="RL35" s="55"/>
      <c r="RM35" s="66">
        <f t="shared" si="14"/>
        <v>8583.925160380162</v>
      </c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G35" s="62">
        <v>2017</v>
      </c>
      <c r="SH35" s="46">
        <f t="shared" si="3"/>
        <v>0.6485374505317406</v>
      </c>
      <c r="SI35" s="63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TC35" s="62">
        <v>2017</v>
      </c>
      <c r="TD35" s="46">
        <v>1.914177591511592</v>
      </c>
      <c r="TE35" s="72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X35" s="27"/>
      <c r="TZ35" s="62">
        <v>2017</v>
      </c>
      <c r="UA35" s="46">
        <f t="shared" si="6"/>
        <v>1.005</v>
      </c>
      <c r="UB35" s="46">
        <f t="shared" si="12"/>
        <v>1.005</v>
      </c>
      <c r="UC35" s="63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W35" s="62">
        <v>2017</v>
      </c>
      <c r="UX35" s="60">
        <f>СЧЁТ!CK28</f>
        <v>0.6268015397480595</v>
      </c>
      <c r="UY35" s="63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S35" s="62">
        <v>2017</v>
      </c>
      <c r="VT35" s="46">
        <v>1.016</v>
      </c>
      <c r="VU35" s="72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O35" s="62">
        <v>2017</v>
      </c>
      <c r="WP35" s="67">
        <v>5566.996939068213</v>
      </c>
      <c r="WQ35" s="55">
        <f t="shared" si="13"/>
        <v>6944.395454747551</v>
      </c>
      <c r="WR35" s="67">
        <v>5566.996939068213</v>
      </c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K35" s="68">
        <v>2017</v>
      </c>
      <c r="XL35" s="44">
        <f t="shared" si="15"/>
        <v>0.8016532145015334</v>
      </c>
      <c r="XM35" s="72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G35" s="62">
        <v>2017</v>
      </c>
      <c r="YH35" s="46">
        <v>1.914177591511592</v>
      </c>
      <c r="YI35" s="72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ZE35" s="22" t="s">
        <v>80</v>
      </c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1"/>
    </row>
    <row r="36" ht="21" customHeight="1" spans="7:692" x14ac:dyDescent="0.25">
      <c r="G36" s="62">
        <v>2018</v>
      </c>
      <c r="H36" s="44">
        <v>1.028</v>
      </c>
      <c r="I36" s="71">
        <f>H36</f>
        <v>1.028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AD36" s="62">
        <v>2018</v>
      </c>
      <c r="AE36" s="46">
        <f t="shared" si="4"/>
        <v>1.96968238516704</v>
      </c>
      <c r="AF36" s="20"/>
      <c r="AG36" s="63">
        <f>AE36</f>
        <v>1.96968238516704</v>
      </c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BA36" s="62">
        <v>2018</v>
      </c>
      <c r="BB36" s="48">
        <v>28.98429850585516</v>
      </c>
      <c r="BC36" s="69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W36" s="62">
        <v>2018</v>
      </c>
      <c r="BX36" s="46">
        <f>ОТЧЁТ!EE436</f>
        <v>2.5430346985333676</v>
      </c>
      <c r="BY36" s="46">
        <v>2.9255831973361754</v>
      </c>
      <c r="BZ36" s="63">
        <f t="array" ref="BZ36:BZ53">TRANSPOSE(СЧЁТ!AL182:BC182)</f>
        <v>2.5430346985333676</v>
      </c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T36" s="62">
        <v>2018</v>
      </c>
      <c r="CU36" s="49">
        <v>968.1142892893824</v>
      </c>
      <c r="CV36" s="72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O36" s="62">
        <v>2018</v>
      </c>
      <c r="DP36" s="49">
        <f t="shared" si="0"/>
        <v>968.1142892893824</v>
      </c>
      <c r="DQ36" s="53">
        <f t="shared" si="9"/>
        <v>1.6502412323517661</v>
      </c>
      <c r="DR36" s="73">
        <v>596.6497113152792</v>
      </c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65"/>
      <c r="EG36" s="62">
        <v>2018</v>
      </c>
      <c r="EH36" s="52">
        <v>1.043</v>
      </c>
      <c r="EI36" s="52">
        <f t="shared" si="16"/>
        <v>1.043</v>
      </c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FC36" s="62">
        <v>2018</v>
      </c>
      <c r="FD36" s="46">
        <v>2.2348607404289527</v>
      </c>
      <c r="FE36" s="63">
        <f>СЧЁТ!CG29</f>
        <v>2.2348607404289527</v>
      </c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Y36" s="62">
        <v>2018</v>
      </c>
      <c r="FZ36" s="44">
        <f t="shared" si="5"/>
        <v>1.027</v>
      </c>
      <c r="GA36" s="52">
        <f t="shared" ref="GA36:GA53" si="17">GX36/GX35</f>
        <v>1.027</v>
      </c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U36" s="62">
        <v>2018</v>
      </c>
      <c r="GV36" s="53">
        <f>СЧЁТ!CN29</f>
        <v>3.5919138697992974</v>
      </c>
      <c r="GW36" s="53">
        <f t="shared" si="1"/>
        <v>2.328458852295477</v>
      </c>
      <c r="GX36" s="70">
        <f>СЧЁТ!CN29</f>
        <v>3.5919138697992974</v>
      </c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R36" s="62">
        <v>2018</v>
      </c>
      <c r="HS36" s="54">
        <v>0.23284588522954772</v>
      </c>
      <c r="HT36" s="72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N36" s="62">
        <v>2018</v>
      </c>
      <c r="IO36" s="55">
        <v>14909.4</v>
      </c>
      <c r="IP36" s="55">
        <f t="shared" si="7"/>
        <v>16996.84</v>
      </c>
      <c r="IQ36" s="74">
        <v>17595</v>
      </c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J36" s="27"/>
      <c r="JL36" s="62">
        <v>2018</v>
      </c>
      <c r="JM36" s="46">
        <v>1.023</v>
      </c>
      <c r="JN36" s="63">
        <f>JM36</f>
        <v>1.023</v>
      </c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H36" s="62">
        <v>2018</v>
      </c>
      <c r="KI36" s="46">
        <v>2.604902199933535</v>
      </c>
      <c r="KJ36" s="20"/>
      <c r="KK36" s="63">
        <f>СЧЁТ!CJ29</f>
        <v>2.604902199933535</v>
      </c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LE36" s="62">
        <v>2018</v>
      </c>
      <c r="LF36" s="57">
        <v>72.354</v>
      </c>
      <c r="LG36" s="75">
        <v>72.142</v>
      </c>
      <c r="LH36" s="57">
        <v>3.657</v>
      </c>
      <c r="LI36" s="75">
        <v>3.657</v>
      </c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MB36" s="62">
        <v>2018</v>
      </c>
      <c r="MC36" s="67">
        <v>5706.1718625449175</v>
      </c>
      <c r="MD36" s="67">
        <f>СЧЁТ!CE29</f>
        <v>5706.1718625449175</v>
      </c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Y36" s="62">
        <v>2018</v>
      </c>
      <c r="MZ36" s="57">
        <f t="shared" si="2"/>
        <v>78.86463585351076</v>
      </c>
      <c r="NA36" s="57">
        <f>СЧЁТ!CB29</f>
        <v>78.86463585351076</v>
      </c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V36" s="62">
        <v>2018</v>
      </c>
      <c r="NW36" s="46">
        <v>15.400454434924034</v>
      </c>
      <c r="NX36" s="57">
        <v>22.03231880877498</v>
      </c>
      <c r="NY36" s="46">
        <v>23.085153319082956</v>
      </c>
      <c r="NZ36" s="63">
        <v>29.48966481725577</v>
      </c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S36" s="27"/>
      <c r="OU36" s="62">
        <v>2018</v>
      </c>
      <c r="OV36" s="46">
        <f t="shared" si="8"/>
        <v>1.003</v>
      </c>
      <c r="OW36" s="71">
        <f t="shared" ref="OW36:OW53" si="18">PS36/PS35</f>
        <v>1.003</v>
      </c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Q36" s="62">
        <v>2018</v>
      </c>
      <c r="PR36" s="46">
        <f>СЧЁТ!CI29</f>
        <v>1.2680245437106386</v>
      </c>
      <c r="PS36" s="63">
        <f>СЧЁТ!CI29</f>
        <v>1.2680245437106386</v>
      </c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M36" s="62">
        <v>2018</v>
      </c>
      <c r="QN36" s="46">
        <v>1.023</v>
      </c>
      <c r="QO36" s="72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I36" s="59">
        <v>24</v>
      </c>
      <c r="RJ36" s="62">
        <v>2018</v>
      </c>
      <c r="RK36" s="55">
        <v>8944.450017116129</v>
      </c>
      <c r="RL36" s="55"/>
      <c r="RM36" s="66">
        <f t="shared" si="14"/>
        <v>8944.450017116129</v>
      </c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G36" s="62">
        <v>2018</v>
      </c>
      <c r="SH36" s="46">
        <f t="shared" si="3"/>
        <v>0.6379567051775759</v>
      </c>
      <c r="SI36" s="63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TC36" s="62">
        <v>2018</v>
      </c>
      <c r="TD36" s="46">
        <v>1.9582036761163584</v>
      </c>
      <c r="TE36" s="72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X36" s="27"/>
      <c r="TZ36" s="62">
        <v>2018</v>
      </c>
      <c r="UA36" s="46">
        <f t="shared" si="6"/>
        <v>1.045</v>
      </c>
      <c r="UB36" s="46">
        <f t="shared" si="12"/>
        <v>1.045</v>
      </c>
      <c r="UC36" s="63">
        <f>UA36</f>
        <v>1.045</v>
      </c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W36" s="62">
        <v>2018</v>
      </c>
      <c r="UX36" s="60">
        <f>СЧЁТ!CK29</f>
        <v>0.6550076090367222</v>
      </c>
      <c r="UY36" s="63">
        <f>UX36</f>
        <v>0.6550076090367222</v>
      </c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S36" s="62">
        <v>2018</v>
      </c>
      <c r="VT36" s="46">
        <v>1.023</v>
      </c>
      <c r="VU36" s="72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O36" s="62">
        <v>2018</v>
      </c>
      <c r="WP36" s="67">
        <v>5706.1718625449175</v>
      </c>
      <c r="WQ36" s="55">
        <f t="shared" si="13"/>
        <v>7236.060063846949</v>
      </c>
      <c r="WR36" s="67">
        <v>5706.1718625449175</v>
      </c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K36" s="68">
        <v>2018</v>
      </c>
      <c r="XL36" s="44">
        <f t="shared" si="15"/>
        <v>0.7885744192553471</v>
      </c>
      <c r="XM36" s="52">
        <f>XL36</f>
        <v>0.7885744192553471</v>
      </c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G36" s="62">
        <v>2018</v>
      </c>
      <c r="YH36" s="46">
        <v>1.9582036761163584</v>
      </c>
      <c r="YI36" s="72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ZE36" s="22" t="s">
        <v>81</v>
      </c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1"/>
    </row>
    <row r="37" ht="21" customHeight="1" spans="6:692" x14ac:dyDescent="0.25">
      <c r="F37" s="44"/>
      <c r="G37" s="62">
        <v>2019</v>
      </c>
      <c r="H37" s="76">
        <v>1.02</v>
      </c>
      <c r="I37" s="71">
        <f t="shared" ref="I37:I53" si="19">AG37/AG36</f>
        <v>1.0339048492770562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AD37" s="62">
        <v>2019</v>
      </c>
      <c r="AE37" s="46">
        <f t="shared" si="4"/>
        <v>2.009076032870381</v>
      </c>
      <c r="AF37" s="20"/>
      <c r="AG37" s="63">
        <f t="array" ref="AG37:AG53">TRANSPOSE(СЧЁТ!AM175:BC175)</f>
        <v>2.036464169559801</v>
      </c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BA37" s="62">
        <v>2019</v>
      </c>
      <c r="BB37" s="76"/>
      <c r="BC37" s="70">
        <f t="array" ref="BC37:BC53">TRANSPOSE(СЧЁТ!AM22:BC22)</f>
        <v>28.28794120598946</v>
      </c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W37" s="62">
        <v>2019</v>
      </c>
      <c r="BX37" s="77"/>
      <c r="BY37" s="20"/>
      <c r="BZ37" s="63">
        <v>2.593258822525401</v>
      </c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T37" s="62">
        <v>2019</v>
      </c>
      <c r="CU37" s="78"/>
      <c r="CV37" s="72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O37" s="62">
        <v>2019</v>
      </c>
      <c r="DP37" s="77"/>
      <c r="DQ37" s="20"/>
      <c r="DR37" s="72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27"/>
      <c r="EG37" s="62">
        <v>2019</v>
      </c>
      <c r="EH37" s="52"/>
      <c r="EI37" s="52">
        <f t="shared" si="16"/>
        <v>1.052552954921577</v>
      </c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FC37" s="62">
        <v>2019</v>
      </c>
      <c r="FD37" s="77"/>
      <c r="FE37" s="63">
        <f>СЧЁТ!CG30</f>
        <v>2.352309276176718</v>
      </c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Y37" s="62">
        <v>2019</v>
      </c>
      <c r="FZ37" s="78"/>
      <c r="GA37" s="52">
        <f t="shared" si="17"/>
        <v>1.0466508028186878</v>
      </c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T37" s="60"/>
      <c r="GU37" s="62">
        <v>2019</v>
      </c>
      <c r="GV37" s="77"/>
      <c r="GW37" s="53">
        <f t="shared" si="1"/>
        <v>2.338458852295477</v>
      </c>
      <c r="GX37" s="70">
        <f>СЧЁТ!CN30</f>
        <v>3.7594795354810144</v>
      </c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R37" s="62">
        <v>2019</v>
      </c>
      <c r="HS37" s="54">
        <v>0.23384588522954772</v>
      </c>
      <c r="HT37" s="72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L37" s="60"/>
      <c r="IN37" s="62">
        <v>2019</v>
      </c>
      <c r="IO37" s="77"/>
      <c r="IP37" s="20"/>
      <c r="IQ37" s="72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J37" s="27"/>
      <c r="JL37" s="62">
        <v>2019</v>
      </c>
      <c r="JM37" s="78"/>
      <c r="JN37" s="63">
        <f t="shared" ref="JN37:JN53" si="20">KK37/KK36</f>
        <v>1.0448077729996812</v>
      </c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F37" s="60"/>
      <c r="KH37" s="62">
        <v>2019</v>
      </c>
      <c r="KI37" s="77"/>
      <c r="KJ37" s="20"/>
      <c r="KK37" s="63">
        <f>СЧЁТ!CJ30</f>
        <v>2.721622066394527</v>
      </c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LE37" s="62">
        <v>2019</v>
      </c>
      <c r="LF37" s="78"/>
      <c r="LG37" s="57">
        <v>72.354</v>
      </c>
      <c r="LH37" s="78"/>
      <c r="LI37" s="75">
        <v>2.710165438947044</v>
      </c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MB37" s="62">
        <v>2019</v>
      </c>
      <c r="MC37" s="79"/>
      <c r="MD37" s="67">
        <f>СЧЁТ!CE30</f>
        <v>5946.829594217968</v>
      </c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Y37" s="62">
        <v>2019</v>
      </c>
      <c r="MZ37" s="78"/>
      <c r="NA37" s="57">
        <f>СЧЁТ!CB30</f>
        <v>79.94097117410924</v>
      </c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V37" s="62">
        <v>2019</v>
      </c>
      <c r="NW37" s="77"/>
      <c r="NX37" s="57">
        <v>22.693288373038232</v>
      </c>
      <c r="NY37" s="20"/>
      <c r="NZ37" s="72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S37" s="27"/>
      <c r="OU37" s="62">
        <v>2019</v>
      </c>
      <c r="OV37" s="78"/>
      <c r="OW37" s="71">
        <f t="shared" si="18"/>
        <v>1.0448661480576524</v>
      </c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O37" s="60"/>
      <c r="PQ37" s="62">
        <v>2019</v>
      </c>
      <c r="PR37" s="77"/>
      <c r="PS37" s="63">
        <f>СЧЁТ!CI30</f>
        <v>1.3249159206294971</v>
      </c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M37" s="62">
        <v>2019</v>
      </c>
      <c r="QN37" s="78"/>
      <c r="QO37" s="72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G37" s="60"/>
      <c r="RI37" s="59">
        <v>25</v>
      </c>
      <c r="RJ37" s="62">
        <v>2019</v>
      </c>
      <c r="RK37" s="77"/>
      <c r="RL37" s="55"/>
      <c r="RM37" s="73">
        <f>НАСТРОЙКА!IB29</f>
        <v>9315.47943646637</v>
      </c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G37" s="62">
        <v>2019</v>
      </c>
      <c r="SH37" s="78"/>
      <c r="SI37" s="63">
        <f t="shared" ref="SI37:SI53" si="21">MD37/RM37</f>
        <v>0.6383814847938489</v>
      </c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TC37" s="62">
        <v>2019</v>
      </c>
      <c r="TD37" s="77"/>
      <c r="TE37" s="72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X37" s="27"/>
      <c r="TZ37" s="62">
        <v>2019</v>
      </c>
      <c r="UA37" s="78"/>
      <c r="UB37" s="20"/>
      <c r="UC37" s="63">
        <f>UY37/UY36</f>
        <v>1.0409090909090908</v>
      </c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U37" s="60"/>
      <c r="UW37" s="62">
        <v>2019</v>
      </c>
      <c r="UX37" s="77"/>
      <c r="UY37" s="63">
        <f>ОТЧЁТ!EX160</f>
        <v>0.6818033748609517</v>
      </c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S37" s="62">
        <v>2019</v>
      </c>
      <c r="VT37" s="78"/>
      <c r="VU37" s="72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M37" s="60"/>
      <c r="WO37" s="62">
        <v>2019</v>
      </c>
      <c r="WP37" s="79"/>
      <c r="WQ37" s="55">
        <f t="shared" si="13"/>
        <v>7536.222864101294</v>
      </c>
      <c r="WR37" s="67">
        <v>5813.98012212614</v>
      </c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K37" s="68">
        <v>2019</v>
      </c>
      <c r="XL37" s="78"/>
      <c r="XM37" s="52">
        <f>1-(WQ37-WR37)/WQ37</f>
        <v>0.7714713626398926</v>
      </c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E37" s="60"/>
      <c r="YG37" s="62">
        <v>2019</v>
      </c>
      <c r="YH37" s="77"/>
      <c r="YI37" s="72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ZE37" s="22" t="s">
        <v>82</v>
      </c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1"/>
    </row>
    <row r="38" ht="21" customHeight="1" spans="7:692" x14ac:dyDescent="0.25">
      <c r="G38" s="62">
        <v>2020</v>
      </c>
      <c r="H38" s="76">
        <v>0.97</v>
      </c>
      <c r="I38" s="71">
        <f t="shared" si="19"/>
        <v>1.0251222715363595</v>
      </c>
      <c r="J38" s="44">
        <f>H38</f>
        <v>0.97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AD38" s="62">
        <v>2020</v>
      </c>
      <c r="AE38" s="46">
        <f t="shared" si="4"/>
        <v>1.9488037518842694</v>
      </c>
      <c r="AF38" s="20"/>
      <c r="AG38" s="63">
        <v>2.087624775401549</v>
      </c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BA38" s="62">
        <v>2020</v>
      </c>
      <c r="BB38" s="76"/>
      <c r="BC38" s="70">
        <v>30.295292486376674</v>
      </c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W38" s="62">
        <v>2020</v>
      </c>
      <c r="BX38" s="77"/>
      <c r="BY38" s="20"/>
      <c r="BZ38" s="63">
        <v>2.6233932969206215</v>
      </c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T38" s="62">
        <v>2020</v>
      </c>
      <c r="CU38" s="78"/>
      <c r="CV38" s="72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O38" s="62">
        <v>2020</v>
      </c>
      <c r="DP38" s="77"/>
      <c r="DQ38" s="20"/>
      <c r="DR38" s="72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27"/>
      <c r="EG38" s="62">
        <v>2020</v>
      </c>
      <c r="EH38" s="52"/>
      <c r="EI38" s="52">
        <f t="shared" si="16"/>
        <v>1.040335500317139</v>
      </c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FC38" s="62">
        <v>2020</v>
      </c>
      <c r="FD38" s="77"/>
      <c r="FE38" s="63">
        <f>СЧЁТ!CG31</f>
        <v>2.447190847731953</v>
      </c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Y38" s="62">
        <v>2020</v>
      </c>
      <c r="FZ38" s="78"/>
      <c r="GA38" s="52">
        <f t="shared" si="17"/>
        <v>1.0316979950098868</v>
      </c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T38" s="60"/>
      <c r="GU38" s="62">
        <v>2020</v>
      </c>
      <c r="GV38" s="77"/>
      <c r="GW38" s="53">
        <f t="shared" si="1"/>
        <v>2.3484588522954772</v>
      </c>
      <c r="GX38" s="70">
        <f>СЧЁТ!CN31</f>
        <v>3.878647499036463</v>
      </c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R38" s="62">
        <v>2020</v>
      </c>
      <c r="HS38" s="54">
        <v>0.23484588522954772</v>
      </c>
      <c r="HT38" s="72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L38" s="60"/>
      <c r="IN38" s="62">
        <v>2020</v>
      </c>
      <c r="IO38" s="77"/>
      <c r="IP38" s="20"/>
      <c r="IQ38" s="72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J38" s="27"/>
      <c r="JL38" s="62">
        <v>2020</v>
      </c>
      <c r="JM38" s="78"/>
      <c r="JN38" s="63">
        <f t="shared" si="20"/>
        <v>1.0361927084271418</v>
      </c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F38" s="60"/>
      <c r="KH38" s="62">
        <v>2020</v>
      </c>
      <c r="KI38" s="77"/>
      <c r="KJ38" s="20"/>
      <c r="KK38" s="63">
        <f>СЧЁТ!CJ31</f>
        <v>2.82012494029242</v>
      </c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LE38" s="62">
        <v>2020</v>
      </c>
      <c r="LF38" s="78"/>
      <c r="LG38" s="57">
        <v>73.18983456105296</v>
      </c>
      <c r="LH38" s="78"/>
      <c r="LI38" s="75">
        <v>4.042269076565674</v>
      </c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MB38" s="62">
        <v>2020</v>
      </c>
      <c r="MC38" s="79"/>
      <c r="MD38" s="67">
        <f>СЧЁТ!CE31</f>
        <v>6109.207239630708</v>
      </c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Y38" s="62">
        <v>2020</v>
      </c>
      <c r="MZ38" s="78"/>
      <c r="NA38" s="57">
        <f>СЧЁТ!CB31</f>
        <v>80.0193699815814</v>
      </c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V38" s="62">
        <v>2020</v>
      </c>
      <c r="NW38" s="77"/>
      <c r="NX38" s="20"/>
      <c r="NY38" s="20"/>
      <c r="NZ38" s="72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S38" s="27"/>
      <c r="OU38" s="62">
        <v>2020</v>
      </c>
      <c r="OV38" s="78"/>
      <c r="OW38" s="71">
        <f t="shared" si="18"/>
        <v>1.0132905713891374</v>
      </c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O38" s="60"/>
      <c r="PQ38" s="62">
        <v>2020</v>
      </c>
      <c r="PR38" s="77"/>
      <c r="PS38" s="63">
        <f>СЧЁТ!CI31</f>
        <v>1.342524810257228</v>
      </c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M38" s="62">
        <v>2020</v>
      </c>
      <c r="QN38" s="78"/>
      <c r="QO38" s="72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G38" s="60"/>
      <c r="RI38" s="59">
        <v>26</v>
      </c>
      <c r="RJ38" s="62">
        <v>2020</v>
      </c>
      <c r="RK38" s="77"/>
      <c r="RL38" s="55"/>
      <c r="RM38" s="73">
        <f>НАСТРОЙКА!IB30</f>
        <v>9701.563465887435</v>
      </c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G38" s="62">
        <v>2020</v>
      </c>
      <c r="SH38" s="78"/>
      <c r="SI38" s="63">
        <f t="shared" si="21"/>
        <v>0.6297136808012292</v>
      </c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TC38" s="62">
        <v>2020</v>
      </c>
      <c r="TD38" s="77"/>
      <c r="TE38" s="72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X38" s="27"/>
      <c r="TZ38" s="62">
        <v>2020</v>
      </c>
      <c r="UA38" s="78"/>
      <c r="UB38" s="20"/>
      <c r="UC38" s="63">
        <f t="shared" ref="UC38:UC53" si="22">UY38/UY37</f>
        <v>1.0373362445414847</v>
      </c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U38" s="60"/>
      <c r="UW38" s="62">
        <v>2020</v>
      </c>
      <c r="UX38" s="77"/>
      <c r="UY38" s="63">
        <f>ОТЧЁТ!EX161</f>
        <v>0.7072593523939696</v>
      </c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S38" s="62">
        <v>2020</v>
      </c>
      <c r="VT38" s="78"/>
      <c r="VU38" s="72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M38" s="60"/>
      <c r="WO38" s="62">
        <v>2020</v>
      </c>
      <c r="WP38" s="79"/>
      <c r="WQ38" s="55">
        <f t="shared" si="13"/>
        <v>7848.5648439029355</v>
      </c>
      <c r="WR38" s="67">
        <v>5817.119502566883</v>
      </c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K38" s="68">
        <v>2020</v>
      </c>
      <c r="XL38" s="78"/>
      <c r="XM38" s="52">
        <f t="shared" ref="XM38:XM53" si="23">1-(WQ38-WR38)/WQ38</f>
        <v>0.7411698340093149</v>
      </c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E38" s="60"/>
      <c r="YG38" s="62">
        <v>2020</v>
      </c>
      <c r="YH38" s="77"/>
      <c r="YI38" s="72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ZE38" s="22" t="s">
        <v>83</v>
      </c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1"/>
    </row>
    <row r="39" ht="21" customHeight="1" spans="7:692" x14ac:dyDescent="0.25">
      <c r="G39" s="62">
        <v>2021</v>
      </c>
      <c r="H39" s="76"/>
      <c r="I39" s="71">
        <f t="shared" si="19"/>
        <v>1.0433348423097437</v>
      </c>
      <c r="J39" s="44">
        <v>1.029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AD39" s="62">
        <v>2021</v>
      </c>
      <c r="AE39" s="77"/>
      <c r="AF39" s="20"/>
      <c r="AG39" s="63">
        <v>2.178091665845489</v>
      </c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BA39" s="62">
        <v>2021</v>
      </c>
      <c r="BB39" s="76"/>
      <c r="BC39" s="70">
        <v>32.50839100920102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W39" s="62">
        <v>2021</v>
      </c>
      <c r="BX39" s="77"/>
      <c r="BY39" s="20"/>
      <c r="BZ39" s="63">
        <v>2.6414739815577537</v>
      </c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T39" s="62">
        <v>2021</v>
      </c>
      <c r="CU39" s="78"/>
      <c r="CV39" s="72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O39" s="62">
        <v>2021</v>
      </c>
      <c r="DP39" s="77"/>
      <c r="DQ39" s="20"/>
      <c r="DR39" s="72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27"/>
      <c r="EG39" s="62">
        <v>2021</v>
      </c>
      <c r="EH39" s="52"/>
      <c r="EI39" s="52">
        <f t="shared" si="16"/>
        <v>1.0664608471760553</v>
      </c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FC39" s="62">
        <v>2021</v>
      </c>
      <c r="FD39" s="77"/>
      <c r="FE39" s="63">
        <f>СЧЁТ!CG32</f>
        <v>2.6098332246737077</v>
      </c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Y39" s="62">
        <v>2021</v>
      </c>
      <c r="FZ39" s="78"/>
      <c r="GA39" s="52">
        <f t="shared" si="17"/>
        <v>1.0500131130926704</v>
      </c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T39" s="60"/>
      <c r="GU39" s="62">
        <v>2021</v>
      </c>
      <c r="GV39" s="77"/>
      <c r="GW39" s="53">
        <f t="shared" si="1"/>
        <v>2.358458852295477</v>
      </c>
      <c r="GX39" s="70">
        <f>СЧЁТ!CN32</f>
        <v>4.0726307350523765</v>
      </c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R39" s="62">
        <v>2021</v>
      </c>
      <c r="HS39" s="54">
        <v>0.23584588522954772</v>
      </c>
      <c r="HT39" s="72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L39" s="60"/>
      <c r="IN39" s="62">
        <v>2021</v>
      </c>
      <c r="IO39" s="77"/>
      <c r="IP39" s="20"/>
      <c r="IQ39" s="72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J39" s="27"/>
      <c r="JL39" s="62">
        <v>2021</v>
      </c>
      <c r="JM39" s="78"/>
      <c r="JN39" s="63">
        <f t="shared" si="20"/>
        <v>1.059389475430236</v>
      </c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F39" s="60"/>
      <c r="KH39" s="62">
        <v>2021</v>
      </c>
      <c r="KI39" s="77"/>
      <c r="KJ39" s="20"/>
      <c r="KK39" s="63">
        <f>СЧЁТ!CJ32</f>
        <v>2.9876106811441123</v>
      </c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LE39" s="62">
        <v>2021</v>
      </c>
      <c r="LF39" s="78"/>
      <c r="LG39" s="57">
        <v>73.70873092343433</v>
      </c>
      <c r="LH39" s="78"/>
      <c r="LI39" s="75">
        <v>3.092908785889705</v>
      </c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MB39" s="62">
        <v>2021</v>
      </c>
      <c r="MC39" s="79"/>
      <c r="MD39" s="67">
        <f>СЧЁТ!CE32</f>
        <v>6387.548816179734</v>
      </c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Y39" s="62">
        <v>2021</v>
      </c>
      <c r="MZ39" s="78"/>
      <c r="NA39" s="57">
        <f>СЧЁТ!CB32</f>
        <v>80.0913817731545</v>
      </c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V39" s="62">
        <v>2021</v>
      </c>
      <c r="NW39" s="77"/>
      <c r="NX39" s="20"/>
      <c r="NY39" s="20"/>
      <c r="NZ39" s="72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S39" s="27"/>
      <c r="OU39" s="62">
        <v>2021</v>
      </c>
      <c r="OV39" s="78"/>
      <c r="OW39" s="71">
        <f t="shared" si="18"/>
        <v>1.0741191791947833</v>
      </c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O39" s="60"/>
      <c r="PQ39" s="62">
        <v>2021</v>
      </c>
      <c r="PR39" s="77"/>
      <c r="PS39" s="63">
        <f>СЧЁТ!CI32</f>
        <v>1.442031647242126</v>
      </c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M39" s="62">
        <v>2021</v>
      </c>
      <c r="QN39" s="78"/>
      <c r="QO39" s="72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G39" s="60"/>
      <c r="RI39" s="59">
        <v>27</v>
      </c>
      <c r="RJ39" s="62">
        <v>2021</v>
      </c>
      <c r="RK39" s="77"/>
      <c r="RL39" s="55"/>
      <c r="RM39" s="73">
        <f>НАСТРОЙКА!IB31</f>
        <v>10100.449024754149</v>
      </c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G39" s="62">
        <v>2021</v>
      </c>
      <c r="SH39" s="78"/>
      <c r="SI39" s="63">
        <f t="shared" si="21"/>
        <v>0.6324024605762724</v>
      </c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TC39" s="62">
        <v>2021</v>
      </c>
      <c r="TD39" s="77"/>
      <c r="TE39" s="72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X39" s="27"/>
      <c r="TZ39" s="62">
        <v>2021</v>
      </c>
      <c r="UA39" s="78"/>
      <c r="UB39" s="20"/>
      <c r="UC39" s="63">
        <f t="shared" si="22"/>
        <v>1.0341928015154704</v>
      </c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U39" s="60"/>
      <c r="UW39" s="62">
        <v>2021</v>
      </c>
      <c r="UX39" s="77"/>
      <c r="UY39" s="63">
        <f>ОТЧЁТ!EX162</f>
        <v>0.7314425310503367</v>
      </c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S39" s="62">
        <v>2021</v>
      </c>
      <c r="VT39" s="78"/>
      <c r="VU39" s="72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M39" s="60"/>
      <c r="WO39" s="62">
        <v>2021</v>
      </c>
      <c r="WP39" s="79"/>
      <c r="WQ39" s="55">
        <f t="shared" si="13"/>
        <v>8171.263261026107</v>
      </c>
      <c r="WR39" s="67">
        <v>5819.604889233059</v>
      </c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K39" s="68">
        <v>2021</v>
      </c>
      <c r="XL39" s="78"/>
      <c r="XM39" s="52">
        <f t="shared" si="23"/>
        <v>0.7122038176141521</v>
      </c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E39" s="60"/>
      <c r="YG39" s="62">
        <v>2021</v>
      </c>
      <c r="YH39" s="77"/>
      <c r="YI39" s="72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ZE39" s="22" t="s">
        <v>84</v>
      </c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1"/>
    </row>
    <row r="40" ht="21" customHeight="1" spans="7:692" x14ac:dyDescent="0.25">
      <c r="G40" s="62">
        <v>2022</v>
      </c>
      <c r="H40" s="76"/>
      <c r="I40" s="71">
        <f t="shared" si="19"/>
        <v>1.0330148113118567</v>
      </c>
      <c r="J40" s="44">
        <v>1.032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AD40" s="62">
        <v>2022</v>
      </c>
      <c r="AE40" s="77"/>
      <c r="AF40" s="20"/>
      <c r="AG40" s="63">
        <v>2.2500009512133055</v>
      </c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BA40" s="62">
        <v>2022</v>
      </c>
      <c r="BB40" s="76"/>
      <c r="BC40" s="70">
        <v>34.90839768276339</v>
      </c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W40" s="62">
        <v>2022</v>
      </c>
      <c r="BX40" s="77"/>
      <c r="BY40" s="20"/>
      <c r="BZ40" s="63">
        <v>2.652322392340033</v>
      </c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T40" s="62">
        <v>2022</v>
      </c>
      <c r="CU40" s="78"/>
      <c r="CV40" s="72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O40" s="62">
        <v>2022</v>
      </c>
      <c r="DP40" s="77"/>
      <c r="DQ40" s="20"/>
      <c r="DR40" s="72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27"/>
      <c r="EG40" s="62">
        <v>2022</v>
      </c>
      <c r="EH40" s="52"/>
      <c r="EI40" s="52">
        <f t="shared" si="16"/>
        <v>1.0503745970456615</v>
      </c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FC40" s="62">
        <v>2022</v>
      </c>
      <c r="FD40" s="77"/>
      <c r="FE40" s="63">
        <f>СЧЁТ!CG33</f>
        <v>2.7413025217230254</v>
      </c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Y40" s="62">
        <v>2022</v>
      </c>
      <c r="FZ40" s="78"/>
      <c r="GA40" s="52">
        <f t="shared" si="17"/>
        <v>1.0396130672039186</v>
      </c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T40" s="60"/>
      <c r="GU40" s="62">
        <v>2022</v>
      </c>
      <c r="GV40" s="77"/>
      <c r="GW40" s="53">
        <f t="shared" si="1"/>
        <v>2.3684588522954773</v>
      </c>
      <c r="GX40" s="70">
        <f>СЧЁТ!CN33</f>
        <v>4.233960130056751</v>
      </c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R40" s="62">
        <v>2022</v>
      </c>
      <c r="HS40" s="54">
        <v>0.23684588522954772</v>
      </c>
      <c r="HT40" s="72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L40" s="60"/>
      <c r="IN40" s="62">
        <v>2022</v>
      </c>
      <c r="IO40" s="77"/>
      <c r="IP40" s="20"/>
      <c r="IQ40" s="72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J40" s="27"/>
      <c r="JL40" s="62">
        <v>2022</v>
      </c>
      <c r="JM40" s="78"/>
      <c r="JN40" s="63">
        <f t="shared" si="20"/>
        <v>1.048274428858743</v>
      </c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F40" s="60"/>
      <c r="KH40" s="62">
        <v>2022</v>
      </c>
      <c r="KI40" s="77"/>
      <c r="KJ40" s="20"/>
      <c r="KK40" s="63">
        <f>СЧЁТ!CJ33</f>
        <v>3.1318358804286244</v>
      </c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LE40" s="62">
        <v>2022</v>
      </c>
      <c r="LF40" s="78"/>
      <c r="LG40" s="57">
        <v>74.6262912141103</v>
      </c>
      <c r="LH40" s="78"/>
      <c r="LI40" s="75">
        <v>2.3211689748205657</v>
      </c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MB40" s="62">
        <v>2022</v>
      </c>
      <c r="MC40" s="79"/>
      <c r="MD40" s="67">
        <f>СЧЁТ!CE33</f>
        <v>6612.541663041557</v>
      </c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Y40" s="62">
        <v>2022</v>
      </c>
      <c r="MZ40" s="78"/>
      <c r="NA40" s="57">
        <f>СЧЁТ!CB33</f>
        <v>81.91582001025247</v>
      </c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V40" s="62">
        <v>2022</v>
      </c>
      <c r="NW40" s="77"/>
      <c r="NX40" s="20"/>
      <c r="NY40" s="20"/>
      <c r="NZ40" s="72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S40" s="27"/>
      <c r="OU40" s="62">
        <v>2022</v>
      </c>
      <c r="OV40" s="78"/>
      <c r="OW40" s="71">
        <f t="shared" si="18"/>
        <v>1.0441404273810087</v>
      </c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O40" s="60"/>
      <c r="PQ40" s="62">
        <v>2022</v>
      </c>
      <c r="PR40" s="77"/>
      <c r="PS40" s="63">
        <f>СЧЁТ!CI33</f>
        <v>1.5056835404483333</v>
      </c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M40" s="62">
        <v>2022</v>
      </c>
      <c r="QN40" s="78"/>
      <c r="QO40" s="72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G40" s="60"/>
      <c r="RI40" s="59">
        <v>28</v>
      </c>
      <c r="RJ40" s="62">
        <v>2022</v>
      </c>
      <c r="RK40" s="77"/>
      <c r="RL40" s="55"/>
      <c r="RM40" s="73">
        <f>НАСТРОЙКА!IB32</f>
        <v>10526.2325363394</v>
      </c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G40" s="62">
        <v>2022</v>
      </c>
      <c r="SH40" s="78"/>
      <c r="SI40" s="63">
        <f t="shared" si="21"/>
        <v>0.6281964264244853</v>
      </c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TC40" s="62">
        <v>2022</v>
      </c>
      <c r="TD40" s="77"/>
      <c r="TE40" s="72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X40" s="27"/>
      <c r="TZ40" s="62">
        <v>2022</v>
      </c>
      <c r="UA40" s="78"/>
      <c r="UB40" s="20"/>
      <c r="UC40" s="63">
        <f t="shared" si="22"/>
        <v>1.0314091931331344</v>
      </c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U40" s="60"/>
      <c r="UW40" s="62">
        <v>2022</v>
      </c>
      <c r="UX40" s="77"/>
      <c r="UY40" s="63">
        <f>ОТЧЁТ!EX163</f>
        <v>0.7544165507738855</v>
      </c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S40" s="62">
        <v>2022</v>
      </c>
      <c r="VT40" s="78"/>
      <c r="VU40" s="72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M40" s="60"/>
      <c r="WO40" s="62">
        <v>2022</v>
      </c>
      <c r="WP40" s="79"/>
      <c r="WQ40" s="55">
        <f t="shared" si="13"/>
        <v>8515.722121898574</v>
      </c>
      <c r="WR40" s="67">
        <v>5999.5152654098065</v>
      </c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K40" s="68">
        <v>2022</v>
      </c>
      <c r="XL40" s="78"/>
      <c r="XM40" s="52">
        <f t="shared" si="23"/>
        <v>0.7045221978276833</v>
      </c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E40" s="60"/>
      <c r="YG40" s="62">
        <v>2022</v>
      </c>
      <c r="YH40" s="77"/>
      <c r="YI40" s="72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ZE40" s="22" t="s">
        <v>85</v>
      </c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1"/>
    </row>
    <row r="41" ht="21" customHeight="1" spans="7:692" x14ac:dyDescent="0.25">
      <c r="G41" s="62">
        <v>2023</v>
      </c>
      <c r="H41" s="76"/>
      <c r="I41" s="71">
        <f t="shared" si="19"/>
        <v>1.031375464333472</v>
      </c>
      <c r="J41" s="44">
        <v>1.03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AD41" s="62">
        <v>2023</v>
      </c>
      <c r="AE41" s="77"/>
      <c r="AF41" s="20"/>
      <c r="AG41" s="63">
        <v>2.3205957758083766</v>
      </c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BA41" s="62">
        <v>2023</v>
      </c>
      <c r="BB41" s="76"/>
      <c r="BC41" s="70">
        <v>37.51247387012187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W41" s="62">
        <v>2023</v>
      </c>
      <c r="BX41" s="77"/>
      <c r="BY41" s="20"/>
      <c r="BZ41" s="63">
        <v>2.658831438809401</v>
      </c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T41" s="62">
        <v>2023</v>
      </c>
      <c r="CU41" s="78"/>
      <c r="CV41" s="72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O41" s="62">
        <v>2023</v>
      </c>
      <c r="DP41" s="77"/>
      <c r="DQ41" s="20"/>
      <c r="DR41" s="72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27"/>
      <c r="EG41" s="62">
        <v>2023</v>
      </c>
      <c r="EH41" s="52"/>
      <c r="EI41" s="52">
        <f t="shared" si="16"/>
        <v>1.0473390276932233</v>
      </c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FC41" s="62">
        <v>2023</v>
      </c>
      <c r="FD41" s="77"/>
      <c r="FE41" s="63">
        <f>СЧЁТ!CG34</f>
        <v>2.8710731177143747</v>
      </c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Y41" s="62">
        <v>2023</v>
      </c>
      <c r="FZ41" s="78"/>
      <c r="GA41" s="52">
        <f t="shared" si="17"/>
        <v>1.0379494913925325</v>
      </c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T41" s="60"/>
      <c r="GU41" s="62">
        <v>2023</v>
      </c>
      <c r="GV41" s="77"/>
      <c r="GW41" s="53">
        <f t="shared" si="1"/>
        <v>2.378458852295477</v>
      </c>
      <c r="GX41" s="70">
        <f>СЧЁТ!CN34</f>
        <v>4.394636763568665</v>
      </c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R41" s="62">
        <v>2023</v>
      </c>
      <c r="HS41" s="54">
        <v>0.23784588522954772</v>
      </c>
      <c r="HT41" s="72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L41" s="60"/>
      <c r="IN41" s="62">
        <v>2023</v>
      </c>
      <c r="IO41" s="77"/>
      <c r="IP41" s="20"/>
      <c r="IQ41" s="72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J41" s="27"/>
      <c r="JL41" s="62">
        <v>2023</v>
      </c>
      <c r="JM41" s="78"/>
      <c r="JN41" s="63">
        <f t="shared" si="20"/>
        <v>1.0462926657945175</v>
      </c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F41" s="60"/>
      <c r="KH41" s="62">
        <v>2023</v>
      </c>
      <c r="KI41" s="77"/>
      <c r="KJ41" s="20"/>
      <c r="KK41" s="63">
        <f>СЧЁТ!CJ34</f>
        <v>3.276816912164585</v>
      </c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LE41" s="62">
        <v>2023</v>
      </c>
      <c r="LF41" s="78"/>
      <c r="LG41" s="57">
        <v>75.35563102517942</v>
      </c>
      <c r="LH41" s="78"/>
      <c r="LI41" s="75">
        <v>1.5415610800227313</v>
      </c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MB41" s="62">
        <v>2023</v>
      </c>
      <c r="MC41" s="79"/>
      <c r="MD41" s="67">
        <f>СЧЁТ!CE34</f>
        <v>6834.6274008248565</v>
      </c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Y41" s="62">
        <v>2023</v>
      </c>
      <c r="MZ41" s="78"/>
      <c r="NA41" s="57">
        <f>СЧЁТ!CB34</f>
        <v>82.89689973122265</v>
      </c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V41" s="62">
        <v>2023</v>
      </c>
      <c r="NW41" s="77"/>
      <c r="NX41" s="20"/>
      <c r="NY41" s="20"/>
      <c r="NZ41" s="72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S41" s="27"/>
      <c r="OU41" s="62">
        <v>2023</v>
      </c>
      <c r="OV41" s="78"/>
      <c r="OW41" s="71">
        <f t="shared" si="18"/>
        <v>1.0424019574402061</v>
      </c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O41" s="60"/>
      <c r="PQ41" s="62">
        <v>2023</v>
      </c>
      <c r="PR41" s="77"/>
      <c r="PS41" s="63">
        <f>СЧЁТ!CI34</f>
        <v>1.5695274698488424</v>
      </c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M41" s="62">
        <v>2023</v>
      </c>
      <c r="QN41" s="78"/>
      <c r="QO41" s="72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G41" s="60"/>
      <c r="RI41" s="59">
        <v>29</v>
      </c>
      <c r="RJ41" s="62">
        <v>2023</v>
      </c>
      <c r="RK41" s="77"/>
      <c r="RL41" s="55"/>
      <c r="RM41" s="73">
        <f>НАСТРОЙКА!IB33</f>
        <v>10976.127338183813</v>
      </c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G41" s="62">
        <v>2023</v>
      </c>
      <c r="SH41" s="78"/>
      <c r="SI41" s="63">
        <f t="shared" si="21"/>
        <v>0.6226811324471899</v>
      </c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TC41" s="62">
        <v>2023</v>
      </c>
      <c r="TD41" s="77"/>
      <c r="TE41" s="72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X41" s="27"/>
      <c r="TZ41" s="62">
        <v>2023</v>
      </c>
      <c r="UA41" s="78"/>
      <c r="UB41" s="20"/>
      <c r="UC41" s="63">
        <f t="shared" si="22"/>
        <v>1.0289300635239016</v>
      </c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U41" s="60"/>
      <c r="UW41" s="62">
        <v>2023</v>
      </c>
      <c r="UX41" s="77"/>
      <c r="UY41" s="63">
        <f>ОТЧЁТ!EX164</f>
        <v>0.7762418695112567</v>
      </c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S41" s="62">
        <v>2023</v>
      </c>
      <c r="VT41" s="78"/>
      <c r="VU41" s="72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M41" s="60"/>
      <c r="WO41" s="62">
        <v>2023</v>
      </c>
      <c r="WP41" s="79"/>
      <c r="WQ41" s="55">
        <f t="shared" si="13"/>
        <v>8879.687016590706</v>
      </c>
      <c r="WR41" s="67">
        <v>6094.941198471767</v>
      </c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K41" s="68">
        <v>2023</v>
      </c>
      <c r="XL41" s="78"/>
      <c r="XM41" s="52">
        <f t="shared" si="23"/>
        <v>0.686391444550247</v>
      </c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E41" s="60"/>
      <c r="YG41" s="62">
        <v>2023</v>
      </c>
      <c r="YH41" s="77"/>
      <c r="YI41" s="72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ZE41" s="22" t="s">
        <v>86</v>
      </c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1"/>
    </row>
    <row r="42" ht="21" customHeight="1" spans="7:692" x14ac:dyDescent="0.25">
      <c r="G42" s="62">
        <v>2024</v>
      </c>
      <c r="H42" s="76"/>
      <c r="I42" s="71">
        <f t="shared" si="19"/>
        <v>1.0306297390633483</v>
      </c>
      <c r="J42" s="44">
        <v>1.03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AD42" s="62">
        <v>2024</v>
      </c>
      <c r="AE42" s="77"/>
      <c r="AF42" s="20"/>
      <c r="AG42" s="63">
        <v>2.3916750188928955</v>
      </c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BA42" s="62">
        <v>2024</v>
      </c>
      <c r="BB42" s="76"/>
      <c r="BC42" s="70">
        <v>40.33944013792836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W42" s="62">
        <v>2024</v>
      </c>
      <c r="BX42" s="77"/>
      <c r="BY42" s="20"/>
      <c r="BZ42" s="63">
        <v>2.662736866691022</v>
      </c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T42" s="62">
        <v>2024</v>
      </c>
      <c r="CU42" s="78"/>
      <c r="CV42" s="72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O42" s="62">
        <v>2024</v>
      </c>
      <c r="DP42" s="77"/>
      <c r="DQ42" s="20"/>
      <c r="DR42" s="72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27"/>
      <c r="EG42" s="62">
        <v>2024</v>
      </c>
      <c r="EH42" s="52"/>
      <c r="EI42" s="52">
        <f t="shared" si="16"/>
        <v>1.0456844513214165</v>
      </c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FC42" s="62">
        <v>2024</v>
      </c>
      <c r="FD42" s="77"/>
      <c r="FE42" s="63">
        <f>СЧЁТ!CG35</f>
        <v>3.0022365178008243</v>
      </c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Y42" s="62">
        <v>2024</v>
      </c>
      <c r="FZ42" s="78"/>
      <c r="GA42" s="52">
        <f t="shared" si="17"/>
        <v>1.0371854407613699</v>
      </c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T42" s="60"/>
      <c r="GU42" s="62">
        <v>2024</v>
      </c>
      <c r="GV42" s="77"/>
      <c r="GW42" s="53">
        <f t="shared" si="1"/>
        <v>2.3884588522954773</v>
      </c>
      <c r="GX42" s="70">
        <f>СЧЁТ!CN35</f>
        <v>4.558053268608086</v>
      </c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R42" s="62">
        <v>2024</v>
      </c>
      <c r="HS42" s="54">
        <v>0.23884588522954772</v>
      </c>
      <c r="HT42" s="72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L42" s="60"/>
      <c r="IN42" s="62">
        <v>2024</v>
      </c>
      <c r="IO42" s="77"/>
      <c r="IP42" s="20"/>
      <c r="IQ42" s="72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J42" s="27"/>
      <c r="JL42" s="62">
        <v>2024</v>
      </c>
      <c r="JM42" s="78"/>
      <c r="JN42" s="63">
        <f t="shared" si="20"/>
        <v>1.0452294442844008</v>
      </c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F42" s="60"/>
      <c r="KH42" s="62">
        <v>2024</v>
      </c>
      <c r="KI42" s="77"/>
      <c r="KJ42" s="20"/>
      <c r="KK42" s="63">
        <f>СЧЁТ!CJ35</f>
        <v>3.4250255201235156</v>
      </c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LE42" s="62">
        <v>2024</v>
      </c>
      <c r="LF42" s="78"/>
      <c r="LG42" s="57">
        <v>76.07163891997726</v>
      </c>
      <c r="LH42" s="78"/>
      <c r="LI42" s="75">
        <v>0.757039971475578</v>
      </c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MB42" s="62">
        <v>2024</v>
      </c>
      <c r="MC42" s="79"/>
      <c r="MD42" s="67">
        <f>СЧЁТ!CE35</f>
        <v>7059.09674425229</v>
      </c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Y42" s="62">
        <v>2024</v>
      </c>
      <c r="MZ42" s="78"/>
      <c r="NA42" s="57">
        <f>СЧЁТ!CB35</f>
        <v>83.89855076436079</v>
      </c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V42" s="62">
        <v>2024</v>
      </c>
      <c r="NW42" s="77"/>
      <c r="NX42" s="20"/>
      <c r="NY42" s="20"/>
      <c r="NZ42" s="72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S42" s="27"/>
      <c r="OU42" s="62">
        <v>2024</v>
      </c>
      <c r="OV42" s="78"/>
      <c r="OW42" s="71">
        <f t="shared" si="18"/>
        <v>1.0415597051838101</v>
      </c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O42" s="60"/>
      <c r="PQ42" s="62">
        <v>2024</v>
      </c>
      <c r="PR42" s="77"/>
      <c r="PS42" s="63">
        <f>СЧЁТ!CI35</f>
        <v>1.6347565687736516</v>
      </c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M42" s="62">
        <v>2024</v>
      </c>
      <c r="QN42" s="78"/>
      <c r="QO42" s="72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G42" s="60"/>
      <c r="RI42" s="59">
        <v>30</v>
      </c>
      <c r="RJ42" s="62">
        <v>2024</v>
      </c>
      <c r="RK42" s="77"/>
      <c r="RL42" s="55"/>
      <c r="RM42" s="73">
        <f>НАСТРОЙКА!IB34</f>
        <v>11450.376438115263</v>
      </c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G42" s="62">
        <v>2024</v>
      </c>
      <c r="SH42" s="78"/>
      <c r="SI42" s="63">
        <f t="shared" si="21"/>
        <v>0.6164947311910577</v>
      </c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TC42" s="62">
        <v>2024</v>
      </c>
      <c r="TD42" s="77"/>
      <c r="TE42" s="72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X42" s="27"/>
      <c r="TZ42" s="62">
        <v>2024</v>
      </c>
      <c r="UA42" s="78"/>
      <c r="UB42" s="20"/>
      <c r="UC42" s="63">
        <f t="shared" si="22"/>
        <v>1.0267108147793642</v>
      </c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U42" s="60"/>
      <c r="UW42" s="62">
        <v>2024</v>
      </c>
      <c r="UX42" s="77"/>
      <c r="UY42" s="63">
        <f>ОТЧЁТ!EX165</f>
        <v>0.7969759223117594</v>
      </c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S42" s="62">
        <v>2024</v>
      </c>
      <c r="VT42" s="78"/>
      <c r="VU42" s="72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M42" s="60"/>
      <c r="WO42" s="62">
        <v>2024</v>
      </c>
      <c r="WP42" s="79"/>
      <c r="WQ42" s="55">
        <f t="shared" si="13"/>
        <v>9263.35453843525</v>
      </c>
      <c r="WR42" s="67">
        <v>6193.118479604617</v>
      </c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K42" s="68">
        <v>2024</v>
      </c>
      <c r="XL42" s="78"/>
      <c r="XM42" s="52">
        <f t="shared" si="23"/>
        <v>0.6685610978083916</v>
      </c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E42" s="60"/>
      <c r="YG42" s="62">
        <v>2024</v>
      </c>
      <c r="YH42" s="77"/>
      <c r="YI42" s="72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ZE42" s="22" t="s">
        <v>87</v>
      </c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1"/>
    </row>
    <row r="43" ht="21" customHeight="1" spans="7:692" x14ac:dyDescent="0.25">
      <c r="G43" s="62">
        <v>2025</v>
      </c>
      <c r="H43" s="76"/>
      <c r="I43" s="71">
        <f t="shared" si="19"/>
        <v>1.0304082970353559</v>
      </c>
      <c r="J43" s="44">
        <v>1.03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AD43" s="62">
        <v>2025</v>
      </c>
      <c r="AE43" s="77"/>
      <c r="AF43" s="20"/>
      <c r="AG43" s="63">
        <v>2.4644017832794307</v>
      </c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BA43" s="62">
        <v>2025</v>
      </c>
      <c r="BB43" s="76"/>
      <c r="BC43" s="70">
        <v>43.40994133299096</v>
      </c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W43" s="62">
        <v>2025</v>
      </c>
      <c r="BX43" s="77"/>
      <c r="BY43" s="20"/>
      <c r="BZ43" s="63">
        <v>2.6650801234199943</v>
      </c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T43" s="62">
        <v>2025</v>
      </c>
      <c r="CU43" s="78"/>
      <c r="CV43" s="72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O43" s="62">
        <v>2025</v>
      </c>
      <c r="DP43" s="77"/>
      <c r="DQ43" s="20"/>
      <c r="DR43" s="72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27"/>
      <c r="EG43" s="62">
        <v>2025</v>
      </c>
      <c r="EH43" s="52"/>
      <c r="EI43" s="52">
        <f t="shared" si="16"/>
        <v>1.0448250713327234</v>
      </c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FC43" s="62">
        <v>2025</v>
      </c>
      <c r="FD43" s="77"/>
      <c r="FE43" s="63">
        <f>СЧЁТ!CG36</f>
        <v>3.136811983868953</v>
      </c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Y43" s="62">
        <v>2025</v>
      </c>
      <c r="FZ43" s="78"/>
      <c r="GA43" s="52">
        <f t="shared" si="17"/>
        <v>1.0369491948262495</v>
      </c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T43" s="60"/>
      <c r="GU43" s="62">
        <v>2025</v>
      </c>
      <c r="GV43" s="77"/>
      <c r="GW43" s="53">
        <f t="shared" si="1"/>
        <v>2.398458852295477</v>
      </c>
      <c r="GX43" s="70">
        <f>СЧЁТ!CN36</f>
        <v>4.72646966685831</v>
      </c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R43" s="62">
        <v>2025</v>
      </c>
      <c r="HS43" s="54">
        <v>0.23984588522954772</v>
      </c>
      <c r="HT43" s="72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L43" s="60"/>
      <c r="IN43" s="62">
        <v>2025</v>
      </c>
      <c r="IO43" s="77"/>
      <c r="IP43" s="20"/>
      <c r="IQ43" s="72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J43" s="27"/>
      <c r="JL43" s="62">
        <v>2025</v>
      </c>
      <c r="JM43" s="78"/>
      <c r="JN43" s="63">
        <f t="shared" si="20"/>
        <v>1.0447027920353136</v>
      </c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F43" s="60"/>
      <c r="KH43" s="62">
        <v>2025</v>
      </c>
      <c r="KI43" s="77"/>
      <c r="KJ43" s="20"/>
      <c r="KK43" s="63">
        <f>СЧЁТ!CJ36</f>
        <v>3.5781337236652386</v>
      </c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LE43" s="62">
        <v>2025</v>
      </c>
      <c r="LF43" s="78"/>
      <c r="LG43" s="57">
        <v>76.7925600285244</v>
      </c>
      <c r="LH43" s="78"/>
      <c r="LI43" s="75">
        <v>-0.06539111922477048</v>
      </c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MB43" s="62">
        <v>2025</v>
      </c>
      <c r="MC43" s="79"/>
      <c r="MD43" s="67">
        <f>СЧЁТ!CE36</f>
        <v>7289.405401163013</v>
      </c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Y43" s="62">
        <v>2025</v>
      </c>
      <c r="MZ43" s="78"/>
      <c r="NA43" s="57">
        <f>СЧЁТ!CB36</f>
        <v>84.91977961666092</v>
      </c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V43" s="62">
        <v>2025</v>
      </c>
      <c r="NW43" s="77"/>
      <c r="NX43" s="20"/>
      <c r="NY43" s="20"/>
      <c r="NZ43" s="72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S43" s="27"/>
      <c r="OU43" s="62">
        <v>2025</v>
      </c>
      <c r="OV43" s="78"/>
      <c r="OW43" s="71">
        <f t="shared" si="18"/>
        <v>1.0412367253533303</v>
      </c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O43" s="60"/>
      <c r="PQ43" s="62">
        <v>2025</v>
      </c>
      <c r="PR43" s="77"/>
      <c r="PS43" s="63">
        <f>СЧЁТ!CI36</f>
        <v>1.7021685764197234</v>
      </c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M43" s="62">
        <v>2025</v>
      </c>
      <c r="QN43" s="78"/>
      <c r="QO43" s="72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G43" s="60"/>
      <c r="RI43" s="59">
        <v>31</v>
      </c>
      <c r="RJ43" s="62">
        <v>2025</v>
      </c>
      <c r="RK43" s="77"/>
      <c r="RL43" s="55"/>
      <c r="RM43" s="73">
        <f>НАСТРОЙКА!IB35</f>
        <v>11948.374451382973</v>
      </c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G43" s="62">
        <v>2025</v>
      </c>
      <c r="SH43" s="78"/>
      <c r="SI43" s="63">
        <f t="shared" si="21"/>
        <v>0.6100750717867982</v>
      </c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TC43" s="62">
        <v>2025</v>
      </c>
      <c r="TD43" s="77"/>
      <c r="TE43" s="72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X43" s="27"/>
      <c r="TZ43" s="62">
        <v>2025</v>
      </c>
      <c r="UA43" s="78"/>
      <c r="UB43" s="20"/>
      <c r="UC43" s="63">
        <f t="shared" si="22"/>
        <v>1.0247151132286936</v>
      </c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U43" s="60"/>
      <c r="UW43" s="62">
        <v>2025</v>
      </c>
      <c r="UX43" s="77"/>
      <c r="UY43" s="63">
        <f>ОТЧЁТ!EX166</f>
        <v>0.816673272472237</v>
      </c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S43" s="62">
        <v>2025</v>
      </c>
      <c r="VT43" s="78"/>
      <c r="VU43" s="72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M43" s="60"/>
      <c r="WO43" s="62">
        <v>2025</v>
      </c>
      <c r="WP43" s="79"/>
      <c r="WQ43" s="55">
        <f t="shared" si="13"/>
        <v>9666.234931168827</v>
      </c>
      <c r="WR43" s="67">
        <v>6293.995495846326</v>
      </c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K43" s="68">
        <v>2025</v>
      </c>
      <c r="XL43" s="78"/>
      <c r="XM43" s="52">
        <f t="shared" si="23"/>
        <v>0.6511320633798485</v>
      </c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E43" s="60"/>
      <c r="YG43" s="62">
        <v>2025</v>
      </c>
      <c r="YH43" s="77"/>
      <c r="YI43" s="72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ZE43" s="22" t="s">
        <v>88</v>
      </c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1"/>
    </row>
    <row r="44" ht="21" customHeight="1" spans="7:692" x14ac:dyDescent="0.25">
      <c r="G44" s="62">
        <v>2026</v>
      </c>
      <c r="H44" s="76"/>
      <c r="I44" s="71">
        <f t="shared" si="19"/>
        <v>1.0304945289350431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AD44" s="62">
        <v>2026</v>
      </c>
      <c r="AE44" s="77"/>
      <c r="AF44" s="20"/>
      <c r="AG44" s="63">
        <v>2.539552554767217</v>
      </c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BA44" s="62">
        <v>2026</v>
      </c>
      <c r="BB44" s="76"/>
      <c r="BC44" s="70">
        <v>46.746628329593726</v>
      </c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W44" s="62">
        <v>2026</v>
      </c>
      <c r="BX44" s="77"/>
      <c r="BY44" s="20"/>
      <c r="BZ44" s="63">
        <v>2.6664860774573778</v>
      </c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T44" s="62">
        <v>2026</v>
      </c>
      <c r="CU44" s="78"/>
      <c r="CV44" s="72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O44" s="62">
        <v>2026</v>
      </c>
      <c r="DP44" s="77"/>
      <c r="DQ44" s="20"/>
      <c r="DR44" s="72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27"/>
      <c r="EG44" s="62">
        <v>2026</v>
      </c>
      <c r="EH44" s="52"/>
      <c r="EI44" s="52">
        <f t="shared" si="16"/>
        <v>1.0444255367571784</v>
      </c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FC44" s="62">
        <v>2026</v>
      </c>
      <c r="FD44" s="77"/>
      <c r="FE44" s="63">
        <f>СЧЁТ!CG37</f>
        <v>3.2761665399586812</v>
      </c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Y44" s="62">
        <v>2026</v>
      </c>
      <c r="FZ44" s="78"/>
      <c r="GA44" s="52">
        <f t="shared" si="17"/>
        <v>1.0370227496987634</v>
      </c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T44" s="60"/>
      <c r="GU44" s="62">
        <v>2026</v>
      </c>
      <c r="GV44" s="77"/>
      <c r="GW44" s="53">
        <f t="shared" si="1"/>
        <v>2.4084588522954773</v>
      </c>
      <c r="GX44" s="70">
        <f>СЧЁТ!CN37</f>
        <v>4.9014565702932025</v>
      </c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R44" s="62">
        <v>2026</v>
      </c>
      <c r="HS44" s="54">
        <v>0.24084588522954772</v>
      </c>
      <c r="HT44" s="72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L44" s="60"/>
      <c r="IN44" s="62">
        <v>2026</v>
      </c>
      <c r="IO44" s="77"/>
      <c r="IP44" s="20"/>
      <c r="IQ44" s="72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J44" s="27"/>
      <c r="JL44" s="62">
        <v>2026</v>
      </c>
      <c r="JM44" s="78"/>
      <c r="JN44" s="63">
        <f t="shared" si="20"/>
        <v>1.0444895571120232</v>
      </c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F44" s="60"/>
      <c r="KH44" s="62">
        <v>2026</v>
      </c>
      <c r="KI44" s="77"/>
      <c r="KJ44" s="20"/>
      <c r="KK44" s="63">
        <f>СЧЁТ!CJ37</f>
        <v>3.7373233083186994</v>
      </c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LE44" s="62">
        <v>2026</v>
      </c>
      <c r="LF44" s="78"/>
      <c r="LG44" s="57">
        <v>77.53019111922475</v>
      </c>
      <c r="LH44" s="78"/>
      <c r="LI44" s="75">
        <v>-0.9124076980468914</v>
      </c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MB44" s="62">
        <v>2026</v>
      </c>
      <c r="MC44" s="79"/>
      <c r="MD44" s="67">
        <f>СЧЁТ!CE37</f>
        <v>7527.8928579418525</v>
      </c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Y44" s="62">
        <v>2026</v>
      </c>
      <c r="MZ44" s="78"/>
      <c r="NA44" s="57">
        <f>СЧЁТ!CB37</f>
        <v>85.9595949391839</v>
      </c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V44" s="62">
        <v>2026</v>
      </c>
      <c r="NW44" s="77"/>
      <c r="NX44" s="20"/>
      <c r="NY44" s="20"/>
      <c r="NZ44" s="72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S44" s="27"/>
      <c r="OU44" s="62">
        <v>2026</v>
      </c>
      <c r="OV44" s="78"/>
      <c r="OW44" s="71">
        <f t="shared" si="18"/>
        <v>1.041212912305758</v>
      </c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O44" s="60"/>
      <c r="PQ44" s="62">
        <v>2026</v>
      </c>
      <c r="PR44" s="77"/>
      <c r="PS44" s="63">
        <f>СЧЁТ!CI37</f>
        <v>1.7723199006893267</v>
      </c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M44" s="62">
        <v>2026</v>
      </c>
      <c r="QN44" s="78"/>
      <c r="QO44" s="72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G44" s="60"/>
      <c r="RI44" s="59">
        <v>32</v>
      </c>
      <c r="RJ44" s="62">
        <v>2026</v>
      </c>
      <c r="RK44" s="77"/>
      <c r="RL44" s="55"/>
      <c r="RM44" s="73">
        <f>НАСТРОЙКА!IB36</f>
        <v>12470.493165184831</v>
      </c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G44" s="62">
        <v>2026</v>
      </c>
      <c r="SH44" s="78"/>
      <c r="SI44" s="63">
        <f t="shared" si="21"/>
        <v>0.603656387780898</v>
      </c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TC44" s="62">
        <v>2026</v>
      </c>
      <c r="TD44" s="77"/>
      <c r="TE44" s="72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X44" s="27"/>
      <c r="TZ44" s="62">
        <v>2026</v>
      </c>
      <c r="UA44" s="78"/>
      <c r="UB44" s="20"/>
      <c r="UC44" s="63">
        <f t="shared" si="22"/>
        <v>1.0229130587264197</v>
      </c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U44" s="60"/>
      <c r="UW44" s="62">
        <v>2026</v>
      </c>
      <c r="UX44" s="77"/>
      <c r="UY44" s="63">
        <f>ОТЧЁТ!EX167</f>
        <v>0.8353857551246907</v>
      </c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S44" s="62">
        <v>2026</v>
      </c>
      <c r="VT44" s="78"/>
      <c r="VU44" s="72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M44" s="60"/>
      <c r="WO44" s="62">
        <v>2026</v>
      </c>
      <c r="WP44" s="79"/>
      <c r="WQ44" s="55">
        <f t="shared" si="13"/>
        <v>10088.628970634529</v>
      </c>
      <c r="WR44" s="67">
        <v>6397.519314320874</v>
      </c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K44" s="68">
        <v>2026</v>
      </c>
      <c r="XL44" s="78"/>
      <c r="XM44" s="52">
        <f t="shared" si="23"/>
        <v>0.6341316875605645</v>
      </c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E44" s="60"/>
      <c r="YG44" s="62">
        <v>2026</v>
      </c>
      <c r="YH44" s="77"/>
      <c r="YI44" s="72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ZE44" s="22" t="s">
        <v>89</v>
      </c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1"/>
    </row>
    <row r="45" ht="21" customHeight="1" spans="7:692" x14ac:dyDescent="0.25">
      <c r="G45" s="62">
        <v>2027</v>
      </c>
      <c r="H45" s="76"/>
      <c r="I45" s="71">
        <f t="shared" si="19"/>
        <v>1.03076028784369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AD45" s="62">
        <v>2027</v>
      </c>
      <c r="AE45" s="77"/>
      <c r="AF45" s="20"/>
      <c r="AG45" s="63">
        <v>2.617669922346035</v>
      </c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BA45" s="62">
        <v>2027</v>
      </c>
      <c r="BB45" s="76"/>
      <c r="BC45" s="70">
        <v>50.37435814384684</v>
      </c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W45" s="62">
        <v>2027</v>
      </c>
      <c r="BX45" s="77"/>
      <c r="BY45" s="20"/>
      <c r="BZ45" s="63">
        <v>2.667329649879808</v>
      </c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T45" s="62">
        <v>2027</v>
      </c>
      <c r="CU45" s="78"/>
      <c r="CV45" s="72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O45" s="62">
        <v>2027</v>
      </c>
      <c r="DP45" s="77"/>
      <c r="DQ45" s="20"/>
      <c r="DR45" s="72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27"/>
      <c r="EG45" s="62">
        <v>2027</v>
      </c>
      <c r="EH45" s="52"/>
      <c r="EI45" s="52">
        <f t="shared" si="16"/>
        <v>1.0442915461258766</v>
      </c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FC45" s="62">
        <v>2027</v>
      </c>
      <c r="FD45" s="77"/>
      <c r="FE45" s="63">
        <f>СЧЁТ!CG38</f>
        <v>3.421273021379316</v>
      </c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Y45" s="62">
        <v>2027</v>
      </c>
      <c r="FZ45" s="78"/>
      <c r="GA45" s="52">
        <f t="shared" si="17"/>
        <v>1.0372771347119694</v>
      </c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T45" s="60"/>
      <c r="GU45" s="62">
        <v>2027</v>
      </c>
      <c r="GV45" s="77"/>
      <c r="GW45" s="53">
        <f t="shared" si="1"/>
        <v>2.418458852295477</v>
      </c>
      <c r="GX45" s="70">
        <f>СЧЁТ!CN38</f>
        <v>5.084168827148892</v>
      </c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R45" s="62">
        <v>2027</v>
      </c>
      <c r="HS45" s="54">
        <v>0.24184588522954772</v>
      </c>
      <c r="HT45" s="72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L45" s="60"/>
      <c r="IN45" s="62">
        <v>2027</v>
      </c>
      <c r="IO45" s="77"/>
      <c r="IP45" s="20"/>
      <c r="IQ45" s="72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J45" s="27"/>
      <c r="JL45" s="62">
        <v>2027</v>
      </c>
      <c r="JM45" s="78"/>
      <c r="JN45" s="63">
        <f t="shared" si="20"/>
        <v>1.0444583487505363</v>
      </c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F45" s="60"/>
      <c r="KH45" s="62">
        <v>2027</v>
      </c>
      <c r="KI45" s="77"/>
      <c r="KJ45" s="20"/>
      <c r="KK45" s="63">
        <f>СЧЁТ!CJ38</f>
        <v>3.90347853135344</v>
      </c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LE45" s="62">
        <v>2027</v>
      </c>
      <c r="LF45" s="78"/>
      <c r="LG45" s="57">
        <v>78.29240769804689</v>
      </c>
      <c r="LH45" s="78"/>
      <c r="LI45" s="75">
        <v>-1.7895129729460848</v>
      </c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MB45" s="62">
        <v>2027</v>
      </c>
      <c r="MC45" s="79"/>
      <c r="MD45" s="67">
        <f>СЧЁТ!CE38</f>
        <v>7776.223997498212</v>
      </c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Y45" s="62">
        <v>2027</v>
      </c>
      <c r="MZ45" s="78"/>
      <c r="NA45" s="57">
        <f>СЧЁТ!CB38</f>
        <v>87.01700617028455</v>
      </c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V45" s="62">
        <v>2027</v>
      </c>
      <c r="NW45" s="77"/>
      <c r="NX45" s="20"/>
      <c r="NY45" s="20"/>
      <c r="NZ45" s="72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S45" s="27"/>
      <c r="OU45" s="62">
        <v>2027</v>
      </c>
      <c r="OV45" s="78"/>
      <c r="OW45" s="71">
        <f t="shared" si="18"/>
        <v>1.04135884150365</v>
      </c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O45" s="60"/>
      <c r="PQ45" s="62">
        <v>2027</v>
      </c>
      <c r="PR45" s="77"/>
      <c r="PS45" s="63">
        <f>СЧЁТ!CI38</f>
        <v>1.8456209985557013</v>
      </c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M45" s="62">
        <v>2027</v>
      </c>
      <c r="QN45" s="78"/>
      <c r="QO45" s="72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G45" s="60"/>
      <c r="RI45" s="59">
        <v>33</v>
      </c>
      <c r="RJ45" s="62">
        <v>2027</v>
      </c>
      <c r="RK45" s="77"/>
      <c r="RL45" s="55"/>
      <c r="RM45" s="73">
        <f>НАСТРОЙКА!IB37</f>
        <v>13017.144068658055</v>
      </c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G45" s="62">
        <v>2027</v>
      </c>
      <c r="SH45" s="78"/>
      <c r="SI45" s="63">
        <f t="shared" si="21"/>
        <v>0.5973832629095168</v>
      </c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TC45" s="62">
        <v>2027</v>
      </c>
      <c r="TD45" s="77"/>
      <c r="TE45" s="72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X45" s="27"/>
      <c r="TZ45" s="62">
        <v>2027</v>
      </c>
      <c r="UA45" s="78"/>
      <c r="UB45" s="20"/>
      <c r="UC45" s="63">
        <f t="shared" si="22"/>
        <v>1.0212798200241966</v>
      </c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U45" s="60"/>
      <c r="UW45" s="62">
        <v>2027</v>
      </c>
      <c r="UX45" s="77"/>
      <c r="UY45" s="63">
        <f>ОТЧЁТ!EX168</f>
        <v>0.8531626136445217</v>
      </c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S45" s="62">
        <v>2027</v>
      </c>
      <c r="VT45" s="78"/>
      <c r="VU45" s="72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M45" s="60"/>
      <c r="WO45" s="62">
        <v>2027</v>
      </c>
      <c r="WP45" s="79"/>
      <c r="WQ45" s="55">
        <f t="shared" si="13"/>
        <v>10530.869551544367</v>
      </c>
      <c r="WR45" s="67">
        <v>6503.635353036707</v>
      </c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K45" s="68">
        <v>2027</v>
      </c>
      <c r="XL45" s="78"/>
      <c r="XM45" s="52">
        <f t="shared" si="23"/>
        <v>0.6175781896455967</v>
      </c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E45" s="60"/>
      <c r="YG45" s="62">
        <v>2027</v>
      </c>
      <c r="YH45" s="77"/>
      <c r="YI45" s="72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ZE45" s="22" t="s">
        <v>90</v>
      </c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1"/>
    </row>
    <row r="46" ht="21" customHeight="1" spans="7:692" x14ac:dyDescent="0.25">
      <c r="G46" s="62">
        <v>2028</v>
      </c>
      <c r="H46" s="76"/>
      <c r="I46" s="71">
        <f t="shared" si="19"/>
        <v>1.0311293462617874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AD46" s="62">
        <v>2028</v>
      </c>
      <c r="AE46" s="77"/>
      <c r="AF46" s="20"/>
      <c r="AG46" s="63">
        <v>2.6991562757578107</v>
      </c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BA46" s="62">
        <v>2028</v>
      </c>
      <c r="BB46" s="76"/>
      <c r="BC46" s="70">
        <v>54.32041428458438</v>
      </c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W46" s="62">
        <v>2028</v>
      </c>
      <c r="BX46" s="77"/>
      <c r="BY46" s="20"/>
      <c r="BZ46" s="63">
        <v>2.667835793333266</v>
      </c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T46" s="62">
        <v>2028</v>
      </c>
      <c r="CU46" s="78"/>
      <c r="CV46" s="72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O46" s="62">
        <v>2028</v>
      </c>
      <c r="DP46" s="77"/>
      <c r="DQ46" s="20"/>
      <c r="DR46" s="72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27"/>
      <c r="EG46" s="62">
        <v>2028</v>
      </c>
      <c r="EH46" s="52"/>
      <c r="EI46" s="52">
        <f t="shared" si="16"/>
        <v>1.0443097582196408</v>
      </c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FC46" s="62">
        <v>2028</v>
      </c>
      <c r="FD46" s="77"/>
      <c r="FE46" s="63">
        <f>СЧЁТ!CG39</f>
        <v>3.5728688017600128</v>
      </c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Y46" s="62">
        <v>2028</v>
      </c>
      <c r="FZ46" s="78"/>
      <c r="GA46" s="52">
        <f t="shared" si="17"/>
        <v>1.0376356329679999</v>
      </c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T46" s="60"/>
      <c r="GU46" s="62">
        <v>2028</v>
      </c>
      <c r="GV46" s="77"/>
      <c r="GW46" s="53">
        <f t="shared" si="1"/>
        <v>2.4284588522954773</v>
      </c>
      <c r="GX46" s="70">
        <f>СЧЁТ!CN39</f>
        <v>5.275514739074812</v>
      </c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R46" s="62">
        <v>2028</v>
      </c>
      <c r="HS46" s="54">
        <v>0.24284588522954773</v>
      </c>
      <c r="HT46" s="72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L46" s="60"/>
      <c r="IN46" s="62">
        <v>2028</v>
      </c>
      <c r="IO46" s="77"/>
      <c r="IP46" s="20"/>
      <c r="IQ46" s="72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J46" s="27"/>
      <c r="JL46" s="62">
        <v>2028</v>
      </c>
      <c r="JM46" s="78"/>
      <c r="JN46" s="63">
        <f t="shared" si="20"/>
        <v>1.0445314936169554</v>
      </c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F46" s="60"/>
      <c r="KH46" s="62">
        <v>2028</v>
      </c>
      <c r="KI46" s="77"/>
      <c r="KJ46" s="20"/>
      <c r="KK46" s="63">
        <f>СЧЁТ!CJ39</f>
        <v>4.077306260656329</v>
      </c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LE46" s="62">
        <v>2028</v>
      </c>
      <c r="LF46" s="78"/>
      <c r="LG46" s="57">
        <v>79.08471297294608</v>
      </c>
      <c r="LH46" s="78"/>
      <c r="LI46" s="75">
        <v>-2.7007881812319994</v>
      </c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MB46" s="62">
        <v>2028</v>
      </c>
      <c r="MC46" s="79"/>
      <c r="MD46" s="67">
        <f>СЧЁТ!CE39</f>
        <v>8035.660740263321</v>
      </c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Y46" s="62">
        <v>2028</v>
      </c>
      <c r="MZ46" s="78"/>
      <c r="NA46" s="57">
        <f>СЧЁТ!CB39</f>
        <v>88.09102250992701</v>
      </c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V46" s="62">
        <v>2028</v>
      </c>
      <c r="NW46" s="77"/>
      <c r="NX46" s="20"/>
      <c r="NY46" s="20"/>
      <c r="NZ46" s="72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S46" s="27"/>
      <c r="OU46" s="62">
        <v>2028</v>
      </c>
      <c r="OV46" s="78"/>
      <c r="OW46" s="71">
        <f t="shared" si="18"/>
        <v>1.041598199412145</v>
      </c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O46" s="60"/>
      <c r="PQ46" s="62">
        <v>2028</v>
      </c>
      <c r="PR46" s="77"/>
      <c r="PS46" s="63">
        <f>СЧЁТ!CI39</f>
        <v>1.9223955088928635</v>
      </c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M46" s="62">
        <v>2028</v>
      </c>
      <c r="QN46" s="78"/>
      <c r="QO46" s="72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G46" s="60"/>
      <c r="RI46" s="59">
        <v>34</v>
      </c>
      <c r="RJ46" s="62">
        <v>2028</v>
      </c>
      <c r="RK46" s="77"/>
      <c r="RL46" s="55"/>
      <c r="RM46" s="73">
        <f>НАСТРОЙКА!IB38</f>
        <v>13588.769822736602</v>
      </c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G46" s="62">
        <v>2028</v>
      </c>
      <c r="SH46" s="78"/>
      <c r="SI46" s="63">
        <f t="shared" si="21"/>
        <v>0.5913457101038042</v>
      </c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TC46" s="62">
        <v>2028</v>
      </c>
      <c r="TD46" s="77"/>
      <c r="TE46" s="72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X46" s="27"/>
      <c r="TZ46" s="62">
        <v>2028</v>
      </c>
      <c r="UA46" s="78"/>
      <c r="UB46" s="20"/>
      <c r="UC46" s="63">
        <f t="shared" si="22"/>
        <v>1.0197946034246597</v>
      </c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U46" s="60"/>
      <c r="UW46" s="62">
        <v>2028</v>
      </c>
      <c r="UX46" s="77"/>
      <c r="UY46" s="63">
        <f>ОТЧЁТ!EX169</f>
        <v>0.8700506292383612</v>
      </c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S46" s="62">
        <v>2028</v>
      </c>
      <c r="VT46" s="78"/>
      <c r="VU46" s="72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M46" s="60"/>
      <c r="WO46" s="62">
        <v>2028</v>
      </c>
      <c r="WP46" s="79"/>
      <c r="WQ46" s="55">
        <f t="shared" si="13"/>
        <v>10993.314786593912</v>
      </c>
      <c r="WR46" s="67">
        <v>6612.287081395248</v>
      </c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K46" s="68">
        <v>2028</v>
      </c>
      <c r="XL46" s="78"/>
      <c r="XM46" s="52">
        <f t="shared" si="23"/>
        <v>0.60148255642227</v>
      </c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E46" s="60"/>
      <c r="YG46" s="62">
        <v>2028</v>
      </c>
      <c r="YH46" s="77"/>
      <c r="YI46" s="72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ZE46" s="22" t="s">
        <v>91</v>
      </c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1"/>
    </row>
    <row r="47" ht="21" customHeight="1" spans="7:692" x14ac:dyDescent="0.25">
      <c r="G47" s="62">
        <v>2029</v>
      </c>
      <c r="H47" s="76"/>
      <c r="I47" s="71">
        <f t="shared" si="19"/>
        <v>1.0315561915854523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AD47" s="62">
        <v>2029</v>
      </c>
      <c r="AE47" s="77"/>
      <c r="AF47" s="20"/>
      <c r="AG47" s="63">
        <v>2.7843313683147004</v>
      </c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BA47" s="62">
        <v>2029</v>
      </c>
      <c r="BB47" s="76"/>
      <c r="BC47" s="70">
        <v>58.61474940129718</v>
      </c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W47" s="62">
        <v>2029</v>
      </c>
      <c r="BX47" s="77"/>
      <c r="BY47" s="20"/>
      <c r="BZ47" s="63">
        <v>2.668139479405341</v>
      </c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T47" s="62">
        <v>2029</v>
      </c>
      <c r="CU47" s="78"/>
      <c r="CV47" s="72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O47" s="62">
        <v>2029</v>
      </c>
      <c r="DP47" s="77"/>
      <c r="DQ47" s="20"/>
      <c r="DR47" s="72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27"/>
      <c r="EG47" s="62">
        <v>2029</v>
      </c>
      <c r="EH47" s="52"/>
      <c r="EI47" s="52">
        <f t="shared" si="16"/>
        <v>1.0444138304702029</v>
      </c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FC47" s="62">
        <v>2029</v>
      </c>
      <c r="FD47" s="77"/>
      <c r="FE47" s="63">
        <f>СЧЁТ!CG40</f>
        <v>3.731553591013659</v>
      </c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Y47" s="62">
        <v>2029</v>
      </c>
      <c r="FZ47" s="78"/>
      <c r="GA47" s="52">
        <f t="shared" si="17"/>
        <v>1.0380524398612505</v>
      </c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T47" s="60"/>
      <c r="GU47" s="62">
        <v>2029</v>
      </c>
      <c r="GV47" s="77"/>
      <c r="GW47" s="53">
        <f t="shared" si="1"/>
        <v>2.438458852295477</v>
      </c>
      <c r="GX47" s="70">
        <f>СЧЁТ!CN40</f>
        <v>5.476260946420598</v>
      </c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R47" s="62">
        <v>2029</v>
      </c>
      <c r="HS47" s="54">
        <v>0.24384588522954773</v>
      </c>
      <c r="HT47" s="72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L47" s="60"/>
      <c r="IN47" s="62">
        <v>2029</v>
      </c>
      <c r="IO47" s="77"/>
      <c r="IP47" s="20"/>
      <c r="IQ47" s="72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J47" s="27"/>
      <c r="JL47" s="62">
        <v>2029</v>
      </c>
      <c r="JM47" s="78"/>
      <c r="JN47" s="63">
        <f t="shared" si="20"/>
        <v>1.044663007999814</v>
      </c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F47" s="60"/>
      <c r="KH47" s="62">
        <v>2029</v>
      </c>
      <c r="KI47" s="77"/>
      <c r="KJ47" s="20"/>
      <c r="KK47" s="63">
        <f>СЧЁТ!CJ40</f>
        <v>4.2594110227937145</v>
      </c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LE47" s="62">
        <v>2029</v>
      </c>
      <c r="LF47" s="78"/>
      <c r="LG47" s="57">
        <v>79.91118818123199</v>
      </c>
      <c r="LH47" s="78"/>
      <c r="LI47" s="75">
        <v>-3.660076420358351</v>
      </c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MB47" s="62">
        <v>2029</v>
      </c>
      <c r="MC47" s="79"/>
      <c r="MD47" s="67">
        <f>СЧЁТ!CE40</f>
        <v>8307.229412867184</v>
      </c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Y47" s="62">
        <v>2029</v>
      </c>
      <c r="MZ47" s="78"/>
      <c r="NA47" s="57">
        <f>СЧЁТ!CB40</f>
        <v>89.18065218920745</v>
      </c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V47" s="62">
        <v>2029</v>
      </c>
      <c r="NW47" s="77"/>
      <c r="NX47" s="20"/>
      <c r="NY47" s="20"/>
      <c r="NZ47" s="72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S47" s="27"/>
      <c r="OU47" s="62">
        <v>2029</v>
      </c>
      <c r="OV47" s="78"/>
      <c r="OW47" s="71">
        <f t="shared" si="18"/>
        <v>1.0418860110698367</v>
      </c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O47" s="60"/>
      <c r="PQ47" s="62">
        <v>2029</v>
      </c>
      <c r="PR47" s="77"/>
      <c r="PS47" s="63">
        <f>СЧЁТ!CI40</f>
        <v>2.002916988458954</v>
      </c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M47" s="62">
        <v>2029</v>
      </c>
      <c r="QN47" s="78"/>
      <c r="QO47" s="72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G47" s="60"/>
      <c r="RI47" s="59">
        <v>35</v>
      </c>
      <c r="RJ47" s="62">
        <v>2029</v>
      </c>
      <c r="RK47" s="77"/>
      <c r="RL47" s="55"/>
      <c r="RM47" s="73">
        <f>НАСТРОЙКА!IB39</f>
        <v>14185.83670455504</v>
      </c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G47" s="62">
        <v>2029</v>
      </c>
      <c r="SH47" s="78"/>
      <c r="SI47" s="63">
        <f t="shared" si="21"/>
        <v>0.5856002424023217</v>
      </c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TC47" s="62">
        <v>2029</v>
      </c>
      <c r="TD47" s="77"/>
      <c r="TE47" s="72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X47" s="27"/>
      <c r="TZ47" s="62">
        <v>2029</v>
      </c>
      <c r="UA47" s="78"/>
      <c r="UB47" s="20"/>
      <c r="UC47" s="63">
        <f t="shared" si="22"/>
        <v>1.0184398634688558</v>
      </c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U47" s="60"/>
      <c r="UW47" s="62">
        <v>2029</v>
      </c>
      <c r="UX47" s="77"/>
      <c r="UY47" s="63">
        <f>ОТЧЁТ!EX170</f>
        <v>0.8860942440525087</v>
      </c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S47" s="62">
        <v>2029</v>
      </c>
      <c r="VT47" s="78"/>
      <c r="VU47" s="72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M47" s="60"/>
      <c r="WO47" s="62">
        <v>2029</v>
      </c>
      <c r="WP47" s="79"/>
      <c r="WQ47" s="55">
        <f t="shared" si="13"/>
        <v>11476.341893985029</v>
      </c>
      <c r="WR47" s="67">
        <v>6723.41574803002</v>
      </c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K47" s="68">
        <v>2029</v>
      </c>
      <c r="XL47" s="78"/>
      <c r="XM47" s="52">
        <f t="shared" si="23"/>
        <v>0.5858500740165201</v>
      </c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E47" s="60"/>
      <c r="YG47" s="62">
        <v>2029</v>
      </c>
      <c r="YH47" s="77"/>
      <c r="YI47" s="72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ZE47" s="22" t="s">
        <v>92</v>
      </c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1"/>
    </row>
    <row r="48" ht="21" customHeight="1" spans="7:692" x14ac:dyDescent="0.25">
      <c r="G48" s="62">
        <v>2030</v>
      </c>
      <c r="H48" s="76"/>
      <c r="I48" s="71">
        <f t="shared" si="19"/>
        <v>1.0320135684572234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AD48" s="62">
        <v>2030</v>
      </c>
      <c r="AE48" s="77"/>
      <c r="AF48" s="20"/>
      <c r="AG48" s="63">
        <v>2.8734677511818374</v>
      </c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BA48" s="62">
        <v>2030</v>
      </c>
      <c r="BB48" s="76"/>
      <c r="BC48" s="70">
        <v>63.29025250010019</v>
      </c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W48" s="62">
        <v>2030</v>
      </c>
      <c r="BX48" s="77"/>
      <c r="BY48" s="20"/>
      <c r="BZ48" s="63">
        <v>2.6683216910485856</v>
      </c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T48" s="62">
        <v>2030</v>
      </c>
      <c r="CU48" s="78"/>
      <c r="CV48" s="72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O48" s="62">
        <v>2030</v>
      </c>
      <c r="DP48" s="77"/>
      <c r="DQ48" s="20"/>
      <c r="DR48" s="72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27"/>
      <c r="EG48" s="62">
        <v>2030</v>
      </c>
      <c r="EH48" s="52"/>
      <c r="EI48" s="52">
        <f t="shared" si="16"/>
        <v>1.0445648849732616</v>
      </c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FC48" s="62">
        <v>2030</v>
      </c>
      <c r="FD48" s="77"/>
      <c r="FE48" s="63">
        <f>СЧЁТ!CG41</f>
        <v>3.897849847568744</v>
      </c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Y48" s="62">
        <v>2030</v>
      </c>
      <c r="FZ48" s="78"/>
      <c r="GA48" s="52">
        <f t="shared" si="17"/>
        <v>1.0385001251320654</v>
      </c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T48" s="60"/>
      <c r="GU48" s="62">
        <v>2030</v>
      </c>
      <c r="GV48" s="77"/>
      <c r="GW48" s="53">
        <f t="shared" si="1"/>
        <v>2.4484588522954773</v>
      </c>
      <c r="GX48" s="70">
        <f>СЧЁТ!CN41</f>
        <v>5.687097678113633</v>
      </c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R48" s="62">
        <v>2030</v>
      </c>
      <c r="HS48" s="54">
        <v>0.24484588522954773</v>
      </c>
      <c r="HT48" s="72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L48" s="60"/>
      <c r="IN48" s="62">
        <v>2030</v>
      </c>
      <c r="IO48" s="77"/>
      <c r="IP48" s="20"/>
      <c r="IQ48" s="72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J48" s="27"/>
      <c r="JL48" s="62">
        <v>2030</v>
      </c>
      <c r="JM48" s="78"/>
      <c r="JN48" s="63">
        <f t="shared" si="20"/>
        <v>1.0448256840545502</v>
      </c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F48" s="60"/>
      <c r="KH48" s="62">
        <v>2030</v>
      </c>
      <c r="KI48" s="77"/>
      <c r="KJ48" s="20"/>
      <c r="KK48" s="63">
        <f>СЧЁТ!CJ41</f>
        <v>4.450342035559935</v>
      </c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LE48" s="62">
        <v>2030</v>
      </c>
      <c r="LF48" s="78"/>
      <c r="LG48" s="57">
        <v>80.77507642035835</v>
      </c>
      <c r="LH48" s="78"/>
      <c r="LI48" s="75">
        <v>-4.659542040078733</v>
      </c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MB48" s="62">
        <v>2030</v>
      </c>
      <c r="MC48" s="79"/>
      <c r="MD48" s="67">
        <f>СЧЁТ!CE41</f>
        <v>8591.82413592832</v>
      </c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Y48" s="62">
        <v>2030</v>
      </c>
      <c r="MZ48" s="78"/>
      <c r="NA48" s="57">
        <f>СЧЁТ!CB41</f>
        <v>90.28490200272066</v>
      </c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V48" s="62">
        <v>2030</v>
      </c>
      <c r="NW48" s="77"/>
      <c r="NX48" s="20"/>
      <c r="NY48" s="20"/>
      <c r="NZ48" s="72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S48" s="27"/>
      <c r="OU48" s="62">
        <v>2030</v>
      </c>
      <c r="OV48" s="78"/>
      <c r="OW48" s="71">
        <f t="shared" si="18"/>
        <v>1.04219586651164</v>
      </c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O48" s="60"/>
      <c r="PQ48" s="62">
        <v>2030</v>
      </c>
      <c r="PR48" s="77"/>
      <c r="PS48" s="63">
        <f>СЧЁТ!CI41</f>
        <v>2.087431806337864</v>
      </c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M48" s="62">
        <v>2030</v>
      </c>
      <c r="QN48" s="78"/>
      <c r="QO48" s="72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G48" s="60"/>
      <c r="RI48" s="59">
        <v>36</v>
      </c>
      <c r="RJ48" s="62">
        <v>2030</v>
      </c>
      <c r="RK48" s="77"/>
      <c r="RL48" s="55"/>
      <c r="RM48" s="73">
        <f>НАСТРОЙКА!IB40</f>
        <v>14808.82788562779</v>
      </c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G48" s="62">
        <v>2030</v>
      </c>
      <c r="SH48" s="78"/>
      <c r="SI48" s="63">
        <f t="shared" si="21"/>
        <v>0.5801825912411898</v>
      </c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TC48" s="62">
        <v>2030</v>
      </c>
      <c r="TD48" s="77"/>
      <c r="TE48" s="72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X48" s="27"/>
      <c r="TZ48" s="62">
        <v>2030</v>
      </c>
      <c r="UA48" s="78"/>
      <c r="UB48" s="20"/>
      <c r="UC48" s="63">
        <f t="shared" si="22"/>
        <v>1.017200691885475</v>
      </c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U48" s="60"/>
      <c r="UW48" s="62">
        <v>2030</v>
      </c>
      <c r="UX48" s="77"/>
      <c r="UY48" s="63">
        <f>ОТЧЁТ!EX171</f>
        <v>0.9013356781259488</v>
      </c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S48" s="62">
        <v>2030</v>
      </c>
      <c r="VT48" s="78"/>
      <c r="VU48" s="72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M48" s="60"/>
      <c r="WO48" s="62">
        <v>2030</v>
      </c>
      <c r="WP48" s="79"/>
      <c r="WQ48" s="55">
        <f t="shared" si="13"/>
        <v>11980.341759472883</v>
      </c>
      <c r="WR48" s="67">
        <v>6836.960134007385</v>
      </c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K48" s="68">
        <v>2030</v>
      </c>
      <c r="XL48" s="78"/>
      <c r="XM48" s="52">
        <f t="shared" si="23"/>
        <v>0.5706815607828036</v>
      </c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E48" s="60"/>
      <c r="YG48" s="62">
        <v>2030</v>
      </c>
      <c r="YH48" s="77"/>
      <c r="YI48" s="72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ZE48" s="22" t="s">
        <v>93</v>
      </c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1"/>
    </row>
    <row r="49" ht="21" customHeight="1" spans="7:692" x14ac:dyDescent="0.25">
      <c r="G49" s="62">
        <v>2031</v>
      </c>
      <c r="H49" s="76"/>
      <c r="I49" s="71">
        <f t="shared" si="19"/>
        <v>1.0324851053006443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AD49" s="62">
        <v>2031</v>
      </c>
      <c r="AE49" s="77"/>
      <c r="AF49" s="20"/>
      <c r="AG49" s="63">
        <v>2.966812653656985</v>
      </c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BA49" s="62">
        <v>2031</v>
      </c>
      <c r="BB49" s="76"/>
      <c r="BC49" s="70">
        <v>68.38304323078901</v>
      </c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W49" s="62">
        <v>2031</v>
      </c>
      <c r="BX49" s="77"/>
      <c r="BY49" s="20"/>
      <c r="BZ49" s="63">
        <v>2.6684310180345325</v>
      </c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T49" s="62">
        <v>2031</v>
      </c>
      <c r="CU49" s="78"/>
      <c r="CV49" s="72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O49" s="62">
        <v>2031</v>
      </c>
      <c r="DP49" s="77"/>
      <c r="DQ49" s="20"/>
      <c r="DR49" s="72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27"/>
      <c r="EG49" s="62">
        <v>2031</v>
      </c>
      <c r="EH49" s="52"/>
      <c r="EI49" s="52">
        <f t="shared" si="16"/>
        <v>1.0447401535127507</v>
      </c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FC49" s="62">
        <v>2031</v>
      </c>
      <c r="FD49" s="77"/>
      <c r="FE49" s="63">
        <f>СЧЁТ!CG42</f>
        <v>4.0722402481186215</v>
      </c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Y49" s="62">
        <v>2031</v>
      </c>
      <c r="FZ49" s="78"/>
      <c r="GA49" s="52">
        <f t="shared" si="17"/>
        <v>1.0389622119732294</v>
      </c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T49" s="60"/>
      <c r="GU49" s="62">
        <v>2031</v>
      </c>
      <c r="GV49" s="77"/>
      <c r="GW49" s="53">
        <f t="shared" si="1"/>
        <v>2.458458852295477</v>
      </c>
      <c r="GX49" s="70">
        <f>СЧЁТ!CN42</f>
        <v>5.908679583360757</v>
      </c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R49" s="62">
        <v>2031</v>
      </c>
      <c r="HS49" s="54">
        <v>0.24584588522954773</v>
      </c>
      <c r="HT49" s="72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L49" s="60"/>
      <c r="IN49" s="62">
        <v>2031</v>
      </c>
      <c r="IO49" s="77"/>
      <c r="IP49" s="20"/>
      <c r="IQ49" s="72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J49" s="27"/>
      <c r="JL49" s="62">
        <v>2031</v>
      </c>
      <c r="JM49" s="78"/>
      <c r="JN49" s="63">
        <f t="shared" si="20"/>
        <v>1.0450034629561806</v>
      </c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F49" s="60"/>
      <c r="KH49" s="62">
        <v>2031</v>
      </c>
      <c r="KI49" s="77"/>
      <c r="KJ49" s="20"/>
      <c r="KK49" s="63">
        <f>СЧЁТ!CJ42</f>
        <v>4.650622838499589</v>
      </c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LE49" s="62">
        <v>2031</v>
      </c>
      <c r="LF49" s="78"/>
      <c r="LG49" s="57">
        <v>81.67914204007872</v>
      </c>
      <c r="LH49" s="78"/>
      <c r="LI49" s="75">
        <v>-5.701692563147617</v>
      </c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MB49" s="62">
        <v>2031</v>
      </c>
      <c r="MC49" s="79"/>
      <c r="MD49" s="67">
        <f>СЧЁТ!CE42</f>
        <v>8890.270948725774</v>
      </c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Y49" s="62">
        <v>2031</v>
      </c>
      <c r="MZ49" s="78"/>
      <c r="NA49" s="57">
        <f>СЧЁТ!CB42</f>
        <v>91.40277707436756</v>
      </c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V49" s="62">
        <v>2031</v>
      </c>
      <c r="NW49" s="77"/>
      <c r="NX49" s="20"/>
      <c r="NY49" s="20"/>
      <c r="NZ49" s="72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S49" s="27"/>
      <c r="OU49" s="62">
        <v>2031</v>
      </c>
      <c r="OV49" s="78"/>
      <c r="OW49" s="71">
        <f t="shared" si="18"/>
        <v>1.0425123720286593</v>
      </c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O49" s="60"/>
      <c r="PQ49" s="62">
        <v>2031</v>
      </c>
      <c r="PR49" s="77"/>
      <c r="PS49" s="63">
        <f>СЧЁТ!CI42</f>
        <v>2.1761734838733555</v>
      </c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M49" s="62">
        <v>2031</v>
      </c>
      <c r="QN49" s="78"/>
      <c r="QO49" s="72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G49" s="60"/>
      <c r="RI49" s="59">
        <v>37</v>
      </c>
      <c r="RJ49" s="62">
        <v>2031</v>
      </c>
      <c r="RK49" s="77"/>
      <c r="RL49" s="55"/>
      <c r="RM49" s="73">
        <f>НАСТРОЙКА!IB41</f>
        <v>15458.237424001558</v>
      </c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G49" s="62">
        <v>2031</v>
      </c>
      <c r="SH49" s="78"/>
      <c r="SI49" s="63">
        <f t="shared" si="21"/>
        <v>0.5751154355361439</v>
      </c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TC49" s="62">
        <v>2031</v>
      </c>
      <c r="TD49" s="77"/>
      <c r="TE49" s="72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X49" s="27"/>
      <c r="TZ49" s="62">
        <v>2031</v>
      </c>
      <c r="UA49" s="78"/>
      <c r="UB49" s="20"/>
      <c r="UC49" s="63">
        <f t="shared" si="22"/>
        <v>1.0160643395364903</v>
      </c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U49" s="60"/>
      <c r="UW49" s="62">
        <v>2031</v>
      </c>
      <c r="UX49" s="77"/>
      <c r="UY49" s="63">
        <f>ОТЧЁТ!EX172</f>
        <v>0.9158150404957169</v>
      </c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S49" s="62">
        <v>2031</v>
      </c>
      <c r="VT49" s="78"/>
      <c r="VU49" s="72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M49" s="60"/>
      <c r="WO49" s="62">
        <v>2031</v>
      </c>
      <c r="WP49" s="79"/>
      <c r="WQ49" s="55">
        <f t="shared" si="13"/>
        <v>12505.71407601726</v>
      </c>
      <c r="WR49" s="67">
        <v>6952.85632976107</v>
      </c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K49" s="68">
        <v>2031</v>
      </c>
      <c r="XL49" s="78"/>
      <c r="XM49" s="52">
        <f t="shared" si="23"/>
        <v>0.5559743560021781</v>
      </c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E49" s="60"/>
      <c r="YG49" s="62">
        <v>2031</v>
      </c>
      <c r="YH49" s="77"/>
      <c r="YI49" s="72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ZE49" s="22" t="s">
        <v>94</v>
      </c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1"/>
    </row>
    <row r="50" ht="22.75" customHeight="1" spans="7:692" x14ac:dyDescent="0.25">
      <c r="G50" s="62">
        <v>2032</v>
      </c>
      <c r="H50" s="76"/>
      <c r="I50" s="71">
        <f t="shared" si="19"/>
        <v>1.03296093102725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AD50" s="62">
        <v>2032</v>
      </c>
      <c r="AE50" s="77"/>
      <c r="AF50" s="20"/>
      <c r="AG50" s="63">
        <v>3.0646015609049457</v>
      </c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BA50" s="62">
        <v>2032</v>
      </c>
      <c r="BB50" s="76"/>
      <c r="BC50" s="70">
        <v>73.93279600384489</v>
      </c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W50" s="62">
        <v>2032</v>
      </c>
      <c r="BX50" s="77"/>
      <c r="BY50" s="20"/>
      <c r="BZ50" s="63">
        <v>2.668496614226101</v>
      </c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T50" s="62">
        <v>2032</v>
      </c>
      <c r="CU50" s="78"/>
      <c r="CV50" s="72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O50" s="62">
        <v>2032</v>
      </c>
      <c r="DP50" s="77"/>
      <c r="DQ50" s="20"/>
      <c r="DR50" s="72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27"/>
      <c r="EG50" s="62">
        <v>2032</v>
      </c>
      <c r="EH50" s="52"/>
      <c r="EI50" s="52">
        <f t="shared" si="16"/>
        <v>1.0449263353819387</v>
      </c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FC50" s="62">
        <v>2032</v>
      </c>
      <c r="FD50" s="77"/>
      <c r="FE50" s="63">
        <f>СЧЁТ!CG43</f>
        <v>4.255191079261429</v>
      </c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Y50" s="62">
        <v>2032</v>
      </c>
      <c r="FZ50" s="78"/>
      <c r="GA50" s="52">
        <f t="shared" si="17"/>
        <v>1.0394287656011758</v>
      </c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T50" s="60"/>
      <c r="GU50" s="62">
        <v>2032</v>
      </c>
      <c r="GV50" s="77"/>
      <c r="GW50" s="53">
        <f t="shared" si="1"/>
        <v>2.4684588522954773</v>
      </c>
      <c r="GX50" s="70">
        <f>СЧЁТ!CN43</f>
        <v>6.1416515256655435</v>
      </c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R50" s="62">
        <v>2032</v>
      </c>
      <c r="HS50" s="54">
        <v>0.24684588522954773</v>
      </c>
      <c r="HT50" s="72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L50" s="60"/>
      <c r="IN50" s="62">
        <v>2032</v>
      </c>
      <c r="IO50" s="77"/>
      <c r="IP50" s="20"/>
      <c r="IQ50" s="72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J50" s="27"/>
      <c r="JL50" s="62">
        <v>2032</v>
      </c>
      <c r="JM50" s="78"/>
      <c r="JN50" s="63">
        <f t="shared" si="20"/>
        <v>1.0451869111912724</v>
      </c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F50" s="60"/>
      <c r="KH50" s="62">
        <v>2032</v>
      </c>
      <c r="KI50" s="77"/>
      <c r="KJ50" s="20"/>
      <c r="KK50" s="63">
        <f>СЧЁТ!CJ43</f>
        <v>4.860770119686973</v>
      </c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LE50" s="62">
        <v>2032</v>
      </c>
      <c r="LF50" s="78"/>
      <c r="LG50" s="57">
        <v>82.6258925631476</v>
      </c>
      <c r="LH50" s="78"/>
      <c r="LI50" s="75">
        <v>-6.788916397469933</v>
      </c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MB50" s="62">
        <v>2032</v>
      </c>
      <c r="MC50" s="79"/>
      <c r="MD50" s="67">
        <f>СЧЁТ!CE43</f>
        <v>9203.367840991925</v>
      </c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Y50" s="62">
        <v>2032</v>
      </c>
      <c r="MZ50" s="78"/>
      <c r="NA50" s="57">
        <f>СЧЁТ!CB43</f>
        <v>92.53328082969713</v>
      </c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V50" s="62">
        <v>2032</v>
      </c>
      <c r="NW50" s="77"/>
      <c r="NX50" s="20"/>
      <c r="NY50" s="20"/>
      <c r="NZ50" s="72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S50" s="27"/>
      <c r="OU50" s="62">
        <v>2032</v>
      </c>
      <c r="OV50" s="78"/>
      <c r="OW50" s="71">
        <f t="shared" si="18"/>
        <v>1.0428266706703946</v>
      </c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O50" s="60"/>
      <c r="PQ50" s="62">
        <v>2032</v>
      </c>
      <c r="PR50" s="77"/>
      <c r="PS50" s="63">
        <f>СЧЁТ!CI43</f>
        <v>2.269371748988845</v>
      </c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M50" s="62">
        <v>2032</v>
      </c>
      <c r="QN50" s="78"/>
      <c r="QO50" s="72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G50" s="60"/>
      <c r="RI50" s="59">
        <v>38</v>
      </c>
      <c r="RJ50" s="62">
        <v>2032</v>
      </c>
      <c r="RK50" s="77"/>
      <c r="RL50" s="55"/>
      <c r="RM50" s="73">
        <f>НАСТРОЙКА!IB42</f>
        <v>16134.564868588497</v>
      </c>
      <c r="RN50" s="31"/>
      <c r="RO50" s="31"/>
      <c r="RP50" s="31"/>
      <c r="RQ50" s="80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G50" s="62">
        <v>2032</v>
      </c>
      <c r="SH50" s="78"/>
      <c r="SI50" s="63">
        <f t="shared" si="21"/>
        <v>0.5704131419688584</v>
      </c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TC50" s="62">
        <v>2032</v>
      </c>
      <c r="TD50" s="77"/>
      <c r="TE50" s="72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X50" s="27"/>
      <c r="TZ50" s="62">
        <v>2032</v>
      </c>
      <c r="UA50" s="78"/>
      <c r="UB50" s="20"/>
      <c r="UC50" s="63">
        <f t="shared" si="22"/>
        <v>1.0150198387698832</v>
      </c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U50" s="60"/>
      <c r="UW50" s="62">
        <v>2032</v>
      </c>
      <c r="UX50" s="77"/>
      <c r="UY50" s="63">
        <f>ОТЧЁТ!EX173</f>
        <v>0.9295704347469966</v>
      </c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S50" s="62">
        <v>2032</v>
      </c>
      <c r="VT50" s="78"/>
      <c r="VU50" s="72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M50" s="60"/>
      <c r="WO50" s="62">
        <v>2032</v>
      </c>
      <c r="WP50" s="79"/>
      <c r="WQ50" s="55">
        <f t="shared" si="13"/>
        <v>13052.862978688096</v>
      </c>
      <c r="WR50" s="67">
        <v>7071.037534415014</v>
      </c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K50" s="68">
        <v>2032</v>
      </c>
      <c r="XL50" s="78"/>
      <c r="XM50" s="52">
        <f t="shared" si="23"/>
        <v>0.5417231105513147</v>
      </c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E50" s="60"/>
      <c r="YG50" s="62">
        <v>2032</v>
      </c>
      <c r="YH50" s="77"/>
      <c r="YI50" s="72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ZE50" s="22" t="s">
        <v>95</v>
      </c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1"/>
    </row>
    <row r="51" ht="21" customHeight="1" spans="7:692" x14ac:dyDescent="0.25">
      <c r="G51" s="62">
        <v>2033</v>
      </c>
      <c r="H51" s="76"/>
      <c r="I51" s="71">
        <f t="shared" si="19"/>
        <v>1.033435062875227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AD51" s="62">
        <v>2033</v>
      </c>
      <c r="AE51" s="77"/>
      <c r="AF51" s="20"/>
      <c r="AG51" s="63">
        <v>3.167066706781321</v>
      </c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BA51" s="62">
        <v>2033</v>
      </c>
      <c r="BB51" s="76"/>
      <c r="BC51" s="70">
        <v>79.98309697823396</v>
      </c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W51" s="62">
        <v>2033</v>
      </c>
      <c r="BX51" s="77"/>
      <c r="BY51" s="20"/>
      <c r="BZ51" s="63">
        <v>2.6685359719410418</v>
      </c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T51" s="62">
        <v>2033</v>
      </c>
      <c r="CU51" s="78"/>
      <c r="CV51" s="72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O51" s="62">
        <v>2033</v>
      </c>
      <c r="DP51" s="77"/>
      <c r="DQ51" s="20"/>
      <c r="DR51" s="72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G51" s="62">
        <v>2033</v>
      </c>
      <c r="EH51" s="52"/>
      <c r="EI51" s="52">
        <f t="shared" si="16"/>
        <v>1.0451156977627611</v>
      </c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FC51" s="62">
        <v>2033</v>
      </c>
      <c r="FD51" s="77"/>
      <c r="FE51" s="63">
        <f>СЧЁТ!CG44</f>
        <v>4.447166993916185</v>
      </c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Y51" s="62">
        <v>2033</v>
      </c>
      <c r="FZ51" s="78"/>
      <c r="GA51" s="52">
        <f t="shared" si="17"/>
        <v>1.0398937643622386</v>
      </c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T51" s="60"/>
      <c r="GU51" s="62">
        <v>2033</v>
      </c>
      <c r="GV51" s="77"/>
      <c r="GW51" s="53">
        <f t="shared" si="1"/>
        <v>2.478458852295477</v>
      </c>
      <c r="GX51" s="70">
        <f>СЧЁТ!CN44</f>
        <v>6.386665124425428</v>
      </c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R51" s="62">
        <v>2033</v>
      </c>
      <c r="HS51" s="54">
        <v>0.24784588522954773</v>
      </c>
      <c r="HT51" s="72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L51" s="60"/>
      <c r="IN51" s="62">
        <v>2033</v>
      </c>
      <c r="IO51" s="77"/>
      <c r="IP51" s="20"/>
      <c r="IQ51" s="72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J51" s="27"/>
      <c r="JL51" s="62">
        <v>2033</v>
      </c>
      <c r="JM51" s="78"/>
      <c r="JN51" s="63">
        <f t="shared" si="20"/>
        <v>1.0453705311442951</v>
      </c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F51" s="60"/>
      <c r="KH51" s="62">
        <v>2033</v>
      </c>
      <c r="KI51" s="77"/>
      <c r="KJ51" s="20"/>
      <c r="KK51" s="63">
        <f>СЧЁТ!CJ44</f>
        <v>5.08130584178749</v>
      </c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LE51" s="62">
        <v>2033</v>
      </c>
      <c r="LF51" s="78"/>
      <c r="LG51" s="57">
        <v>83.6177163974699</v>
      </c>
      <c r="LH51" s="78"/>
      <c r="LI51" s="75">
        <v>-7.934168974552179</v>
      </c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MB51" s="62">
        <v>2033</v>
      </c>
      <c r="MC51" s="79"/>
      <c r="MD51" s="67">
        <f>СЧЁТ!CE44</f>
        <v>9531.910006626793</v>
      </c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Y51" s="62">
        <v>2033</v>
      </c>
      <c r="MZ51" s="78"/>
      <c r="NA51" s="57">
        <f>СЧЁТ!CB44</f>
        <v>93.67541515002577</v>
      </c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V51" s="62">
        <v>2033</v>
      </c>
      <c r="NW51" s="77"/>
      <c r="NX51" s="20"/>
      <c r="NY51" s="20"/>
      <c r="NZ51" s="72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S51" s="27"/>
      <c r="OU51" s="62">
        <v>2033</v>
      </c>
      <c r="OV51" s="78"/>
      <c r="OW51" s="71">
        <f t="shared" si="18"/>
        <v>1.043133778355191</v>
      </c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O51" s="60"/>
      <c r="PQ51" s="62">
        <v>2033</v>
      </c>
      <c r="PR51" s="77"/>
      <c r="PS51" s="63">
        <f>СЧЁТ!CI44</f>
        <v>2.367258327015262</v>
      </c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M51" s="62">
        <v>2033</v>
      </c>
      <c r="QN51" s="78"/>
      <c r="QO51" s="72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G51" s="60"/>
      <c r="RI51" s="59">
        <v>39</v>
      </c>
      <c r="RJ51" s="62">
        <v>2033</v>
      </c>
      <c r="RK51" s="77"/>
      <c r="RL51" s="55"/>
      <c r="RM51" s="73">
        <f>НАСТРОЙКА!IB43</f>
        <v>16838.3103893536</v>
      </c>
      <c r="RN51" s="31"/>
      <c r="RO51" s="31"/>
      <c r="RP51" s="31"/>
      <c r="RQ51" s="31"/>
      <c r="RR51" s="31"/>
      <c r="RS51" s="31"/>
      <c r="RT51" s="59"/>
      <c r="RU51" s="31"/>
      <c r="RV51" s="31"/>
      <c r="RW51" s="31"/>
      <c r="RX51" s="31"/>
      <c r="RY51" s="31"/>
      <c r="RZ51" s="31"/>
      <c r="SA51" s="31"/>
      <c r="SG51" s="62">
        <v>2033</v>
      </c>
      <c r="SH51" s="78"/>
      <c r="SI51" s="63">
        <f t="shared" si="21"/>
        <v>0.566084707207533</v>
      </c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TC51" s="62">
        <v>2033</v>
      </c>
      <c r="TD51" s="77"/>
      <c r="TE51" s="72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X51" s="27"/>
      <c r="TZ51" s="62">
        <v>2033</v>
      </c>
      <c r="UA51" s="78"/>
      <c r="UB51" s="20"/>
      <c r="UC51" s="63">
        <f t="shared" si="22"/>
        <v>1.0140577024077495</v>
      </c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U51" s="60"/>
      <c r="UW51" s="62">
        <v>2033</v>
      </c>
      <c r="UX51" s="77"/>
      <c r="UY51" s="63">
        <f>ОТЧЁТ!EX174</f>
        <v>0.9426380592857123</v>
      </c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S51" s="62">
        <v>2033</v>
      </c>
      <c r="VT51" s="78"/>
      <c r="VU51" s="72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M51" s="60"/>
      <c r="WO51" s="62">
        <v>2033</v>
      </c>
      <c r="WP51" s="79"/>
      <c r="WQ51" s="55">
        <f t="shared" si="13"/>
        <v>13622.193104987062</v>
      </c>
      <c r="WR51" s="67">
        <v>7191.433876383719</v>
      </c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K51" s="68">
        <v>2033</v>
      </c>
      <c r="XL51" s="78"/>
      <c r="XM51" s="52">
        <f t="shared" si="23"/>
        <v>0.5279204178768356</v>
      </c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E51" s="60"/>
      <c r="YG51" s="62">
        <v>2033</v>
      </c>
      <c r="YH51" s="77"/>
      <c r="YI51" s="72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ZE51" s="81" t="s">
        <v>96</v>
      </c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3"/>
    </row>
    <row r="52" ht="21" customHeight="1" spans="7:671" x14ac:dyDescent="0.25">
      <c r="G52" s="62">
        <v>2034</v>
      </c>
      <c r="H52" s="76"/>
      <c r="I52" s="71">
        <f t="shared" si="19"/>
        <v>1.0339038477250333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AD52" s="62">
        <v>2034</v>
      </c>
      <c r="AE52" s="77"/>
      <c r="AF52" s="20"/>
      <c r="AG52" s="63">
        <v>3.2744424541430575</v>
      </c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BA52" s="62">
        <v>2034</v>
      </c>
      <c r="BB52" s="76"/>
      <c r="BC52" s="70">
        <v>86.58183727169767</v>
      </c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W52" s="62">
        <v>2034</v>
      </c>
      <c r="BX52" s="77"/>
      <c r="BY52" s="20"/>
      <c r="BZ52" s="63">
        <v>2.6685595865700065</v>
      </c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T52" s="62">
        <v>2034</v>
      </c>
      <c r="CU52" s="78"/>
      <c r="CV52" s="72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O52" s="62">
        <v>2034</v>
      </c>
      <c r="DP52" s="77"/>
      <c r="DQ52" s="20"/>
      <c r="DR52" s="72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G52" s="62">
        <v>2034</v>
      </c>
      <c r="EH52" s="52"/>
      <c r="EI52" s="52">
        <f t="shared" si="16"/>
        <v>1.0453037816167496</v>
      </c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FC52" s="62">
        <v>2034</v>
      </c>
      <c r="FD52" s="77"/>
      <c r="FE52" s="63">
        <f>СЧЁТ!CG45</f>
        <v>4.64864047622178</v>
      </c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Y52" s="62">
        <v>2034</v>
      </c>
      <c r="FZ52" s="78"/>
      <c r="GA52" s="52">
        <f t="shared" si="17"/>
        <v>1.0403535310843175</v>
      </c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T52" s="60"/>
      <c r="GU52" s="62">
        <v>2034</v>
      </c>
      <c r="GV52" s="77"/>
      <c r="GW52" s="53">
        <f t="shared" si="1"/>
        <v>2.4884588522954774</v>
      </c>
      <c r="GX52" s="70">
        <f>СЧЁТ!CN45</f>
        <v>6.644389614049055</v>
      </c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R52" s="62">
        <v>2034</v>
      </c>
      <c r="HS52" s="54">
        <v>0.24884588522954773</v>
      </c>
      <c r="HT52" s="72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L52" s="60"/>
      <c r="IN52" s="62">
        <v>2034</v>
      </c>
      <c r="IO52" s="77"/>
      <c r="IP52" s="20"/>
      <c r="IQ52" s="72"/>
      <c r="IR52" s="31"/>
      <c r="IT52" s="31"/>
      <c r="IU52" s="31"/>
      <c r="IV52" s="31"/>
      <c r="IW52" s="31"/>
      <c r="IX52" s="31"/>
      <c r="IY52" s="31"/>
      <c r="IZ52" s="31"/>
      <c r="JA52" s="31"/>
      <c r="JJ52" s="27"/>
      <c r="JL52" s="62">
        <v>2034</v>
      </c>
      <c r="JM52" s="78"/>
      <c r="JN52" s="63">
        <f t="shared" si="20"/>
        <v>1.0455511604641088</v>
      </c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F52" s="60"/>
      <c r="KH52" s="62">
        <v>2034</v>
      </c>
      <c r="KI52" s="77"/>
      <c r="KJ52" s="20"/>
      <c r="KK52" s="63">
        <f>СЧЁТ!CJ45</f>
        <v>5.312765219553965</v>
      </c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LE52" s="62">
        <v>2034</v>
      </c>
      <c r="LF52" s="78"/>
      <c r="LG52" s="57">
        <v>84.65696897455216</v>
      </c>
      <c r="LH52" s="78"/>
      <c r="LI52" s="75">
        <v>-9.118627319293623</v>
      </c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MB52" s="62">
        <v>2034</v>
      </c>
      <c r="MC52" s="79"/>
      <c r="MD52" s="67">
        <f>СЧЁТ!CE45</f>
        <v>9876.706041659188</v>
      </c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Y52" s="62">
        <v>2034</v>
      </c>
      <c r="MZ52" s="78"/>
      <c r="NA52" s="57">
        <f>СЧЁТ!CB45</f>
        <v>94.82818068544212</v>
      </c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V52" s="62">
        <v>2034</v>
      </c>
      <c r="NW52" s="77"/>
      <c r="NX52" s="20"/>
      <c r="NY52" s="20"/>
      <c r="NZ52" s="72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S52" s="27"/>
      <c r="OU52" s="62">
        <v>2034</v>
      </c>
      <c r="OV52" s="78"/>
      <c r="OW52" s="71">
        <f t="shared" si="18"/>
        <v>1.043430998379602</v>
      </c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O52" s="60"/>
      <c r="PQ52" s="62">
        <v>2034</v>
      </c>
      <c r="PR52" s="77"/>
      <c r="PS52" s="63">
        <f>СЧЁТ!CI45</f>
        <v>2.470070719579961</v>
      </c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M52" s="62">
        <v>2034</v>
      </c>
      <c r="QN52" s="78"/>
      <c r="QO52" s="72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G52" s="60"/>
      <c r="RI52" s="59">
        <v>40</v>
      </c>
      <c r="RJ52" s="62">
        <v>2034</v>
      </c>
      <c r="RK52" s="77"/>
      <c r="RL52" s="55"/>
      <c r="RM52" s="73">
        <f>НАСТРОЙКА!IB44</f>
        <v>17569.97036030794</v>
      </c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G52" s="62">
        <v>2034</v>
      </c>
      <c r="SH52" s="78"/>
      <c r="SI52" s="63">
        <f t="shared" si="21"/>
        <v>0.5621356120196713</v>
      </c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TC52" s="62">
        <v>2034</v>
      </c>
      <c r="TD52" s="77"/>
      <c r="TE52" s="72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X52" s="27"/>
      <c r="TZ52" s="62">
        <v>2034</v>
      </c>
      <c r="UA52" s="78"/>
      <c r="UB52" s="20"/>
      <c r="UC52" s="63">
        <f t="shared" si="22"/>
        <v>1.0131696818195381</v>
      </c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U52" s="60"/>
      <c r="UW52" s="62">
        <v>2034</v>
      </c>
      <c r="UX52" s="77"/>
      <c r="UY52" s="63">
        <f>ОТЧЁТ!EX175</f>
        <v>0.9550523025974922</v>
      </c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S52" s="62">
        <v>2034</v>
      </c>
      <c r="VT52" s="78"/>
      <c r="VU52" s="72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M52" s="60"/>
      <c r="WO52" s="62">
        <v>2034</v>
      </c>
      <c r="WP52" s="79"/>
      <c r="WQ52" s="55">
        <f t="shared" si="13"/>
        <v>14214.106021489124</v>
      </c>
      <c r="WR52" s="67">
        <v>7313.97225433368</v>
      </c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K52" s="68">
        <v>2034</v>
      </c>
      <c r="XL52" s="78"/>
      <c r="XM52" s="52">
        <f t="shared" si="23"/>
        <v>0.5145573167441058</v>
      </c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E52" s="60"/>
      <c r="YG52" s="62">
        <v>2034</v>
      </c>
      <c r="YH52" s="77"/>
      <c r="YI52" s="72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</row>
    <row r="53" ht="21" customHeight="1" spans="7:671" x14ac:dyDescent="0.25">
      <c r="G53" s="34">
        <v>2035</v>
      </c>
      <c r="H53" s="84"/>
      <c r="I53" s="85">
        <f t="shared" si="19"/>
        <v>1.0343650315354116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AD53" s="34">
        <v>2035</v>
      </c>
      <c r="AE53" s="86"/>
      <c r="AF53" s="82"/>
      <c r="AG53" s="87">
        <v>3.386968772340574</v>
      </c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BA53" s="34">
        <v>2035</v>
      </c>
      <c r="BB53" s="84"/>
      <c r="BC53" s="88">
        <v>93.78164608790115</v>
      </c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W53" s="34">
        <v>2035</v>
      </c>
      <c r="BX53" s="86"/>
      <c r="BY53" s="82"/>
      <c r="BZ53" s="87">
        <v>2.6685737553473854</v>
      </c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T53" s="34">
        <v>2035</v>
      </c>
      <c r="CU53" s="89"/>
      <c r="CV53" s="90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O53" s="34">
        <v>2035</v>
      </c>
      <c r="DP53" s="86"/>
      <c r="DQ53" s="82"/>
      <c r="DR53" s="90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G53" s="34">
        <v>2035</v>
      </c>
      <c r="EH53" s="91"/>
      <c r="EI53" s="92">
        <f t="shared" si="16"/>
        <v>1.0454880507740918</v>
      </c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FC53" s="34">
        <v>2035</v>
      </c>
      <c r="FD53" s="86"/>
      <c r="FE53" s="87">
        <f>СЧЁТ!CG46</f>
        <v>4.860098070234655</v>
      </c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Y53" s="34">
        <v>2035</v>
      </c>
      <c r="FZ53" s="89"/>
      <c r="GA53" s="92">
        <f t="shared" si="17"/>
        <v>1.0408057965759674</v>
      </c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T53" s="60"/>
      <c r="GU53" s="34">
        <v>2035</v>
      </c>
      <c r="GV53" s="86"/>
      <c r="GW53" s="93">
        <f t="shared" si="1"/>
        <v>2.498458852295477</v>
      </c>
      <c r="GX53" s="88">
        <f>СЧЁТ!CN46</f>
        <v>6.915519225011413</v>
      </c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R53" s="34">
        <v>2035</v>
      </c>
      <c r="HS53" s="54">
        <v>0.24984588522954773</v>
      </c>
      <c r="HT53" s="90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L53" s="60"/>
      <c r="IN53" s="34">
        <v>2035</v>
      </c>
      <c r="IO53" s="86"/>
      <c r="IP53" s="82"/>
      <c r="IQ53" s="90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L53" s="34">
        <v>2035</v>
      </c>
      <c r="JM53" s="89"/>
      <c r="JN53" s="87">
        <f t="shared" si="20"/>
        <v>1.0457270192257595</v>
      </c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F53" s="60"/>
      <c r="KH53" s="34">
        <v>2035</v>
      </c>
      <c r="KI53" s="86"/>
      <c r="KJ53" s="82"/>
      <c r="KK53" s="87">
        <f>СЧЁТ!CJ46</f>
        <v>5.5557021368904556</v>
      </c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LE53" s="34">
        <v>2035</v>
      </c>
      <c r="LF53" s="89"/>
      <c r="LG53" s="94">
        <v>85.7460273192936</v>
      </c>
      <c r="LH53" s="89"/>
      <c r="LI53" s="36">
        <v>-10.355325320444564</v>
      </c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MB53" s="34">
        <v>2035</v>
      </c>
      <c r="MC53" s="95"/>
      <c r="MD53" s="96">
        <f>СЧЁТ!CE46</f>
        <v>10238.588603864273</v>
      </c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Y53" s="34">
        <v>2035</v>
      </c>
      <c r="MZ53" s="89"/>
      <c r="NA53" s="57">
        <f>СЧЁТ!CB46</f>
        <v>95.99057730545317</v>
      </c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V53" s="34">
        <v>2035</v>
      </c>
      <c r="NW53" s="86"/>
      <c r="NX53" s="82"/>
      <c r="NY53" s="82"/>
      <c r="NZ53" s="90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U53" s="34">
        <v>2035</v>
      </c>
      <c r="OV53" s="89"/>
      <c r="OW53" s="85">
        <f t="shared" si="18"/>
        <v>1.0437169779090312</v>
      </c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O53" s="60"/>
      <c r="PQ53" s="34">
        <v>2035</v>
      </c>
      <c r="PR53" s="86"/>
      <c r="PS53" s="87">
        <f>СЧЁТ!CI46</f>
        <v>2.578054746661583</v>
      </c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M53" s="34">
        <v>2035</v>
      </c>
      <c r="QN53" s="89"/>
      <c r="QO53" s="90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G53" s="60"/>
      <c r="RI53" s="59">
        <v>41</v>
      </c>
      <c r="RJ53" s="62">
        <v>2035</v>
      </c>
      <c r="RK53" s="86"/>
      <c r="RL53" s="97"/>
      <c r="RM53" s="73">
        <f>НАСТРОЙКА!IB45</f>
        <v>18330.033333654035</v>
      </c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G53" s="34">
        <v>2035</v>
      </c>
      <c r="SH53" s="89"/>
      <c r="SI53" s="87">
        <f t="shared" si="21"/>
        <v>0.5585690117140252</v>
      </c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TC53" s="34">
        <v>2035</v>
      </c>
      <c r="TD53" s="86"/>
      <c r="TE53" s="90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X53" s="27"/>
      <c r="TZ53" s="34">
        <v>2035</v>
      </c>
      <c r="UA53" s="89"/>
      <c r="UB53" s="82"/>
      <c r="UC53" s="87">
        <f t="shared" si="22"/>
        <v>1.012348570977857</v>
      </c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U53" s="60"/>
      <c r="UW53" s="34">
        <v>2035</v>
      </c>
      <c r="UX53" s="86"/>
      <c r="UY53" s="87">
        <f>ОТЧЁТ!EX176</f>
        <v>0.966845833743683</v>
      </c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S53" s="34">
        <v>2035</v>
      </c>
      <c r="VT53" s="89"/>
      <c r="VU53" s="90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M53" s="60"/>
      <c r="WO53" s="34">
        <v>2035</v>
      </c>
      <c r="WP53" s="95"/>
      <c r="WQ53" s="96">
        <f t="shared" si="13"/>
        <v>14828.996966926115</v>
      </c>
      <c r="WR53" s="96">
        <v>7438.57619775003</v>
      </c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K53" s="98">
        <v>2035</v>
      </c>
      <c r="XL53" s="89"/>
      <c r="XM53" s="92">
        <f t="shared" si="23"/>
        <v>0.5016236913623136</v>
      </c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E53" s="60"/>
      <c r="YG53" s="34">
        <v>2035</v>
      </c>
      <c r="YH53" s="86"/>
      <c r="YI53" s="90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</row>
    <row r="54" ht="15.5" customHeight="1" spans="11:112" x14ac:dyDescent="0.25"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ht="15" customHeight="1" spans="8:98" x14ac:dyDescent="0.25">
      <c r="H55" s="24"/>
      <c r="I55" s="99"/>
      <c r="J55" s="99"/>
      <c r="AZ55" s="24"/>
      <c r="BA55" s="99"/>
      <c r="BB55" s="99"/>
      <c r="CR55" s="24"/>
      <c r="CS55" s="99"/>
      <c r="CT55" s="99"/>
    </row>
    <row r="58" ht="15" customHeight="1" spans="136:140" x14ac:dyDescent="0.25">
      <c r="EF58" s="100"/>
      <c r="EG58" s="100"/>
      <c r="EH58" s="100"/>
      <c r="EI58" s="100"/>
      <c r="EJ58" s="100"/>
    </row>
    <row r="59" ht="15.5" customHeight="1" spans="132:140" x14ac:dyDescent="0.25">
      <c r="EB59" s="51"/>
      <c r="EC59" s="51"/>
      <c r="ED59" s="51"/>
      <c r="EE59" s="100"/>
      <c r="EF59" s="100"/>
      <c r="EG59" s="100"/>
      <c r="EH59" s="100"/>
      <c r="EI59" s="100"/>
      <c r="EJ59" s="100"/>
    </row>
    <row r="60" ht="15.5" customHeight="1" spans="132:140" x14ac:dyDescent="0.25">
      <c r="EB60" s="51"/>
      <c r="EC60" s="51"/>
      <c r="ED60" s="51"/>
      <c r="EE60" s="100"/>
      <c r="EF60" s="100"/>
      <c r="EG60" s="100"/>
      <c r="EH60" s="100"/>
      <c r="EI60" s="100"/>
      <c r="EJ60" s="100"/>
    </row>
    <row r="61" ht="15.5" customHeight="1" spans="132:140" x14ac:dyDescent="0.25">
      <c r="EB61" s="51"/>
      <c r="EC61" s="51"/>
      <c r="ED61" s="51"/>
      <c r="EE61" s="100"/>
      <c r="EF61" s="100"/>
      <c r="EG61" s="100"/>
      <c r="EH61" s="100"/>
      <c r="EI61" s="100"/>
      <c r="EJ61" s="100"/>
    </row>
    <row r="62" ht="15.5" customHeight="1" spans="132:140" x14ac:dyDescent="0.25">
      <c r="EB62" s="51"/>
      <c r="EC62" s="51"/>
      <c r="ED62" s="51"/>
      <c r="EE62" s="100"/>
      <c r="EF62" s="100"/>
      <c r="EG62" s="100"/>
      <c r="EH62" s="100"/>
      <c r="EI62" s="100"/>
      <c r="EJ62" s="100"/>
    </row>
    <row r="63" ht="15.5" customHeight="1" spans="132:140" x14ac:dyDescent="0.25">
      <c r="EB63" s="51"/>
      <c r="EC63" s="51"/>
      <c r="ED63" s="51"/>
      <c r="EE63" s="100"/>
      <c r="EF63" s="100"/>
      <c r="EG63" s="100"/>
      <c r="EH63" s="100"/>
      <c r="EI63" s="100"/>
      <c r="EJ63" s="100"/>
    </row>
    <row r="64" ht="15.5" customHeight="1" spans="127:140" x14ac:dyDescent="0.25">
      <c r="DW64" t="s">
        <v>97</v>
      </c>
      <c r="EB64" s="51"/>
      <c r="EC64" s="51"/>
      <c r="ED64" s="51"/>
      <c r="EE64" s="100"/>
      <c r="EF64" s="100"/>
      <c r="EG64" s="100"/>
      <c r="EH64" s="100"/>
      <c r="EI64" s="100"/>
      <c r="EJ64" s="100"/>
    </row>
    <row r="65" ht="15.5" customHeight="1" spans="132:140" x14ac:dyDescent="0.25">
      <c r="EB65" s="51"/>
      <c r="EC65" s="51"/>
      <c r="ED65" s="51"/>
      <c r="EE65" s="100"/>
      <c r="EF65" s="100"/>
      <c r="EG65" s="100"/>
      <c r="EH65" s="100"/>
      <c r="EI65" s="100"/>
      <c r="EJ65" s="100"/>
    </row>
    <row r="66" ht="15.5" customHeight="1" spans="132:140" x14ac:dyDescent="0.25">
      <c r="EB66" s="51"/>
      <c r="EC66" s="51"/>
      <c r="ED66" s="51"/>
      <c r="EE66" s="100"/>
      <c r="EF66" s="100"/>
      <c r="EG66" s="100"/>
      <c r="EH66" s="100"/>
      <c r="EI66" s="100"/>
      <c r="EJ66" s="100"/>
    </row>
    <row r="67" ht="15.5" customHeight="1" spans="132:140" x14ac:dyDescent="0.25">
      <c r="EB67" s="51"/>
      <c r="EC67" s="51"/>
      <c r="ED67" s="51"/>
      <c r="EE67" s="100"/>
      <c r="EF67" s="100"/>
      <c r="EG67" s="100"/>
      <c r="EH67" s="100"/>
      <c r="EI67" s="100"/>
      <c r="EJ67" s="100"/>
    </row>
    <row r="68" ht="15.5" customHeight="1" spans="132:140" x14ac:dyDescent="0.25">
      <c r="EB68" s="51"/>
      <c r="EC68" s="51"/>
      <c r="ED68" s="51"/>
      <c r="EE68" s="100"/>
      <c r="EF68" s="100"/>
      <c r="EG68" s="100"/>
      <c r="EH68" s="100"/>
      <c r="EI68" s="100"/>
      <c r="EJ68" s="100"/>
    </row>
    <row r="69" ht="15.5" customHeight="1" spans="132:140" x14ac:dyDescent="0.25">
      <c r="EB69" s="51"/>
      <c r="EC69" s="51"/>
      <c r="ED69" s="51"/>
      <c r="EE69" s="100"/>
      <c r="EF69" s="100"/>
      <c r="EG69" s="100"/>
      <c r="EH69" s="100"/>
      <c r="EI69" s="100"/>
      <c r="EJ69" s="100"/>
    </row>
    <row r="70" ht="15.5" customHeight="1" spans="132:140" x14ac:dyDescent="0.25">
      <c r="EB70" s="51"/>
      <c r="EC70" s="51"/>
      <c r="ED70" s="51"/>
      <c r="EE70" s="100"/>
      <c r="EF70" s="100"/>
      <c r="EG70" s="100"/>
      <c r="EH70" s="100"/>
      <c r="EI70" s="100"/>
      <c r="EJ70" s="100"/>
    </row>
    <row r="71" ht="15.5" customHeight="1" spans="132:140" x14ac:dyDescent="0.25">
      <c r="EB71" s="51"/>
      <c r="EC71" s="51"/>
      <c r="ED71" s="51"/>
      <c r="EE71" s="100"/>
      <c r="EF71" s="100"/>
      <c r="EG71" s="100"/>
      <c r="EH71" s="100"/>
      <c r="EI71" s="100"/>
      <c r="EJ71" s="100"/>
    </row>
    <row r="72" ht="15.5" customHeight="1" spans="132:140" x14ac:dyDescent="0.25">
      <c r="EB72" s="51"/>
      <c r="EC72" s="51"/>
      <c r="ED72" s="51"/>
      <c r="EE72" s="100"/>
      <c r="EF72" s="100"/>
      <c r="EG72" s="100"/>
      <c r="EH72" s="100"/>
      <c r="EI72" s="100"/>
      <c r="EJ72" s="100"/>
    </row>
    <row r="73" ht="15.5" customHeight="1" spans="132:140" x14ac:dyDescent="0.25">
      <c r="EB73" s="51"/>
      <c r="EC73" s="51"/>
      <c r="ED73" s="51"/>
      <c r="EE73" s="100"/>
      <c r="EF73" s="100"/>
      <c r="EG73" s="100"/>
      <c r="EH73" s="100"/>
      <c r="EI73" s="100"/>
      <c r="EJ73" s="100"/>
    </row>
    <row r="74" ht="15.5" customHeight="1" spans="132:140" x14ac:dyDescent="0.25">
      <c r="EB74" s="51"/>
      <c r="EC74" s="51"/>
      <c r="ED74" s="51"/>
      <c r="EE74" s="100"/>
      <c r="EF74" s="100"/>
      <c r="EG74" s="100"/>
      <c r="EH74" s="100"/>
      <c r="EI74" s="100"/>
      <c r="EJ74" s="100"/>
    </row>
    <row r="75" ht="15.5" customHeight="1" spans="132:140" x14ac:dyDescent="0.25">
      <c r="EB75" s="51"/>
      <c r="EC75" s="51"/>
      <c r="ED75" s="51"/>
      <c r="EE75" s="100"/>
      <c r="EF75" s="100"/>
      <c r="EG75" s="100"/>
      <c r="EH75" s="100"/>
      <c r="EI75" s="100"/>
      <c r="EJ75" s="100"/>
    </row>
    <row r="76" ht="15.5" customHeight="1" spans="132:140" x14ac:dyDescent="0.25">
      <c r="EB76" s="51"/>
      <c r="EC76" s="51"/>
      <c r="ED76" s="51"/>
      <c r="EE76" s="100"/>
      <c r="EF76" s="100"/>
      <c r="EG76" s="100"/>
      <c r="EH76" s="100"/>
      <c r="EI76" s="100"/>
      <c r="EJ76" s="100"/>
    </row>
    <row r="77" ht="15.5" customHeight="1" spans="132:140" x14ac:dyDescent="0.25">
      <c r="EB77" s="51"/>
      <c r="EC77" s="51"/>
      <c r="ED77" s="51"/>
      <c r="EE77" s="100"/>
      <c r="EF77" s="100"/>
      <c r="EG77" s="100"/>
      <c r="EH77" s="100"/>
      <c r="EI77" s="100"/>
      <c r="EJ77" s="100"/>
    </row>
    <row r="78" ht="15.5" customHeight="1" spans="132:140" x14ac:dyDescent="0.25">
      <c r="EB78" s="51"/>
      <c r="EC78" s="51"/>
      <c r="ED78" s="51"/>
      <c r="EE78" s="100"/>
      <c r="EF78" s="100"/>
      <c r="EG78" s="100"/>
      <c r="EH78" s="100"/>
      <c r="EI78" s="100"/>
      <c r="EJ78" s="100"/>
    </row>
    <row r="79" ht="15.5" customHeight="1" spans="132:140" x14ac:dyDescent="0.25">
      <c r="EB79" s="51"/>
      <c r="EC79" s="51"/>
      <c r="ED79" s="51"/>
      <c r="EE79" s="100"/>
      <c r="EF79" s="100"/>
      <c r="EG79" s="100"/>
      <c r="EH79" s="100"/>
      <c r="EI79" s="100"/>
      <c r="EJ79" s="100"/>
    </row>
    <row r="80" ht="15.5" customHeight="1" spans="132:140" x14ac:dyDescent="0.25">
      <c r="EB80" s="51"/>
      <c r="EC80" s="51"/>
      <c r="ED80" s="51"/>
      <c r="EE80" s="100"/>
      <c r="EF80" s="100"/>
      <c r="EG80" s="100"/>
      <c r="EH80" s="100"/>
      <c r="EI80" s="100"/>
      <c r="EJ80" s="100"/>
    </row>
    <row r="81" ht="15.5" customHeight="1" spans="132:140" x14ac:dyDescent="0.25">
      <c r="EB81" s="51"/>
      <c r="EC81" s="51"/>
      <c r="ED81" s="51"/>
      <c r="EE81" s="100"/>
      <c r="EF81" s="100"/>
      <c r="EG81" s="100"/>
      <c r="EH81" s="100"/>
      <c r="EI81" s="100"/>
      <c r="EJ81" s="100"/>
    </row>
    <row r="82" ht="15.5" customHeight="1" spans="132:134" x14ac:dyDescent="0.25">
      <c r="EB82" s="31"/>
      <c r="EC82" s="31"/>
      <c r="ED82" s="31"/>
    </row>
    <row r="83" ht="15.5" customHeight="1" spans="132:134" x14ac:dyDescent="0.25">
      <c r="EB83" s="31"/>
      <c r="EC83" s="31"/>
      <c r="ED83" s="31"/>
    </row>
    <row r="84" ht="15.5" customHeight="1" spans="132:134" x14ac:dyDescent="0.25">
      <c r="EB84" s="31"/>
      <c r="EC84" s="31"/>
      <c r="ED84" s="31"/>
    </row>
    <row r="85" ht="15.5" customHeight="1" spans="132:134" x14ac:dyDescent="0.25">
      <c r="EB85" s="31"/>
      <c r="EC85" s="31"/>
      <c r="ED85" s="31"/>
    </row>
    <row r="86" ht="15.5" customHeight="1" spans="132:134" x14ac:dyDescent="0.25">
      <c r="EB86" s="31"/>
      <c r="EC86" s="31"/>
      <c r="ED86" s="31"/>
    </row>
    <row r="87" ht="15.5" customHeight="1" spans="132:134" x14ac:dyDescent="0.25">
      <c r="EB87" s="31"/>
      <c r="EC87" s="31"/>
      <c r="ED87" s="31"/>
    </row>
    <row r="88" ht="15.5" customHeight="1" spans="132:134" x14ac:dyDescent="0.25">
      <c r="EB88" s="31"/>
      <c r="EC88" s="31"/>
      <c r="ED88" s="31"/>
    </row>
    <row r="89" ht="15.5" customHeight="1" spans="132:134" x14ac:dyDescent="0.25">
      <c r="EB89" s="31"/>
      <c r="EC89" s="31"/>
      <c r="ED89" s="31"/>
    </row>
    <row r="90" ht="15.5" customHeight="1" spans="132:134" x14ac:dyDescent="0.25">
      <c r="EB90" s="31"/>
      <c r="EC90" s="31"/>
      <c r="ED90" s="31"/>
    </row>
    <row r="91" ht="15.5" customHeight="1" spans="132:134" x14ac:dyDescent="0.25">
      <c r="EB91" s="31"/>
      <c r="EC91" s="31"/>
      <c r="ED91" s="31"/>
    </row>
    <row r="92" ht="15.5" customHeight="1" spans="132:134" x14ac:dyDescent="0.25">
      <c r="EB92" s="31"/>
      <c r="EC92" s="31"/>
      <c r="ED92" s="31"/>
    </row>
    <row r="93" ht="15.5" customHeight="1" spans="132:134" x14ac:dyDescent="0.25">
      <c r="EB93" s="31"/>
      <c r="EC93" s="31"/>
      <c r="ED93" s="31"/>
    </row>
    <row r="94" ht="15.5" customHeight="1" spans="132:134" x14ac:dyDescent="0.25">
      <c r="EB94" s="31"/>
      <c r="EC94" s="31"/>
      <c r="ED94" s="31"/>
    </row>
    <row r="95" ht="15.5" customHeight="1" spans="132:134" x14ac:dyDescent="0.25">
      <c r="EB95" s="31"/>
      <c r="EC95" s="31"/>
      <c r="ED95" s="31"/>
    </row>
    <row r="96" ht="15.5" customHeight="1" spans="132:134" x14ac:dyDescent="0.25">
      <c r="EB96" s="31"/>
      <c r="EC96" s="31"/>
      <c r="ED96" s="31"/>
    </row>
    <row r="97" ht="15.5" customHeight="1" spans="132:134" x14ac:dyDescent="0.25">
      <c r="EB97" s="31"/>
      <c r="EC97" s="31"/>
      <c r="ED97" s="31"/>
    </row>
    <row r="98" ht="15.5" customHeight="1" spans="132:134" x14ac:dyDescent="0.25">
      <c r="EB98" s="31"/>
      <c r="EC98" s="31"/>
      <c r="ED98" s="31"/>
    </row>
    <row r="100" ht="15.5" customHeight="1" spans="11:112" x14ac:dyDescent="0.25"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</row>
    <row r="104" ht="15.5" customHeight="1" spans="134:134" x14ac:dyDescent="0.25">
      <c r="ED104" s="31"/>
    </row>
    <row r="105" ht="15.5" customHeight="1" spans="134:134" x14ac:dyDescent="0.25">
      <c r="ED105" s="31"/>
    </row>
    <row r="106" ht="15.5" customHeight="1" spans="134:134" x14ac:dyDescent="0.25">
      <c r="ED106" s="31"/>
    </row>
    <row r="107" ht="15.5" customHeight="1" spans="134:134" x14ac:dyDescent="0.25">
      <c r="ED107" s="31"/>
    </row>
    <row r="108" ht="15.5" customHeight="1" spans="134:134" x14ac:dyDescent="0.25">
      <c r="ED108" s="31"/>
    </row>
    <row r="109" ht="15.5" customHeight="1" spans="134:134" x14ac:dyDescent="0.25">
      <c r="ED109" s="31"/>
    </row>
    <row r="110" ht="15.5" customHeight="1" spans="134:134" x14ac:dyDescent="0.25">
      <c r="ED110" s="31"/>
    </row>
    <row r="111" ht="15.5" customHeight="1" spans="134:134" x14ac:dyDescent="0.25">
      <c r="ED111" s="31"/>
    </row>
    <row r="112" ht="15.5" customHeight="1" spans="134:134" x14ac:dyDescent="0.25">
      <c r="ED112" s="31"/>
    </row>
    <row r="113" ht="15.5" customHeight="1" spans="134:134" x14ac:dyDescent="0.25">
      <c r="ED113" s="31"/>
    </row>
    <row r="114" ht="15.5" customHeight="1" spans="134:134" x14ac:dyDescent="0.25">
      <c r="ED114" s="31"/>
    </row>
    <row r="115" ht="15.5" customHeight="1" spans="134:134" x14ac:dyDescent="0.25">
      <c r="ED115" s="31"/>
    </row>
    <row r="116" ht="15.5" customHeight="1" spans="134:134" x14ac:dyDescent="0.25">
      <c r="ED116" s="31"/>
    </row>
    <row r="117" ht="15.5" customHeight="1" spans="134:134" x14ac:dyDescent="0.25">
      <c r="ED117" s="31"/>
    </row>
    <row r="118" ht="15.5" customHeight="1" spans="134:134" x14ac:dyDescent="0.25">
      <c r="ED118" s="31"/>
    </row>
    <row r="119" ht="15.5" customHeight="1" spans="134:134" x14ac:dyDescent="0.25">
      <c r="ED119" s="31"/>
    </row>
    <row r="120" ht="15.5" customHeight="1" spans="134:134" x14ac:dyDescent="0.25">
      <c r="ED120" s="31"/>
    </row>
    <row r="121" ht="15.5" customHeight="1" spans="134:134" x14ac:dyDescent="0.25">
      <c r="ED121" s="31"/>
    </row>
    <row r="122" ht="15.5" customHeight="1" spans="134:134" x14ac:dyDescent="0.25">
      <c r="ED122" s="31"/>
    </row>
    <row r="123" ht="15.5" customHeight="1" spans="134:134" x14ac:dyDescent="0.25">
      <c r="ED123" s="31"/>
    </row>
    <row r="124" ht="15.5" customHeight="1" spans="134:134" x14ac:dyDescent="0.25">
      <c r="ED124" s="31"/>
    </row>
    <row r="125" ht="15.5" customHeight="1" spans="134:134" x14ac:dyDescent="0.25">
      <c r="ED125" s="31"/>
    </row>
    <row r="126" ht="15.5" customHeight="1" spans="134:134" x14ac:dyDescent="0.25">
      <c r="ED126" s="31"/>
    </row>
    <row r="127" ht="15.5" customHeight="1" spans="134:134" x14ac:dyDescent="0.25">
      <c r="ED127" s="31"/>
    </row>
    <row r="128" ht="15.5" customHeight="1" spans="134:134" x14ac:dyDescent="0.25">
      <c r="ED128" s="31"/>
    </row>
    <row r="129" ht="15.5" customHeight="1" spans="134:134" x14ac:dyDescent="0.25">
      <c r="ED129" s="31"/>
    </row>
    <row r="130" ht="15.5" customHeight="1" spans="134:134" x14ac:dyDescent="0.25">
      <c r="ED130" s="31"/>
    </row>
    <row r="131" ht="15.5" customHeight="1" spans="134:134" x14ac:dyDescent="0.25">
      <c r="ED131" s="31"/>
    </row>
    <row r="132" ht="15.5" customHeight="1" spans="134:134" x14ac:dyDescent="0.25">
      <c r="ED132" s="31"/>
    </row>
    <row r="133" ht="15.5" customHeight="1" spans="134:134" x14ac:dyDescent="0.25">
      <c r="ED133" s="31"/>
    </row>
    <row r="134" ht="15.5" customHeight="1" spans="134:134" x14ac:dyDescent="0.25">
      <c r="ED134" s="31"/>
    </row>
    <row r="135" ht="15.5" customHeight="1" spans="134:134" x14ac:dyDescent="0.25">
      <c r="ED135" s="31"/>
    </row>
    <row r="136" ht="15.5" customHeight="1" spans="134:134" x14ac:dyDescent="0.25">
      <c r="ED136" s="31"/>
    </row>
    <row r="137" ht="15.5" customHeight="1" spans="134:134" x14ac:dyDescent="0.25">
      <c r="ED137" s="31"/>
    </row>
    <row r="138" ht="15.5" customHeight="1" spans="134:134" x14ac:dyDescent="0.25">
      <c r="ED138" s="31"/>
    </row>
    <row r="139" ht="15.5" customHeight="1" spans="134:134" x14ac:dyDescent="0.25">
      <c r="ED139" s="31"/>
    </row>
    <row r="140" ht="15.5" customHeight="1" spans="134:134" x14ac:dyDescent="0.25">
      <c r="ED140" s="31"/>
    </row>
    <row r="141" ht="15.5" customHeight="1" spans="134:134" x14ac:dyDescent="0.25">
      <c r="ED141" s="31"/>
    </row>
    <row r="142" ht="15.5" customHeight="1" spans="134:134" x14ac:dyDescent="0.25">
      <c r="ED142" s="31"/>
    </row>
    <row r="143" ht="15.5" customHeight="1" spans="134:134" x14ac:dyDescent="0.25">
      <c r="ED143" s="31"/>
    </row>
    <row r="144" ht="15.5" customHeight="1" spans="87:90" x14ac:dyDescent="0.25">
      <c r="CI144" s="31"/>
      <c r="CJ144" s="31"/>
      <c r="CK144" s="31"/>
      <c r="CL144" s="31"/>
    </row>
    <row r="145" ht="15.5" customHeight="1" spans="87:90" x14ac:dyDescent="0.25">
      <c r="CI145" s="31"/>
      <c r="CJ145" s="31"/>
      <c r="CK145" s="31"/>
      <c r="CL145" s="31"/>
    </row>
    <row r="148" ht="15.5" customHeight="1" spans="133:134" x14ac:dyDescent="0.25">
      <c r="EC148" s="31"/>
      <c r="ED148" s="31"/>
    </row>
    <row r="149" ht="15.5" customHeight="1" spans="133:134" x14ac:dyDescent="0.25">
      <c r="EC149" s="31"/>
      <c r="ED149" s="31"/>
    </row>
    <row r="150" ht="15.5" customHeight="1" spans="133:134" x14ac:dyDescent="0.25">
      <c r="EC150" s="31"/>
      <c r="ED150" s="31"/>
    </row>
    <row r="151" ht="15.5" customHeight="1" spans="133:134" x14ac:dyDescent="0.25">
      <c r="EC151" s="31"/>
      <c r="ED151" s="31"/>
    </row>
    <row r="152" ht="15.5" customHeight="1" spans="133:134" x14ac:dyDescent="0.25">
      <c r="EC152" s="31"/>
      <c r="ED152" s="31"/>
    </row>
    <row r="153" ht="15.5" customHeight="1" spans="133:134" x14ac:dyDescent="0.25">
      <c r="EC153" s="31"/>
      <c r="ED153" s="31"/>
    </row>
    <row r="154" ht="15.5" customHeight="1" spans="133:134" x14ac:dyDescent="0.25">
      <c r="EC154" s="31"/>
      <c r="ED154" s="31"/>
    </row>
    <row r="155" ht="15.5" customHeight="1" spans="133:134" x14ac:dyDescent="0.25">
      <c r="EC155" s="31"/>
      <c r="ED155" s="31"/>
    </row>
    <row r="156" ht="15.5" customHeight="1" spans="133:134" x14ac:dyDescent="0.25">
      <c r="EC156" s="31"/>
      <c r="ED156" s="31"/>
    </row>
    <row r="157" ht="15.5" customHeight="1" spans="133:134" x14ac:dyDescent="0.25">
      <c r="EC157" s="31"/>
      <c r="ED157" s="31"/>
    </row>
    <row r="158" ht="15.5" customHeight="1" spans="133:134" x14ac:dyDescent="0.25">
      <c r="EC158" s="31"/>
      <c r="ED158" s="31"/>
    </row>
    <row r="159" ht="15.5" customHeight="1" spans="133:134" x14ac:dyDescent="0.25">
      <c r="EC159" s="31"/>
      <c r="ED159" s="31"/>
    </row>
    <row r="160" ht="15.5" customHeight="1" spans="133:134" x14ac:dyDescent="0.25">
      <c r="EC160" s="31"/>
      <c r="ED160" s="31"/>
    </row>
    <row r="161" ht="15.5" customHeight="1" spans="133:134" x14ac:dyDescent="0.25">
      <c r="EC161" s="31"/>
      <c r="ED161" s="31"/>
    </row>
    <row r="162" ht="15.5" customHeight="1" spans="133:134" x14ac:dyDescent="0.25">
      <c r="EC162" s="31"/>
      <c r="ED162" s="31"/>
    </row>
    <row r="163" ht="15.5" customHeight="1" spans="133:134" x14ac:dyDescent="0.25">
      <c r="EC163" s="31"/>
      <c r="ED163" s="31"/>
    </row>
    <row r="164" ht="15.5" customHeight="1" spans="133:134" x14ac:dyDescent="0.25">
      <c r="EC164" s="31"/>
      <c r="ED164" s="31"/>
    </row>
    <row r="165" ht="15.5" customHeight="1" spans="133:134" x14ac:dyDescent="0.25">
      <c r="EC165" s="31"/>
      <c r="ED165" s="31"/>
    </row>
    <row r="166" ht="15.5" customHeight="1" spans="133:134" x14ac:dyDescent="0.25">
      <c r="EC166" s="31"/>
      <c r="ED166" s="31"/>
    </row>
    <row r="167" ht="15.5" customHeight="1" spans="133:134" x14ac:dyDescent="0.25">
      <c r="EC167" s="31"/>
      <c r="ED167" s="31"/>
    </row>
    <row r="168" ht="15.5" customHeight="1" spans="133:134" x14ac:dyDescent="0.25">
      <c r="EC168" s="31"/>
      <c r="ED168" s="31"/>
    </row>
    <row r="169" ht="15.5" customHeight="1" spans="133:134" x14ac:dyDescent="0.25">
      <c r="EC169" s="31"/>
      <c r="ED169" s="31"/>
    </row>
    <row r="170" ht="15.5" customHeight="1" spans="133:134" x14ac:dyDescent="0.25">
      <c r="EC170" s="31"/>
      <c r="ED170" s="31"/>
    </row>
    <row r="171" ht="15.5" customHeight="1" spans="133:134" x14ac:dyDescent="0.25">
      <c r="EC171" s="31"/>
      <c r="ED171" s="31"/>
    </row>
    <row r="172" ht="15.5" customHeight="1" spans="133:134" x14ac:dyDescent="0.25">
      <c r="EC172" s="31"/>
      <c r="ED172" s="31"/>
    </row>
    <row r="173" ht="15.5" customHeight="1" spans="133:134" x14ac:dyDescent="0.25">
      <c r="EC173" s="31"/>
      <c r="ED173" s="31"/>
    </row>
    <row r="174" ht="15.5" customHeight="1" spans="133:134" x14ac:dyDescent="0.25">
      <c r="EC174" s="31"/>
      <c r="ED174" s="31"/>
    </row>
    <row r="175" ht="15.5" customHeight="1" spans="133:134" x14ac:dyDescent="0.25">
      <c r="EC175" s="31"/>
      <c r="ED175" s="31"/>
    </row>
    <row r="176" ht="15.5" customHeight="1" spans="133:134" x14ac:dyDescent="0.25">
      <c r="EC176" s="31"/>
      <c r="ED176" s="31"/>
    </row>
    <row r="177" ht="15.5" customHeight="1" spans="133:134" x14ac:dyDescent="0.25">
      <c r="EC177" s="31"/>
      <c r="ED177" s="31"/>
    </row>
    <row r="178" ht="15.5" customHeight="1" spans="133:134" x14ac:dyDescent="0.25">
      <c r="EC178" s="31"/>
      <c r="ED178" s="31"/>
    </row>
    <row r="179" ht="15.5" customHeight="1" spans="133:134" x14ac:dyDescent="0.25">
      <c r="EC179" s="31"/>
      <c r="ED179" s="31"/>
    </row>
    <row r="180" ht="15.5" customHeight="1" spans="133:134" x14ac:dyDescent="0.25">
      <c r="EC180" s="31"/>
      <c r="ED180" s="31"/>
    </row>
    <row r="181" ht="15.5" customHeight="1" spans="133:134" x14ac:dyDescent="0.25">
      <c r="EC181" s="31"/>
      <c r="ED181" s="31"/>
    </row>
    <row r="182" ht="15.5" customHeight="1" spans="133:134" x14ac:dyDescent="0.25">
      <c r="EC182" s="31"/>
      <c r="ED182" s="31"/>
    </row>
    <row r="183" ht="15.5" customHeight="1" spans="133:134" x14ac:dyDescent="0.25">
      <c r="EC183" s="31"/>
      <c r="ED183" s="31"/>
    </row>
    <row r="184" ht="15.5" customHeight="1" spans="133:134" x14ac:dyDescent="0.25">
      <c r="EC184" s="31"/>
      <c r="ED184" s="31"/>
    </row>
    <row r="185" ht="15.5" customHeight="1" spans="133:134" x14ac:dyDescent="0.25">
      <c r="EC185" s="31"/>
      <c r="ED185" s="31"/>
    </row>
    <row r="186" ht="15.5" customHeight="1" spans="133:134" x14ac:dyDescent="0.25">
      <c r="EC186" s="31"/>
      <c r="ED186" s="31"/>
    </row>
    <row r="187" ht="15.5" customHeight="1" spans="133:134" x14ac:dyDescent="0.25">
      <c r="EC187" s="31"/>
      <c r="ED187" s="31"/>
    </row>
    <row r="188" ht="15.5" customHeight="1" spans="133:134" x14ac:dyDescent="0.25">
      <c r="EC188" s="31"/>
      <c r="ED188" s="31"/>
    </row>
    <row r="195" ht="15.5" customHeight="1" spans="133:134" x14ac:dyDescent="0.25">
      <c r="EC195" s="31"/>
      <c r="ED195" s="31"/>
    </row>
    <row r="196" ht="15.5" customHeight="1" spans="133:134" x14ac:dyDescent="0.25">
      <c r="EC196" s="31"/>
      <c r="ED196" s="31"/>
    </row>
    <row r="197" ht="15.5" customHeight="1" spans="133:134" x14ac:dyDescent="0.25">
      <c r="EC197" s="31"/>
      <c r="ED197" s="31"/>
    </row>
    <row r="198" ht="15.5" customHeight="1" spans="133:134" x14ac:dyDescent="0.25">
      <c r="EC198" s="31"/>
      <c r="ED198" s="31"/>
    </row>
    <row r="199" ht="15.5" customHeight="1" spans="133:134" x14ac:dyDescent="0.25">
      <c r="EC199" s="31"/>
      <c r="ED199" s="31"/>
    </row>
    <row r="200" ht="15.5" customHeight="1" spans="133:134" x14ac:dyDescent="0.25">
      <c r="EC200" s="31"/>
      <c r="ED200" s="31"/>
    </row>
    <row r="201" ht="15.5" customHeight="1" spans="133:134" x14ac:dyDescent="0.25">
      <c r="EC201" s="31"/>
      <c r="ED201" s="31"/>
    </row>
    <row r="202" ht="15.5" customHeight="1" spans="133:134" x14ac:dyDescent="0.25">
      <c r="EC202" s="31"/>
      <c r="ED202" s="31"/>
    </row>
    <row r="203" ht="15.5" customHeight="1" spans="133:134" x14ac:dyDescent="0.25">
      <c r="EC203" s="31"/>
      <c r="ED203" s="31"/>
    </row>
    <row r="204" ht="15.5" customHeight="1" spans="133:134" x14ac:dyDescent="0.25">
      <c r="EC204" s="31"/>
      <c r="ED204" s="31"/>
    </row>
    <row r="205" ht="15.5" customHeight="1" spans="133:134" x14ac:dyDescent="0.25">
      <c r="EC205" s="31"/>
      <c r="ED205" s="31"/>
    </row>
    <row r="206" ht="15.5" customHeight="1" spans="133:134" x14ac:dyDescent="0.25">
      <c r="EC206" s="31"/>
      <c r="ED206" s="31"/>
    </row>
    <row r="207" ht="15.5" customHeight="1" spans="133:134" x14ac:dyDescent="0.25">
      <c r="EC207" s="31"/>
      <c r="ED207" s="31"/>
    </row>
    <row r="208" ht="15.5" customHeight="1" spans="133:134" x14ac:dyDescent="0.25">
      <c r="EC208" s="31"/>
      <c r="ED208" s="31"/>
    </row>
    <row r="209" ht="15.5" customHeight="1" spans="133:134" x14ac:dyDescent="0.25">
      <c r="EC209" s="31"/>
      <c r="ED209" s="31"/>
    </row>
    <row r="210" ht="15.5" customHeight="1" spans="133:134" x14ac:dyDescent="0.25">
      <c r="EC210" s="31"/>
      <c r="ED210" s="31"/>
    </row>
    <row r="211" ht="15.5" customHeight="1" spans="133:134" x14ac:dyDescent="0.25">
      <c r="EC211" s="31"/>
      <c r="ED211" s="31"/>
    </row>
    <row r="212" ht="15.5" customHeight="1" spans="133:134" x14ac:dyDescent="0.25">
      <c r="EC212" s="31"/>
      <c r="ED212" s="31"/>
    </row>
    <row r="213" ht="15.5" customHeight="1" spans="133:134" x14ac:dyDescent="0.25">
      <c r="EC213" s="31"/>
      <c r="ED213" s="31"/>
    </row>
    <row r="214" ht="15.5" customHeight="1" spans="133:134" x14ac:dyDescent="0.25">
      <c r="EC214" s="31"/>
      <c r="ED214" s="31"/>
    </row>
    <row r="215" ht="15.5" customHeight="1" spans="133:134" x14ac:dyDescent="0.25">
      <c r="EC215" s="31"/>
      <c r="ED215" s="31"/>
    </row>
    <row r="216" ht="15.5" customHeight="1" spans="133:134" x14ac:dyDescent="0.25">
      <c r="EC216" s="31"/>
      <c r="ED216" s="31"/>
    </row>
    <row r="217" ht="15.5" customHeight="1" spans="133:134" x14ac:dyDescent="0.25">
      <c r="EC217" s="31"/>
      <c r="ED217" s="31"/>
    </row>
    <row r="218" ht="15.5" customHeight="1" spans="133:134" x14ac:dyDescent="0.25">
      <c r="EC218" s="31"/>
      <c r="ED218" s="31"/>
    </row>
    <row r="219" ht="15.5" customHeight="1" spans="133:134" x14ac:dyDescent="0.25">
      <c r="EC219" s="31"/>
      <c r="ED219" s="31"/>
    </row>
    <row r="220" ht="15.5" customHeight="1" spans="133:134" x14ac:dyDescent="0.25">
      <c r="EC220" s="31"/>
      <c r="ED220" s="31"/>
    </row>
    <row r="221" ht="15.5" customHeight="1" spans="133:134" x14ac:dyDescent="0.25">
      <c r="EC221" s="31"/>
      <c r="ED221" s="31"/>
    </row>
    <row r="222" ht="15.5" customHeight="1" spans="133:134" x14ac:dyDescent="0.25">
      <c r="EC222" s="31"/>
      <c r="ED222" s="31"/>
    </row>
    <row r="223" ht="15.5" customHeight="1" spans="133:134" x14ac:dyDescent="0.25">
      <c r="EC223" s="31"/>
      <c r="ED223" s="31"/>
    </row>
    <row r="224" ht="15.5" customHeight="1" spans="133:134" x14ac:dyDescent="0.25">
      <c r="EC224" s="31"/>
      <c r="ED224" s="31"/>
    </row>
    <row r="225" ht="15.5" customHeight="1" spans="133:134" x14ac:dyDescent="0.25">
      <c r="EC225" s="31"/>
      <c r="ED225" s="31"/>
    </row>
    <row r="226" ht="15.5" customHeight="1" spans="133:134" x14ac:dyDescent="0.25">
      <c r="EC226" s="31"/>
      <c r="ED226" s="31"/>
    </row>
    <row r="227" ht="15.5" customHeight="1" spans="133:134" x14ac:dyDescent="0.25">
      <c r="EC227" s="31"/>
      <c r="ED227" s="31"/>
    </row>
    <row r="228" ht="15.5" customHeight="1" spans="133:134" x14ac:dyDescent="0.25">
      <c r="EC228" s="31"/>
      <c r="ED228" s="31"/>
    </row>
    <row r="229" ht="15.5" customHeight="1" spans="133:134" x14ac:dyDescent="0.25">
      <c r="EC229" s="31"/>
      <c r="ED229" s="31"/>
    </row>
    <row r="230" ht="15.5" customHeight="1" spans="133:134" x14ac:dyDescent="0.25">
      <c r="EC230" s="31"/>
      <c r="ED230" s="31"/>
    </row>
    <row r="231" ht="15.5" customHeight="1" spans="133:134" x14ac:dyDescent="0.25">
      <c r="EC231" s="31"/>
      <c r="ED231" s="31"/>
    </row>
    <row r="232" ht="15.5" customHeight="1" spans="133:134" x14ac:dyDescent="0.25">
      <c r="EC232" s="31"/>
      <c r="ED232" s="31"/>
    </row>
    <row r="233" ht="15.5" customHeight="1" spans="133:134" x14ac:dyDescent="0.25">
      <c r="EC233" s="31"/>
      <c r="ED233" s="31"/>
    </row>
    <row r="235" ht="15.5" customHeight="1" spans="53:54" x14ac:dyDescent="0.25">
      <c r="BA235" s="101"/>
      <c r="BB235" s="102"/>
    </row>
    <row r="481" ht="15" customHeight="1" spans="81:81" x14ac:dyDescent="0.25">
      <c r="CC481" s="103">
        <f>РЕЗУЛЬТАТЫ!AB37</f>
        <v>0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55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02"/>
  <sheetViews>
    <sheetView workbookViewId="0" zoomScale="60" zoomScaleNormal="60">
      <selection activeCell="B81" sqref="B81"/>
    </sheetView>
  </sheetViews>
  <sheetFormatPr defaultRowHeight="14.5" outlineLevelRow="0" outlineLevelCol="0" x14ac:dyDescent="0" defaultColWidth="8.83203125" customHeight="1"/>
  <cols>
    <col min="2" max="2" width="10.6640625" customWidth="1"/>
    <col min="8" max="8" width="9.33203125" customWidth="1"/>
    <col min="9" max="9" width="10.5" customWidth="1"/>
    <col min="10" max="10" width="11.33203125" customWidth="1"/>
    <col min="11" max="13" width="11.1640625" customWidth="1"/>
    <col min="14" max="14" width="10.1640625" customWidth="1"/>
    <col min="15" max="18" width="9.33203125" customWidth="1"/>
    <col min="19" max="19" width="10.6640625" customWidth="1"/>
    <col min="20" max="21" width="9.33203125" customWidth="1"/>
    <col min="22" max="22" width="10.6640625" customWidth="1"/>
    <col min="26" max="26" width="9.5" customWidth="1"/>
    <col min="28" max="28" width="11.1640625" customWidth="1"/>
    <col min="29" max="29" width="10.33203125" customWidth="1"/>
    <col min="33" max="33" width="10" customWidth="1"/>
    <col min="34" max="34" width="10.6640625" customWidth="1"/>
    <col min="35" max="36" width="11" customWidth="1"/>
    <col min="37" max="37" width="9.5" customWidth="1"/>
    <col min="40" max="40" width="9.5" customWidth="1"/>
    <col min="45" max="45" width="10.5" customWidth="1"/>
    <col min="46" max="47" width="12.33203125" customWidth="1"/>
    <col min="49" max="49" width="10.83203125" customWidth="1"/>
    <col min="57" max="57" width="10.33203125" customWidth="1"/>
    <col min="59" max="59" width="10.6640625" customWidth="1"/>
  </cols>
  <sheetData>
    <row r="2" ht="17.5" customHeight="1" spans="11:66" x14ac:dyDescent="0.25">
      <c r="K2" s="1548"/>
      <c r="L2" s="1549" t="s">
        <v>1457</v>
      </c>
      <c r="M2" s="1549"/>
      <c r="N2" s="1548"/>
      <c r="O2" s="1548"/>
      <c r="BN2" s="1550"/>
    </row>
    <row r="4" ht="15" customHeight="1" spans="4:110" x14ac:dyDescent="0.25">
      <c r="D4" s="1551" t="s">
        <v>1458</v>
      </c>
      <c r="E4" s="1552"/>
      <c r="F4" s="1552"/>
      <c r="G4" s="1552"/>
      <c r="H4" s="1552"/>
      <c r="I4" s="1552"/>
      <c r="J4" s="1552"/>
      <c r="K4" s="1344"/>
      <c r="BN4" s="1550"/>
      <c r="BO4" s="1550"/>
      <c r="BS4" s="1550"/>
      <c r="BW4" s="1550"/>
      <c r="CX4" s="15">
        <v>1992</v>
      </c>
      <c r="CY4" s="15">
        <v>1995</v>
      </c>
      <c r="CZ4" s="15">
        <v>2000</v>
      </c>
      <c r="DA4" s="15">
        <v>2002</v>
      </c>
      <c r="DB4" s="15">
        <v>2003</v>
      </c>
      <c r="DC4" s="15">
        <v>2004</v>
      </c>
      <c r="DD4" s="15">
        <v>2005</v>
      </c>
      <c r="DE4" s="15">
        <v>2006</v>
      </c>
      <c r="DF4" s="15">
        <v>2007</v>
      </c>
    </row>
    <row r="5" ht="15" customHeight="1" spans="2:101" x14ac:dyDescent="0.25">
      <c r="B5" s="1548"/>
      <c r="C5" s="1548"/>
      <c r="J5" t="s">
        <v>1459</v>
      </c>
      <c r="BO5" s="1550"/>
      <c r="BP5" s="1550"/>
      <c r="BS5" s="1550"/>
      <c r="BT5" s="1550"/>
      <c r="BW5" s="1550"/>
      <c r="BX5" s="1550"/>
      <c r="CW5" s="15" t="s">
        <v>1460</v>
      </c>
    </row>
    <row r="6" ht="22.5" customHeight="1" spans="9:110" x14ac:dyDescent="0.25">
      <c r="I6" s="1553" t="s">
        <v>273</v>
      </c>
      <c r="J6" t="s">
        <v>1461</v>
      </c>
      <c r="K6" s="1469" t="s">
        <v>1462</v>
      </c>
      <c r="L6" s="1469" t="s">
        <v>1463</v>
      </c>
      <c r="P6" t="s">
        <v>1464</v>
      </c>
      <c r="Q6" t="s">
        <v>1464</v>
      </c>
      <c r="R6" s="1469" t="s">
        <v>292</v>
      </c>
      <c r="S6" s="1469" t="s">
        <v>292</v>
      </c>
      <c r="T6" s="1469" t="s">
        <v>983</v>
      </c>
      <c r="U6" t="s">
        <v>1465</v>
      </c>
      <c r="V6" s="1469" t="s">
        <v>1462</v>
      </c>
      <c r="W6" s="1469" t="s">
        <v>983</v>
      </c>
      <c r="X6" t="s">
        <v>1465</v>
      </c>
      <c r="Y6" s="1469" t="s">
        <v>1462</v>
      </c>
      <c r="Z6" s="1469" t="s">
        <v>983</v>
      </c>
      <c r="AA6" s="25"/>
      <c r="AB6" t="s">
        <v>1466</v>
      </c>
      <c r="AH6" s="1554" t="s">
        <v>159</v>
      </c>
      <c r="AI6" s="1555" t="s">
        <v>1467</v>
      </c>
      <c r="AJ6" s="1555" t="s">
        <v>983</v>
      </c>
      <c r="AK6" s="1555" t="s">
        <v>1468</v>
      </c>
      <c r="AL6" s="1555" t="s">
        <v>983</v>
      </c>
      <c r="AM6" s="1555" t="s">
        <v>1469</v>
      </c>
      <c r="AN6" s="1556" t="s">
        <v>983</v>
      </c>
      <c r="AP6" s="1309" t="s">
        <v>1470</v>
      </c>
      <c r="AQ6" s="1309" t="s">
        <v>1470</v>
      </c>
      <c r="AR6" s="153" t="s">
        <v>1471</v>
      </c>
      <c r="AS6" s="1557" t="s">
        <v>159</v>
      </c>
      <c r="AT6" s="1533" t="s">
        <v>1472</v>
      </c>
      <c r="AU6" s="1309" t="s">
        <v>983</v>
      </c>
      <c r="AV6" s="1309" t="s">
        <v>1473</v>
      </c>
      <c r="AW6" s="1309" t="s">
        <v>983</v>
      </c>
      <c r="AX6" s="1309" t="s">
        <v>1474</v>
      </c>
      <c r="AY6" s="1309" t="s">
        <v>1475</v>
      </c>
      <c r="AZ6" s="1558" t="s">
        <v>983</v>
      </c>
      <c r="BC6" s="1559" t="s">
        <v>1476</v>
      </c>
      <c r="BD6" s="1560" t="s">
        <v>1476</v>
      </c>
      <c r="BE6" s="1557" t="s">
        <v>159</v>
      </c>
      <c r="BP6" s="1550" t="s">
        <v>1477</v>
      </c>
      <c r="BQ6" s="1550" t="s">
        <v>1478</v>
      </c>
      <c r="BR6" s="1550" t="s">
        <v>1479</v>
      </c>
      <c r="BT6" s="1550" t="s">
        <v>1477</v>
      </c>
      <c r="BU6" s="1550" t="s">
        <v>1480</v>
      </c>
      <c r="BV6" s="1550" t="s">
        <v>1479</v>
      </c>
      <c r="BX6" s="1550" t="s">
        <v>1477</v>
      </c>
      <c r="BY6" s="1550" t="s">
        <v>1480</v>
      </c>
      <c r="BZ6" s="1550" t="s">
        <v>1479</v>
      </c>
      <c r="CC6" s="1561" t="s">
        <v>1481</v>
      </c>
      <c r="CD6" s="1561"/>
      <c r="CE6" s="1561"/>
      <c r="CF6" s="1561"/>
      <c r="CG6" s="1561"/>
      <c r="CH6" s="1561"/>
      <c r="CW6" s="15" t="s">
        <v>1482</v>
      </c>
      <c r="CX6" s="1156">
        <v>75060</v>
      </c>
      <c r="CY6" s="1123">
        <v>70740</v>
      </c>
      <c r="CZ6" s="1123">
        <v>72332</v>
      </c>
      <c r="DA6" s="1123">
        <v>72421</v>
      </c>
      <c r="DB6" s="1123">
        <v>72835</v>
      </c>
      <c r="DC6" s="1123">
        <v>72909</v>
      </c>
      <c r="DD6" s="1123">
        <v>73811</v>
      </c>
      <c r="DE6" s="1123">
        <v>74156</v>
      </c>
      <c r="DF6" s="1119">
        <v>75046</v>
      </c>
    </row>
    <row r="7" ht="16.25" customHeight="1" spans="9:101" x14ac:dyDescent="0.25">
      <c r="I7" s="1562" t="s">
        <v>13</v>
      </c>
      <c r="J7" s="1563" t="s">
        <v>1483</v>
      </c>
      <c r="K7" s="1563" t="s">
        <v>1484</v>
      </c>
      <c r="L7" s="1563" t="s">
        <v>1485</v>
      </c>
      <c r="M7" s="1564" t="s">
        <v>1486</v>
      </c>
      <c r="N7" s="1565" t="s">
        <v>1487</v>
      </c>
      <c r="O7" s="1565" t="s">
        <v>1488</v>
      </c>
      <c r="P7" s="1563" t="s">
        <v>1489</v>
      </c>
      <c r="Q7" s="1563" t="s">
        <v>1490</v>
      </c>
      <c r="R7" s="1563" t="s">
        <v>1491</v>
      </c>
      <c r="S7" s="156" t="s">
        <v>1492</v>
      </c>
      <c r="T7" s="156" t="s">
        <v>1492</v>
      </c>
      <c r="U7" s="1563" t="s">
        <v>1493</v>
      </c>
      <c r="V7" s="156" t="s">
        <v>1494</v>
      </c>
      <c r="W7" s="156" t="s">
        <v>1494</v>
      </c>
      <c r="X7" s="1563" t="s">
        <v>1495</v>
      </c>
      <c r="Y7" s="156" t="s">
        <v>1496</v>
      </c>
      <c r="Z7" s="156" t="s">
        <v>1496</v>
      </c>
      <c r="AA7" s="1565" t="s">
        <v>1497</v>
      </c>
      <c r="AB7" s="1566" t="s">
        <v>1498</v>
      </c>
      <c r="AC7" s="1565" t="s">
        <v>1474</v>
      </c>
      <c r="AH7" s="1567">
        <v>40588</v>
      </c>
      <c r="AI7" s="844" t="s">
        <v>840</v>
      </c>
      <c r="AJ7" s="844" t="s">
        <v>840</v>
      </c>
      <c r="AK7" s="844" t="s">
        <v>840</v>
      </c>
      <c r="AL7" s="844" t="s">
        <v>840</v>
      </c>
      <c r="AM7" s="844" t="s">
        <v>840</v>
      </c>
      <c r="AN7" s="844" t="s">
        <v>840</v>
      </c>
      <c r="AP7" s="1568" t="s">
        <v>58</v>
      </c>
      <c r="AQ7" s="1555" t="s">
        <v>319</v>
      </c>
      <c r="AR7" s="1569" t="s">
        <v>58</v>
      </c>
      <c r="AS7" s="129">
        <v>41926</v>
      </c>
      <c r="AT7" s="1570" t="s">
        <v>58</v>
      </c>
      <c r="AU7" s="1571" t="s">
        <v>58</v>
      </c>
      <c r="AV7" s="1571" t="s">
        <v>58</v>
      </c>
      <c r="AW7" s="1571" t="s">
        <v>58</v>
      </c>
      <c r="AX7" s="844" t="s">
        <v>840</v>
      </c>
      <c r="AY7" s="843" t="s">
        <v>840</v>
      </c>
      <c r="AZ7" s="843" t="s">
        <v>840</v>
      </c>
      <c r="BC7" s="1572" t="s">
        <v>1499</v>
      </c>
      <c r="BD7" s="159" t="s">
        <v>1500</v>
      </c>
      <c r="BE7" s="129">
        <f>AS7</f>
        <v>41926</v>
      </c>
      <c r="BN7" s="15">
        <v>2015</v>
      </c>
      <c r="BO7" s="1573">
        <v>143464.6</v>
      </c>
      <c r="BP7">
        <v>-130.9</v>
      </c>
      <c r="BQ7">
        <v>-391.1</v>
      </c>
      <c r="BR7">
        <v>260.2</v>
      </c>
      <c r="BS7" s="1573">
        <v>143815</v>
      </c>
      <c r="BT7">
        <v>204.3</v>
      </c>
      <c r="BU7">
        <v>-120.5</v>
      </c>
      <c r="BV7">
        <v>324.8</v>
      </c>
      <c r="BW7" s="1573">
        <v>144115.7</v>
      </c>
      <c r="BX7">
        <v>503.1</v>
      </c>
      <c r="BY7">
        <v>113.7</v>
      </c>
      <c r="BZ7">
        <v>389.4</v>
      </c>
      <c r="CC7" s="1574"/>
      <c r="CW7" s="15" t="s">
        <v>1501</v>
      </c>
    </row>
    <row r="8" ht="19.5" customHeight="1" spans="1:110" x14ac:dyDescent="0.25">
      <c r="A8" s="1575"/>
      <c r="B8" s="1576" t="s">
        <v>1502</v>
      </c>
      <c r="C8" s="1576"/>
      <c r="D8" s="1576"/>
      <c r="E8" s="1576"/>
      <c r="F8" s="1576"/>
      <c r="I8" s="1577">
        <v>42309</v>
      </c>
      <c r="J8" s="843" t="s">
        <v>363</v>
      </c>
      <c r="K8" s="1544" t="s">
        <v>363</v>
      </c>
      <c r="L8" s="1578" t="s">
        <v>363</v>
      </c>
      <c r="M8" s="843" t="s">
        <v>363</v>
      </c>
      <c r="N8" s="1579" t="s">
        <v>866</v>
      </c>
      <c r="O8" s="843" t="s">
        <v>363</v>
      </c>
      <c r="P8" s="1580" t="s">
        <v>363</v>
      </c>
      <c r="Q8" s="1580" t="s">
        <v>363</v>
      </c>
      <c r="R8" s="1580" t="s">
        <v>363</v>
      </c>
      <c r="S8" s="1579" t="s">
        <v>866</v>
      </c>
      <c r="T8" s="1579" t="s">
        <v>866</v>
      </c>
      <c r="U8" s="1580" t="s">
        <v>363</v>
      </c>
      <c r="V8" s="1579" t="s">
        <v>866</v>
      </c>
      <c r="W8" s="1579" t="s">
        <v>866</v>
      </c>
      <c r="X8" s="1580" t="s">
        <v>363</v>
      </c>
      <c r="Y8" s="1579" t="s">
        <v>866</v>
      </c>
      <c r="Z8" s="1579" t="s">
        <v>866</v>
      </c>
      <c r="AA8" s="1579" t="s">
        <v>866</v>
      </c>
      <c r="AB8" s="1552" t="s">
        <v>363</v>
      </c>
      <c r="AC8" s="1344" t="s">
        <v>866</v>
      </c>
      <c r="AH8" s="1581">
        <v>1995</v>
      </c>
      <c r="AI8" s="1582">
        <f t="shared" ref="AI8:AI22" si="0">V14</f>
        <v>0.009190026954177897</v>
      </c>
      <c r="AJ8" s="1583"/>
      <c r="AK8" s="1584">
        <f t="shared" ref="AK8:AK22" si="1">Y14</f>
        <v>0.014850404312668465</v>
      </c>
      <c r="AL8" s="1583"/>
      <c r="AM8" s="1585">
        <f t="shared" ref="AM8:AM21" si="2">S14</f>
        <v>0.003385781671159029</v>
      </c>
      <c r="AN8" s="1583"/>
      <c r="AP8" s="254">
        <f t="array" ref="AP8:AP22">TRANSPOSE(ОТЧЁТ!U91:AI91)</f>
        <v>64.055</v>
      </c>
      <c r="AQ8" s="271">
        <f t="shared" ref="AQ8:AQ22" si="3">AV8-AR8</f>
        <v>64.056</v>
      </c>
      <c r="AR8" s="254">
        <f t="array" ref="AR8:AR25">TRANSPOSE(ОТЧЁТ!U93:AL93)</f>
        <v>6.684</v>
      </c>
      <c r="AS8" s="1497">
        <v>1995</v>
      </c>
      <c r="AT8" s="1586">
        <f t="array" ref="AT8:AT26">TRANSPOSE(ОТЧЁТ!U86:AL86)</f>
        <v>148.3</v>
      </c>
      <c r="AU8" s="1587">
        <f>AT8</f>
        <v>148.3</v>
      </c>
      <c r="AV8" s="1588">
        <f t="array" ref="AV8:AV26">TRANSPOSE(ОТЧЁТ!U97:AM97)</f>
        <v>70.74</v>
      </c>
      <c r="AW8" s="1589"/>
      <c r="AX8" s="1415">
        <f t="shared" ref="AX8:AX25" si="4">AV8/AT8</f>
        <v>0.4770060687795009</v>
      </c>
      <c r="AY8" s="1590">
        <f t="shared" ref="AY8:AY25" si="5">100*AX8</f>
        <v>47.700606877950094</v>
      </c>
      <c r="AZ8" s="1591"/>
      <c r="BC8" s="1592">
        <f t="shared" ref="BC8:BC26" si="6">AT8</f>
        <v>148.3</v>
      </c>
      <c r="BD8" s="1593">
        <f t="shared" ref="BD8:BD43" si="7">AX8</f>
        <v>0.4770060687795009</v>
      </c>
      <c r="BE8" s="1497">
        <v>1995</v>
      </c>
      <c r="BN8" s="15">
        <v>2016</v>
      </c>
      <c r="BO8" s="1150">
        <v>143333.7</v>
      </c>
      <c r="BP8">
        <v>-253.9</v>
      </c>
      <c r="BQ8">
        <v>-506.9</v>
      </c>
      <c r="BR8">
        <v>253</v>
      </c>
      <c r="BS8" s="1150">
        <v>144019.3</v>
      </c>
      <c r="BT8">
        <v>168.7</v>
      </c>
      <c r="BU8">
        <v>-165.9</v>
      </c>
      <c r="BV8">
        <v>334.6</v>
      </c>
      <c r="BW8" s="1150">
        <v>144618.8</v>
      </c>
      <c r="BX8">
        <v>549.8</v>
      </c>
      <c r="BY8">
        <v>134.1</v>
      </c>
      <c r="BZ8">
        <v>415.7</v>
      </c>
      <c r="CC8" s="1594" t="s">
        <v>1503</v>
      </c>
      <c r="CD8" s="1594" t="s">
        <v>1504</v>
      </c>
      <c r="CE8" s="1595" t="s">
        <v>1505</v>
      </c>
      <c r="CF8" s="1596"/>
      <c r="CG8" s="1595" t="s">
        <v>1506</v>
      </c>
      <c r="CH8" s="1596"/>
      <c r="CW8" s="15" t="s">
        <v>1507</v>
      </c>
      <c r="CX8" s="1156">
        <v>71171</v>
      </c>
      <c r="CY8" s="1123">
        <v>64055</v>
      </c>
      <c r="CZ8" s="1123">
        <v>65273</v>
      </c>
      <c r="DA8" s="1123">
        <v>66266</v>
      </c>
      <c r="DB8" s="1123">
        <v>67152</v>
      </c>
      <c r="DC8" s="1123">
        <v>67134</v>
      </c>
      <c r="DD8" s="1123">
        <v>68603</v>
      </c>
      <c r="DE8" s="1123">
        <v>69157</v>
      </c>
      <c r="DF8" s="1119">
        <v>70813</v>
      </c>
    </row>
    <row r="9" ht="15.5" customHeight="1" spans="1:110" x14ac:dyDescent="0.25">
      <c r="A9" s="1548">
        <v>1</v>
      </c>
      <c r="B9" t="s">
        <v>1508</v>
      </c>
      <c r="G9" s="279"/>
      <c r="H9" s="276">
        <v>0</v>
      </c>
      <c r="I9" s="1597">
        <v>1990</v>
      </c>
      <c r="J9" s="1598">
        <v>147.662</v>
      </c>
      <c r="K9" s="1599"/>
      <c r="P9" s="1600">
        <v>0.913223</v>
      </c>
      <c r="Q9" s="1600">
        <v>0.729467</v>
      </c>
      <c r="R9" s="1600">
        <v>0.18375600000000003</v>
      </c>
      <c r="S9" s="1601"/>
      <c r="T9" s="276"/>
      <c r="U9" s="1600">
        <v>1.988</v>
      </c>
      <c r="V9" s="1601"/>
      <c r="W9" s="276"/>
      <c r="X9" s="1600">
        <v>1.656</v>
      </c>
      <c r="Y9" s="1601"/>
      <c r="Z9" s="276"/>
      <c r="AA9" s="24"/>
      <c r="AB9" s="1359">
        <v>75.6472426</v>
      </c>
      <c r="AC9" s="1359">
        <v>0.5123</v>
      </c>
      <c r="AD9" s="1602">
        <v>1990</v>
      </c>
      <c r="AH9" s="1371">
        <v>1996</v>
      </c>
      <c r="AI9" s="1603">
        <f t="shared" si="0"/>
        <v>0.008797033041132838</v>
      </c>
      <c r="AJ9" s="1604"/>
      <c r="AK9" s="1605">
        <f t="shared" si="1"/>
        <v>0.01404045853000674</v>
      </c>
      <c r="AL9" s="1604"/>
      <c r="AM9" s="1606">
        <f t="shared" si="2"/>
        <v>0.0023165475387727577</v>
      </c>
      <c r="AN9" s="1604"/>
      <c r="AP9" s="254">
        <v>62.928</v>
      </c>
      <c r="AQ9" s="271">
        <f t="shared" si="3"/>
        <v>62.928</v>
      </c>
      <c r="AR9" s="254">
        <v>6.732</v>
      </c>
      <c r="AS9" s="1497">
        <v>1996</v>
      </c>
      <c r="AT9" s="1607">
        <v>148.3</v>
      </c>
      <c r="AU9" s="1608">
        <f t="shared" ref="AU9:AU22" si="8">AT8*(1+AI9-AK9+AM9)-0.03</f>
        <v>147.835944</v>
      </c>
      <c r="AV9" s="1609">
        <v>69.66</v>
      </c>
      <c r="AW9" s="1610"/>
      <c r="AX9" s="1611">
        <f t="shared" si="4"/>
        <v>0.4697235333782872</v>
      </c>
      <c r="AY9" s="1612">
        <f t="shared" si="5"/>
        <v>46.97235333782872</v>
      </c>
      <c r="AZ9" s="1265"/>
      <c r="BC9" s="1352">
        <f t="shared" si="6"/>
        <v>148.3</v>
      </c>
      <c r="BD9" s="1613">
        <f t="shared" si="7"/>
        <v>0.4697235333782872</v>
      </c>
      <c r="BE9" s="1497">
        <v>1996</v>
      </c>
      <c r="BN9" s="15">
        <v>2017</v>
      </c>
      <c r="BO9" s="1150">
        <v>143079.8</v>
      </c>
      <c r="BP9">
        <v>-352.4</v>
      </c>
      <c r="BQ9">
        <v>-599.7</v>
      </c>
      <c r="BR9">
        <v>247.3</v>
      </c>
      <c r="BS9" s="1150">
        <v>144188</v>
      </c>
      <c r="BT9">
        <v>136.2</v>
      </c>
      <c r="BU9">
        <v>-205.8</v>
      </c>
      <c r="BV9">
        <v>342</v>
      </c>
      <c r="BW9" s="1150">
        <v>145168.6</v>
      </c>
      <c r="BX9">
        <v>579.6</v>
      </c>
      <c r="BY9">
        <v>143.1</v>
      </c>
      <c r="BZ9">
        <v>436.5</v>
      </c>
      <c r="CC9" s="1614"/>
      <c r="CD9" s="1614" t="s">
        <v>1509</v>
      </c>
      <c r="CE9" s="1615"/>
      <c r="CF9" s="1616"/>
      <c r="CG9" s="1615"/>
      <c r="CH9" s="1616"/>
      <c r="CW9" s="15" t="s">
        <v>1256</v>
      </c>
      <c r="CX9" s="1156">
        <v>3889</v>
      </c>
      <c r="CY9" s="1123">
        <v>6684</v>
      </c>
      <c r="CZ9" s="1123">
        <v>7059</v>
      </c>
      <c r="DA9" s="1123">
        <v>6155</v>
      </c>
      <c r="DB9" s="1123">
        <v>5683</v>
      </c>
      <c r="DC9" s="1123">
        <v>5775</v>
      </c>
      <c r="DD9" s="1123">
        <v>5208</v>
      </c>
      <c r="DE9" s="1123">
        <v>4999</v>
      </c>
      <c r="DF9" s="1119">
        <v>4232</v>
      </c>
    </row>
    <row r="10" ht="15.75" customHeight="1" spans="1:110" x14ac:dyDescent="0.25">
      <c r="A10" s="1548"/>
      <c r="B10" t="s">
        <v>1510</v>
      </c>
      <c r="G10" s="279"/>
      <c r="H10" s="276">
        <v>1</v>
      </c>
      <c r="I10" s="1617">
        <v>1991</v>
      </c>
      <c r="J10" s="1618">
        <v>148.3</v>
      </c>
      <c r="K10" s="1619"/>
      <c r="P10" s="361">
        <v>0.692238</v>
      </c>
      <c r="Q10" s="361">
        <v>0.675497</v>
      </c>
      <c r="R10" s="361">
        <v>0.016741000000000006</v>
      </c>
      <c r="S10" s="1620">
        <v>0.00011337378607901834</v>
      </c>
      <c r="T10" s="276"/>
      <c r="U10" s="361">
        <v>1.794</v>
      </c>
      <c r="V10" s="1620">
        <v>0.012149368151589441</v>
      </c>
      <c r="W10" s="276"/>
      <c r="X10" s="361">
        <v>1.691</v>
      </c>
      <c r="Y10" s="1620">
        <v>0.01145182917744579</v>
      </c>
      <c r="Z10" s="276"/>
      <c r="AA10" s="24"/>
      <c r="AB10" s="1359">
        <v>75.97409</v>
      </c>
      <c r="AC10" s="1359">
        <v>0.5123</v>
      </c>
      <c r="AD10" s="1621">
        <v>1991</v>
      </c>
      <c r="AH10" s="1371">
        <v>1997</v>
      </c>
      <c r="AI10" s="1603">
        <f t="shared" si="0"/>
        <v>0.008495616992582602</v>
      </c>
      <c r="AJ10" s="1604"/>
      <c r="AK10" s="1605">
        <f t="shared" si="1"/>
        <v>0.013592717464598785</v>
      </c>
      <c r="AL10" s="1604"/>
      <c r="AM10" s="1606">
        <f t="shared" si="2"/>
        <v>0.002458961564396494</v>
      </c>
      <c r="AN10" s="1604"/>
      <c r="AP10" s="254">
        <v>60.021</v>
      </c>
      <c r="AQ10" s="271">
        <f t="shared" si="3"/>
        <v>60.020999999999994</v>
      </c>
      <c r="AR10" s="254">
        <v>8.058</v>
      </c>
      <c r="AS10" s="1497">
        <v>1997</v>
      </c>
      <c r="AT10" s="1607">
        <v>148</v>
      </c>
      <c r="AU10" s="1608">
        <f t="shared" si="8"/>
        <v>147.878764</v>
      </c>
      <c r="AV10" s="1609">
        <v>68.079</v>
      </c>
      <c r="AW10" s="1610"/>
      <c r="AX10" s="1611">
        <f t="shared" si="4"/>
        <v>0.4599932432432432</v>
      </c>
      <c r="AY10" s="1612">
        <f t="shared" si="5"/>
        <v>45.99932432432432</v>
      </c>
      <c r="AZ10" s="1265"/>
      <c r="BC10" s="1352">
        <f t="shared" si="6"/>
        <v>148</v>
      </c>
      <c r="BD10" s="1613">
        <f t="shared" si="7"/>
        <v>0.4599932432432432</v>
      </c>
      <c r="BE10" s="1497">
        <v>1997</v>
      </c>
      <c r="BN10" s="15">
        <v>2018</v>
      </c>
      <c r="BO10" s="1150">
        <v>142727.4</v>
      </c>
      <c r="BP10">
        <v>-454.4</v>
      </c>
      <c r="BQ10">
        <v>-697.1</v>
      </c>
      <c r="BR10">
        <v>242.7</v>
      </c>
      <c r="BS10" s="1150">
        <v>144324.2</v>
      </c>
      <c r="BT10">
        <v>92</v>
      </c>
      <c r="BU10">
        <v>-256.1</v>
      </c>
      <c r="BV10">
        <v>348.1</v>
      </c>
      <c r="BW10" s="1150">
        <v>145748.2</v>
      </c>
      <c r="BX10">
        <v>590.4</v>
      </c>
      <c r="BY10">
        <v>137.1</v>
      </c>
      <c r="BZ10">
        <v>453.3</v>
      </c>
      <c r="CC10" s="1622"/>
      <c r="CD10" s="1622" t="s">
        <v>1511</v>
      </c>
      <c r="CE10" s="1623" t="s">
        <v>1512</v>
      </c>
      <c r="CF10" s="1623" t="s">
        <v>1513</v>
      </c>
      <c r="CG10" s="1623" t="s">
        <v>1512</v>
      </c>
      <c r="CH10" s="1623" t="s">
        <v>1513</v>
      </c>
      <c r="CW10" s="15" t="s">
        <v>1514</v>
      </c>
      <c r="CX10">
        <v>39197</v>
      </c>
      <c r="CY10">
        <v>37338</v>
      </c>
      <c r="CZ10">
        <v>37499</v>
      </c>
      <c r="DA10">
        <v>36997</v>
      </c>
      <c r="DB10">
        <v>37206</v>
      </c>
      <c r="DC10">
        <v>37079</v>
      </c>
      <c r="DD10">
        <v>37511</v>
      </c>
      <c r="DE10">
        <v>37627</v>
      </c>
      <c r="DF10">
        <v>37967</v>
      </c>
    </row>
    <row r="11" ht="15.5" customHeight="1" spans="1:101" x14ac:dyDescent="0.25">
      <c r="A11" s="1548">
        <v>2</v>
      </c>
      <c r="B11" t="s">
        <v>1515</v>
      </c>
      <c r="G11" s="279"/>
      <c r="H11" s="276">
        <v>2</v>
      </c>
      <c r="I11" s="1617">
        <v>1992</v>
      </c>
      <c r="J11" s="1618">
        <v>148.6</v>
      </c>
      <c r="K11" s="1619"/>
      <c r="P11" s="361">
        <v>0.92602</v>
      </c>
      <c r="Q11" s="361">
        <v>0.673143</v>
      </c>
      <c r="R11" s="361">
        <v>0.1761</v>
      </c>
      <c r="S11" s="1620">
        <v>0.0011874578556979095</v>
      </c>
      <c r="T11" s="276"/>
      <c r="U11" s="361">
        <v>1.587</v>
      </c>
      <c r="V11" s="1620">
        <v>0.010701281186783545</v>
      </c>
      <c r="W11" s="276"/>
      <c r="X11" s="361">
        <v>1.807</v>
      </c>
      <c r="Y11" s="1620">
        <v>0.012184760620364126</v>
      </c>
      <c r="Z11" s="276"/>
      <c r="AA11" s="24"/>
      <c r="AB11">
        <v>74.946</v>
      </c>
      <c r="AC11" s="1359">
        <v>0.5043472409152087</v>
      </c>
      <c r="AD11" s="1621">
        <v>1992</v>
      </c>
      <c r="AH11" s="1371">
        <v>1998</v>
      </c>
      <c r="AI11" s="1603">
        <f t="shared" si="0"/>
        <v>0.008670945945945946</v>
      </c>
      <c r="AJ11" s="1604"/>
      <c r="AK11" s="1605">
        <f t="shared" si="1"/>
        <v>0.013437162162162161</v>
      </c>
      <c r="AL11" s="1604"/>
      <c r="AM11" s="1606">
        <f t="shared" si="2"/>
        <v>0.0020282027027027022</v>
      </c>
      <c r="AN11" s="1604"/>
      <c r="AP11" s="254">
        <v>58.437</v>
      </c>
      <c r="AQ11" s="271">
        <f t="shared" si="3"/>
        <v>58.437</v>
      </c>
      <c r="AR11" s="254">
        <v>8.902</v>
      </c>
      <c r="AS11" s="1497">
        <v>1998</v>
      </c>
      <c r="AT11" s="1607">
        <v>147.8</v>
      </c>
      <c r="AU11" s="1608">
        <f t="shared" si="8"/>
        <v>147.564774</v>
      </c>
      <c r="AV11" s="1609">
        <v>67.339</v>
      </c>
      <c r="AW11" s="1610"/>
      <c r="AX11" s="1611">
        <f t="shared" si="4"/>
        <v>0.45560893098782135</v>
      </c>
      <c r="AY11" s="1612">
        <f t="shared" si="5"/>
        <v>45.56089309878214</v>
      </c>
      <c r="AZ11" s="1265"/>
      <c r="BC11" s="1352">
        <f t="shared" si="6"/>
        <v>147.8</v>
      </c>
      <c r="BD11" s="1613">
        <f t="shared" si="7"/>
        <v>0.45560893098782135</v>
      </c>
      <c r="BE11" s="1497">
        <v>1998</v>
      </c>
      <c r="BN11" s="15">
        <v>2019</v>
      </c>
      <c r="BO11" s="1150">
        <v>142273</v>
      </c>
      <c r="BP11">
        <v>-536.9</v>
      </c>
      <c r="BQ11">
        <v>-775.7</v>
      </c>
      <c r="BR11">
        <v>238.8</v>
      </c>
      <c r="BS11" s="1150">
        <v>144416.2</v>
      </c>
      <c r="BT11">
        <v>57.1</v>
      </c>
      <c r="BU11">
        <v>-296.2</v>
      </c>
      <c r="BV11">
        <v>353.3</v>
      </c>
      <c r="BW11" s="1150">
        <v>146338.6</v>
      </c>
      <c r="BX11">
        <v>600.7</v>
      </c>
      <c r="BY11">
        <v>133.2</v>
      </c>
      <c r="BZ11">
        <v>467.5</v>
      </c>
      <c r="CC11" s="1624">
        <v>1926</v>
      </c>
      <c r="CD11" s="1625">
        <v>92.7</v>
      </c>
      <c r="CE11" s="1625">
        <v>44</v>
      </c>
      <c r="CF11" s="1625">
        <v>48.7</v>
      </c>
      <c r="CG11" s="1626">
        <v>47</v>
      </c>
      <c r="CH11" s="1626">
        <v>53</v>
      </c>
      <c r="CW11" s="15" t="s">
        <v>1501</v>
      </c>
    </row>
    <row r="12" ht="15.5" customHeight="1" spans="1:110" x14ac:dyDescent="0.25">
      <c r="A12" s="1548"/>
      <c r="B12" t="s">
        <v>1516</v>
      </c>
      <c r="G12" s="279"/>
      <c r="H12" s="276">
        <v>3</v>
      </c>
      <c r="I12" s="1617">
        <v>1993</v>
      </c>
      <c r="J12" s="1618">
        <v>148.6</v>
      </c>
      <c r="K12" s="1619"/>
      <c r="P12" s="361">
        <v>0.92328</v>
      </c>
      <c r="Q12" s="361">
        <v>0.483028</v>
      </c>
      <c r="R12" s="361">
        <v>0.440252</v>
      </c>
      <c r="S12" s="1620">
        <v>0.002962664872139973</v>
      </c>
      <c r="T12" s="276"/>
      <c r="U12" s="361">
        <v>1.379</v>
      </c>
      <c r="V12" s="1620">
        <v>0.009279946164199193</v>
      </c>
      <c r="W12" s="276"/>
      <c r="X12" s="361">
        <v>2.129</v>
      </c>
      <c r="Y12" s="1620">
        <v>0.014327052489905788</v>
      </c>
      <c r="Z12" s="276"/>
      <c r="AA12" s="24"/>
      <c r="AB12" s="1367"/>
      <c r="AC12" s="1359">
        <v>0</v>
      </c>
      <c r="AD12" s="1621">
        <v>1993</v>
      </c>
      <c r="AH12" s="1371">
        <v>1999</v>
      </c>
      <c r="AI12" s="1603">
        <f t="shared" si="0"/>
        <v>0.008218538565629227</v>
      </c>
      <c r="AJ12" s="1604"/>
      <c r="AK12" s="1605">
        <f t="shared" si="1"/>
        <v>0.014508119079837616</v>
      </c>
      <c r="AL12" s="1604"/>
      <c r="AM12" s="1606">
        <f t="shared" si="2"/>
        <v>0.0008741542625169149</v>
      </c>
      <c r="AN12" s="1604"/>
      <c r="AP12" s="254">
        <v>63.082</v>
      </c>
      <c r="AQ12" s="271">
        <f t="shared" si="3"/>
        <v>63.080999999999996</v>
      </c>
      <c r="AR12" s="254">
        <v>9.094</v>
      </c>
      <c r="AS12" s="1497">
        <v>1999</v>
      </c>
      <c r="AT12" s="1607">
        <v>147.5</v>
      </c>
      <c r="AU12" s="1608">
        <f t="shared" si="8"/>
        <v>146.9696</v>
      </c>
      <c r="AV12" s="1609">
        <v>72.175</v>
      </c>
      <c r="AW12" s="1610"/>
      <c r="AX12" s="1611">
        <f t="shared" si="4"/>
        <v>0.4893220338983051</v>
      </c>
      <c r="AY12" s="1612">
        <f t="shared" si="5"/>
        <v>48.932203389830505</v>
      </c>
      <c r="AZ12" s="1265"/>
      <c r="BC12" s="1352">
        <f t="shared" si="6"/>
        <v>147.5</v>
      </c>
      <c r="BD12" s="1613">
        <f t="shared" si="7"/>
        <v>0.4893220338983051</v>
      </c>
      <c r="BE12" s="1497">
        <v>1999</v>
      </c>
      <c r="BN12" s="15">
        <v>2020</v>
      </c>
      <c r="BO12" s="1150">
        <v>141736.1</v>
      </c>
      <c r="BP12">
        <v>-614.2</v>
      </c>
      <c r="BQ12">
        <v>-849.7</v>
      </c>
      <c r="BR12">
        <v>235.5</v>
      </c>
      <c r="BS12" s="1150">
        <v>144473.3</v>
      </c>
      <c r="BT12">
        <v>23.7</v>
      </c>
      <c r="BU12">
        <v>-334.1</v>
      </c>
      <c r="BV12">
        <v>357.8</v>
      </c>
      <c r="BW12" s="1150">
        <v>146939.3</v>
      </c>
      <c r="BX12">
        <v>609.6</v>
      </c>
      <c r="BY12">
        <v>129.9</v>
      </c>
      <c r="BZ12">
        <v>479.7</v>
      </c>
      <c r="CC12" s="1624">
        <v>1939</v>
      </c>
      <c r="CD12" s="1625">
        <v>108.4</v>
      </c>
      <c r="CE12" s="1625">
        <v>51.1</v>
      </c>
      <c r="CF12" s="1625">
        <v>57.3</v>
      </c>
      <c r="CG12" s="1626">
        <v>47</v>
      </c>
      <c r="CH12" s="1626">
        <v>53</v>
      </c>
      <c r="CW12" s="15" t="s">
        <v>1507</v>
      </c>
      <c r="CX12">
        <v>37161</v>
      </c>
      <c r="CY12">
        <v>33726</v>
      </c>
      <c r="CZ12">
        <v>33754</v>
      </c>
      <c r="DA12">
        <v>33709</v>
      </c>
      <c r="DB12">
        <v>34199</v>
      </c>
      <c r="DC12">
        <v>34177</v>
      </c>
      <c r="DD12">
        <v>34710</v>
      </c>
      <c r="DE12">
        <v>34996</v>
      </c>
      <c r="DF12">
        <v>35702</v>
      </c>
    </row>
    <row r="13" ht="16.25" customHeight="1" spans="1:110" x14ac:dyDescent="0.25">
      <c r="A13" s="1548">
        <v>3</v>
      </c>
      <c r="B13" t="s">
        <v>1517</v>
      </c>
      <c r="G13" s="279"/>
      <c r="H13" s="276">
        <v>4</v>
      </c>
      <c r="I13" s="1617">
        <v>1994</v>
      </c>
      <c r="J13" s="1618">
        <v>148.4</v>
      </c>
      <c r="K13" s="1619">
        <f>J13</f>
        <v>148.4</v>
      </c>
      <c r="M13" s="103">
        <f>K13</f>
        <v>148.4</v>
      </c>
      <c r="P13" s="361">
        <v>1.146735</v>
      </c>
      <c r="Q13" s="361">
        <v>0.337121</v>
      </c>
      <c r="R13" s="361">
        <v>0.8096140000000001</v>
      </c>
      <c r="S13" s="1620">
        <v>0.005448277254374159</v>
      </c>
      <c r="T13" s="276"/>
      <c r="U13" s="361">
        <v>1.408</v>
      </c>
      <c r="V13" s="1620">
        <v>0.009475100942126514</v>
      </c>
      <c r="W13" s="276"/>
      <c r="X13" s="361">
        <v>2.301</v>
      </c>
      <c r="Y13" s="1620">
        <v>0.015484522207267835</v>
      </c>
      <c r="Z13" s="276"/>
      <c r="AA13" s="24"/>
      <c r="AB13" s="1367"/>
      <c r="AC13" s="1359">
        <v>0</v>
      </c>
      <c r="AD13" s="1621">
        <v>1994</v>
      </c>
      <c r="AH13" s="1371">
        <v>2000</v>
      </c>
      <c r="AI13" s="1603">
        <f t="shared" si="0"/>
        <v>0.008588474576271186</v>
      </c>
      <c r="AJ13" s="1604"/>
      <c r="AK13" s="1605">
        <f t="shared" si="1"/>
        <v>0.015086779661016948</v>
      </c>
      <c r="AL13" s="1604"/>
      <c r="AM13" s="1606">
        <f t="shared" si="2"/>
        <v>0.0014482033898305085</v>
      </c>
      <c r="AN13" s="1604"/>
      <c r="AP13" s="254">
        <v>65.07</v>
      </c>
      <c r="AQ13" s="271">
        <f t="shared" si="3"/>
        <v>65.07</v>
      </c>
      <c r="AR13" s="271">
        <v>7.700000000000003</v>
      </c>
      <c r="AS13" s="1497">
        <v>2000</v>
      </c>
      <c r="AT13" s="1607">
        <v>146.3</v>
      </c>
      <c r="AU13" s="1608">
        <f t="shared" si="8"/>
        <v>146.72511</v>
      </c>
      <c r="AV13" s="1609">
        <v>72.77</v>
      </c>
      <c r="AW13" s="1610"/>
      <c r="AX13" s="1611">
        <f t="shared" si="4"/>
        <v>0.49740259740259735</v>
      </c>
      <c r="AY13" s="1612">
        <f t="shared" si="5"/>
        <v>49.74025974025974</v>
      </c>
      <c r="AZ13" s="1265"/>
      <c r="BC13" s="1352">
        <f t="shared" si="6"/>
        <v>146.3</v>
      </c>
      <c r="BD13" s="1613">
        <f t="shared" si="7"/>
        <v>0.49740259740259735</v>
      </c>
      <c r="BE13" s="1497">
        <v>2000</v>
      </c>
      <c r="BN13" s="15">
        <v>2021</v>
      </c>
      <c r="BO13" s="1150">
        <v>141121.9</v>
      </c>
      <c r="BP13">
        <v>-666.3</v>
      </c>
      <c r="BQ13">
        <v>-898.8</v>
      </c>
      <c r="BR13">
        <v>232.5</v>
      </c>
      <c r="BS13" s="1150">
        <v>144497</v>
      </c>
      <c r="BT13">
        <v>-0.2</v>
      </c>
      <c r="BU13">
        <v>-362</v>
      </c>
      <c r="BV13">
        <v>361.8</v>
      </c>
      <c r="BW13" s="1150">
        <v>147548.9</v>
      </c>
      <c r="BX13">
        <v>612.1</v>
      </c>
      <c r="BY13">
        <v>121.4</v>
      </c>
      <c r="BZ13">
        <v>490.7</v>
      </c>
      <c r="CC13" s="1624">
        <v>1959</v>
      </c>
      <c r="CD13" s="1625">
        <v>117.2</v>
      </c>
      <c r="CE13" s="1625">
        <v>52.2</v>
      </c>
      <c r="CF13" s="1625">
        <v>65</v>
      </c>
      <c r="CG13" s="1626">
        <v>45</v>
      </c>
      <c r="CH13" s="1626">
        <v>55</v>
      </c>
      <c r="CW13" s="15" t="s">
        <v>1256</v>
      </c>
      <c r="CX13">
        <v>2036</v>
      </c>
      <c r="CY13">
        <v>3613</v>
      </c>
      <c r="CZ13">
        <v>3745</v>
      </c>
      <c r="DA13">
        <v>3288</v>
      </c>
      <c r="DB13">
        <v>3007</v>
      </c>
      <c r="DC13">
        <v>2902</v>
      </c>
      <c r="DD13">
        <v>2801</v>
      </c>
      <c r="DE13">
        <v>2631</v>
      </c>
      <c r="DF13">
        <v>2264</v>
      </c>
    </row>
    <row r="14" ht="15.5" customHeight="1" spans="1:110" x14ac:dyDescent="0.25">
      <c r="A14" s="1548"/>
      <c r="B14" t="s">
        <v>1518</v>
      </c>
      <c r="G14" s="279"/>
      <c r="H14" s="276">
        <v>5</v>
      </c>
      <c r="I14" s="1617">
        <v>1995</v>
      </c>
      <c r="J14" s="1627">
        <f t="array" ref="J14:J35">TRANSPOSE(ОТЧЁТ!U86:AP86)</f>
        <v>148.3</v>
      </c>
      <c r="K14" s="1628">
        <f>J14</f>
        <v>148.3</v>
      </c>
      <c r="L14" s="1629">
        <f>J14</f>
        <v>148.3</v>
      </c>
      <c r="M14" s="270">
        <f t="shared" ref="M14:M27" si="9">M13+U14-X14+R14</f>
        <v>148.06245</v>
      </c>
      <c r="N14" s="1630">
        <f t="shared" ref="N14:N27" si="10">O14/J13</f>
        <v>0.0016007412398922239</v>
      </c>
      <c r="O14" s="271">
        <f t="shared" ref="O14:O27" si="11">J14-J13-U14+X14-R14</f>
        <v>0.23755000000000603</v>
      </c>
      <c r="P14" s="320">
        <v>0.84205</v>
      </c>
      <c r="Q14" s="320">
        <v>0.3396</v>
      </c>
      <c r="R14" s="320">
        <v>0.50245</v>
      </c>
      <c r="S14" s="375">
        <f t="shared" ref="S14:S27" si="12">R14/J13</f>
        <v>0.003385781671159029</v>
      </c>
      <c r="T14" s="375">
        <f>S14</f>
        <v>0.003385781671159029</v>
      </c>
      <c r="U14" s="320">
        <v>1.3638</v>
      </c>
      <c r="V14" s="375">
        <f t="shared" ref="V14:V28" si="13">U14/J13</f>
        <v>0.009190026954177897</v>
      </c>
      <c r="W14" s="375">
        <f>V14</f>
        <v>0.009190026954177897</v>
      </c>
      <c r="X14" s="320">
        <v>2.2038</v>
      </c>
      <c r="Y14" s="375">
        <f t="shared" ref="Y14:Y28" si="14">X14/J13</f>
        <v>0.014850404312668465</v>
      </c>
      <c r="Z14" s="375">
        <f>Y14</f>
        <v>0.014850404312668465</v>
      </c>
      <c r="AA14" s="24"/>
      <c r="AB14" s="1631">
        <v>70.74</v>
      </c>
      <c r="AC14" s="1632">
        <f>AB14/J14</f>
        <v>0.4770060687795009</v>
      </c>
      <c r="AD14" s="1633">
        <v>1995</v>
      </c>
      <c r="AH14" s="1371">
        <v>2001</v>
      </c>
      <c r="AI14" s="1603">
        <f t="shared" si="0"/>
        <v>0.00896514012303486</v>
      </c>
      <c r="AJ14" s="1604"/>
      <c r="AK14" s="1605">
        <f t="shared" si="1"/>
        <v>0.015412850307587149</v>
      </c>
      <c r="AL14" s="1604"/>
      <c r="AM14" s="1606">
        <f t="shared" si="2"/>
        <v>0.0004940806561859194</v>
      </c>
      <c r="AN14" s="1604"/>
      <c r="AP14" s="254">
        <v>65.123</v>
      </c>
      <c r="AQ14" s="271">
        <f t="shared" si="3"/>
        <v>65.123</v>
      </c>
      <c r="AR14" s="271">
        <v>6.421999999999997</v>
      </c>
      <c r="AS14" s="1497">
        <v>2001</v>
      </c>
      <c r="AT14" s="1607">
        <v>146.304</v>
      </c>
      <c r="AU14" s="1608">
        <f t="shared" si="8"/>
        <v>145.398984</v>
      </c>
      <c r="AV14" s="1609">
        <v>71.545</v>
      </c>
      <c r="AW14" s="1610"/>
      <c r="AX14" s="1611">
        <f t="shared" si="4"/>
        <v>0.48901602143482065</v>
      </c>
      <c r="AY14" s="1612">
        <f t="shared" si="5"/>
        <v>48.901602143482066</v>
      </c>
      <c r="AZ14" s="1265"/>
      <c r="BC14" s="1352">
        <f t="shared" si="6"/>
        <v>146.304</v>
      </c>
      <c r="BD14" s="1613">
        <f t="shared" si="7"/>
        <v>0.48901602143482065</v>
      </c>
      <c r="BE14" s="1497">
        <v>2001</v>
      </c>
      <c r="BN14" s="15">
        <v>2022</v>
      </c>
      <c r="BO14" s="1150">
        <v>140455.6</v>
      </c>
      <c r="BP14">
        <v>-713.9</v>
      </c>
      <c r="BQ14">
        <v>-943.7</v>
      </c>
      <c r="BR14">
        <v>229.8</v>
      </c>
      <c r="BS14" s="1150">
        <v>144496.8</v>
      </c>
      <c r="BT14">
        <v>-34.3</v>
      </c>
      <c r="BU14">
        <v>-399.6</v>
      </c>
      <c r="BV14">
        <v>365.3</v>
      </c>
      <c r="BW14" s="1150">
        <v>148161</v>
      </c>
      <c r="BX14">
        <v>596</v>
      </c>
      <c r="BY14">
        <v>95.8</v>
      </c>
      <c r="BZ14">
        <v>500.2</v>
      </c>
      <c r="CC14" s="1624">
        <v>1970</v>
      </c>
      <c r="CD14" s="1625">
        <v>129.9</v>
      </c>
      <c r="CE14" s="1625">
        <v>59.1</v>
      </c>
      <c r="CF14" s="1625">
        <v>70.8</v>
      </c>
      <c r="CG14" s="1626">
        <v>45</v>
      </c>
      <c r="CH14" s="1626">
        <v>55</v>
      </c>
      <c r="CW14" s="15" t="s">
        <v>1519</v>
      </c>
      <c r="CX14">
        <v>35863</v>
      </c>
      <c r="CY14">
        <v>33401</v>
      </c>
      <c r="CZ14">
        <v>34833</v>
      </c>
      <c r="DA14">
        <v>35423</v>
      </c>
      <c r="DB14">
        <v>35629</v>
      </c>
      <c r="DC14">
        <v>35831</v>
      </c>
      <c r="DD14">
        <v>36300</v>
      </c>
      <c r="DE14">
        <v>36529</v>
      </c>
      <c r="DF14">
        <v>37079</v>
      </c>
    </row>
    <row r="15" ht="15.5" customHeight="1" spans="1:101" x14ac:dyDescent="0.25">
      <c r="A15" s="1548">
        <v>4</v>
      </c>
      <c r="B15" t="s">
        <v>1520</v>
      </c>
      <c r="G15" s="279"/>
      <c r="H15" s="276">
        <v>6</v>
      </c>
      <c r="I15" s="1617">
        <v>1996</v>
      </c>
      <c r="J15" s="1618">
        <v>148.3</v>
      </c>
      <c r="K15" s="1634">
        <f t="shared" ref="K15:K29" si="15">K14*(1+W15-Z15+T15 +0.0009)</f>
        <v>147.999414</v>
      </c>
      <c r="L15" s="1635">
        <f t="shared" ref="L15:L35" si="16">J15</f>
        <v>148.3</v>
      </c>
      <c r="M15" s="270">
        <f t="shared" si="9"/>
        <v>147.62839400000001</v>
      </c>
      <c r="N15" s="1630">
        <f t="shared" si="10"/>
        <v>0.002926877950101145</v>
      </c>
      <c r="O15" s="271">
        <f t="shared" si="11"/>
        <v>0.43405599999999983</v>
      </c>
      <c r="P15" s="361">
        <v>0.631592</v>
      </c>
      <c r="Q15" s="361">
        <v>0.288048</v>
      </c>
      <c r="R15" s="361">
        <v>0.343544</v>
      </c>
      <c r="S15" s="1620">
        <f t="shared" si="12"/>
        <v>0.0023165475387727577</v>
      </c>
      <c r="T15" s="376">
        <f>S15</f>
        <v>0.0023165475387727577</v>
      </c>
      <c r="U15" s="361">
        <v>1.3046</v>
      </c>
      <c r="V15" s="1620">
        <f t="shared" si="13"/>
        <v>0.008797033041132838</v>
      </c>
      <c r="W15" s="376">
        <f>V15</f>
        <v>0.008797033041132838</v>
      </c>
      <c r="X15" s="361">
        <v>2.0822</v>
      </c>
      <c r="Y15" s="1620">
        <f t="shared" si="14"/>
        <v>0.01404045853000674</v>
      </c>
      <c r="Z15" s="376">
        <f>Y15</f>
        <v>0.01404045853000674</v>
      </c>
      <c r="AA15" s="24"/>
      <c r="AB15" s="1636">
        <v>69.66</v>
      </c>
      <c r="AC15" s="1637">
        <f>AB15/J15</f>
        <v>0.4697235333782872</v>
      </c>
      <c r="AD15" s="1638">
        <v>1996</v>
      </c>
      <c r="AH15" s="1371">
        <v>2002</v>
      </c>
      <c r="AI15" s="1603">
        <f t="shared" si="0"/>
        <v>0.009548611111111112</v>
      </c>
      <c r="AJ15" s="1604"/>
      <c r="AK15" s="1605">
        <f t="shared" si="1"/>
        <v>0.015941464348206473</v>
      </c>
      <c r="AL15" s="1604"/>
      <c r="AM15" s="1606">
        <f t="shared" si="2"/>
        <v>0.000532637521872266</v>
      </c>
      <c r="AN15" s="1604"/>
      <c r="AP15" s="254">
        <v>66.659</v>
      </c>
      <c r="AQ15" s="271">
        <f t="shared" si="3"/>
        <v>66.659</v>
      </c>
      <c r="AR15" s="271">
        <v>5.697999999999993</v>
      </c>
      <c r="AS15" s="1497">
        <v>2002</v>
      </c>
      <c r="AT15" s="1607">
        <v>145.17</v>
      </c>
      <c r="AU15" s="1608">
        <f t="shared" si="8"/>
        <v>145.416627</v>
      </c>
      <c r="AV15" s="1609">
        <v>72.357</v>
      </c>
      <c r="AW15" s="1610"/>
      <c r="AX15" s="1611">
        <f t="shared" si="4"/>
        <v>0.49842942756767933</v>
      </c>
      <c r="AY15" s="1612">
        <f t="shared" si="5"/>
        <v>49.84294275676793</v>
      </c>
      <c r="AZ15" s="1265"/>
      <c r="BC15" s="1352">
        <f t="shared" si="6"/>
        <v>145.17</v>
      </c>
      <c r="BD15" s="1613">
        <f t="shared" si="7"/>
        <v>0.49842942756767933</v>
      </c>
      <c r="BE15" s="1497">
        <v>2002</v>
      </c>
      <c r="BN15" s="15">
        <v>2023</v>
      </c>
      <c r="BO15" s="1150">
        <v>139741.7</v>
      </c>
      <c r="BP15">
        <v>-747.2</v>
      </c>
      <c r="BQ15">
        <v>-974.6</v>
      </c>
      <c r="BR15">
        <v>227.4</v>
      </c>
      <c r="BS15" s="1150">
        <v>144462.5</v>
      </c>
      <c r="BT15">
        <v>-63.7</v>
      </c>
      <c r="BU15">
        <v>-432.1</v>
      </c>
      <c r="BV15">
        <v>368.4</v>
      </c>
      <c r="BW15" s="1150">
        <v>148757</v>
      </c>
      <c r="BX15">
        <v>576.7</v>
      </c>
      <c r="BY15">
        <v>67.4</v>
      </c>
      <c r="BZ15">
        <v>509.3</v>
      </c>
      <c r="CC15" s="1624">
        <v>1979</v>
      </c>
      <c r="CD15" s="1625">
        <v>137.4</v>
      </c>
      <c r="CE15" s="1625">
        <v>63.2</v>
      </c>
      <c r="CF15" s="1625">
        <v>74.2</v>
      </c>
      <c r="CG15" s="1626">
        <v>46</v>
      </c>
      <c r="CH15" s="1626">
        <v>54</v>
      </c>
      <c r="CW15" s="15" t="s">
        <v>1501</v>
      </c>
    </row>
    <row r="16" ht="15.5" customHeight="1" spans="1:110" x14ac:dyDescent="0.25">
      <c r="A16" s="1548"/>
      <c r="B16" t="s">
        <v>1521</v>
      </c>
      <c r="G16" s="279"/>
      <c r="H16" s="276">
        <v>7</v>
      </c>
      <c r="I16" s="1617">
        <v>1997</v>
      </c>
      <c r="J16" s="1618">
        <v>148</v>
      </c>
      <c r="K16" s="1634">
        <f t="shared" si="15"/>
        <v>147.74217046022167</v>
      </c>
      <c r="L16" s="1635">
        <f t="shared" si="16"/>
        <v>148</v>
      </c>
      <c r="M16" s="270">
        <f t="shared" si="9"/>
        <v>147.237158</v>
      </c>
      <c r="N16" s="1630">
        <f t="shared" si="10"/>
        <v>0.0006152124072824585</v>
      </c>
      <c r="O16" s="271">
        <f t="shared" si="11"/>
        <v>0.0912359999999886</v>
      </c>
      <c r="P16" s="361">
        <v>0.597651</v>
      </c>
      <c r="Q16" s="361">
        <v>0.232987</v>
      </c>
      <c r="R16" s="361">
        <v>0.36466400000000004</v>
      </c>
      <c r="S16" s="1620">
        <f t="shared" si="12"/>
        <v>0.002458961564396494</v>
      </c>
      <c r="T16" s="376">
        <f t="shared" ref="T16:T27" si="17">S16</f>
        <v>0.002458961564396494</v>
      </c>
      <c r="U16" s="361">
        <v>1.2599</v>
      </c>
      <c r="V16" s="1620">
        <f t="shared" si="13"/>
        <v>0.008495616992582602</v>
      </c>
      <c r="W16" s="376">
        <f t="shared" ref="W16:W28" si="18">V16</f>
        <v>0.008495616992582602</v>
      </c>
      <c r="X16" s="361">
        <v>2.0158</v>
      </c>
      <c r="Y16" s="1620">
        <f t="shared" si="14"/>
        <v>0.013592717464598785</v>
      </c>
      <c r="Z16" s="376">
        <f t="shared" ref="Z16:Z28" si="19">Y16</f>
        <v>0.013592717464598785</v>
      </c>
      <c r="AA16" s="24"/>
      <c r="AB16" s="1636">
        <v>68.079</v>
      </c>
      <c r="AC16" s="1637">
        <f t="shared" ref="AC16:AC35" si="20">AB16/J16</f>
        <v>0.4599932432432432</v>
      </c>
      <c r="AD16" s="1638">
        <v>1997</v>
      </c>
      <c r="AH16" s="1371">
        <v>2003</v>
      </c>
      <c r="AI16" s="1603">
        <f t="shared" si="0"/>
        <v>0.010176344974857065</v>
      </c>
      <c r="AJ16" s="1604"/>
      <c r="AK16" s="1605">
        <f t="shared" si="1"/>
        <v>0.016296755528001656</v>
      </c>
      <c r="AL16" s="1604"/>
      <c r="AM16" s="1606">
        <f t="shared" si="2"/>
        <v>0.00024196459323551703</v>
      </c>
      <c r="AN16" s="1604"/>
      <c r="AP16" s="254">
        <v>66.339</v>
      </c>
      <c r="AQ16" s="271">
        <f t="shared" si="3"/>
        <v>66.339</v>
      </c>
      <c r="AR16" s="271">
        <v>5.9339999999999975</v>
      </c>
      <c r="AS16" s="1497">
        <v>2003</v>
      </c>
      <c r="AT16" s="1607">
        <v>144.2</v>
      </c>
      <c r="AU16" s="1608">
        <f t="shared" si="8"/>
        <v>144.28662599999998</v>
      </c>
      <c r="AV16" s="1609">
        <v>72.273</v>
      </c>
      <c r="AW16" s="1610"/>
      <c r="AX16" s="1611">
        <f t="shared" si="4"/>
        <v>0.5011997226074896</v>
      </c>
      <c r="AY16" s="1612">
        <f t="shared" si="5"/>
        <v>50.11997226074896</v>
      </c>
      <c r="AZ16" s="1265"/>
      <c r="BC16" s="1352">
        <f t="shared" si="6"/>
        <v>144.2</v>
      </c>
      <c r="BD16" s="1613">
        <f t="shared" si="7"/>
        <v>0.5011997226074896</v>
      </c>
      <c r="BE16" s="1497">
        <v>2003</v>
      </c>
      <c r="BN16" s="15">
        <v>2024</v>
      </c>
      <c r="BO16" s="1150">
        <v>138994.5</v>
      </c>
      <c r="BP16">
        <v>-779.2</v>
      </c>
      <c r="BQ16">
        <v>-1004.4</v>
      </c>
      <c r="BR16">
        <v>225.2</v>
      </c>
      <c r="BS16" s="1150">
        <v>144398.8</v>
      </c>
      <c r="BT16">
        <v>-94.3</v>
      </c>
      <c r="BU16">
        <v>-465.7</v>
      </c>
      <c r="BV16">
        <v>371.4</v>
      </c>
      <c r="BW16" s="1150">
        <v>149333.7</v>
      </c>
      <c r="BX16">
        <v>554.2</v>
      </c>
      <c r="BY16">
        <v>37.3</v>
      </c>
      <c r="BZ16">
        <v>516.9</v>
      </c>
      <c r="CC16" s="1624">
        <v>1989</v>
      </c>
      <c r="CD16" s="1625">
        <v>147</v>
      </c>
      <c r="CE16" s="1625">
        <v>68.7</v>
      </c>
      <c r="CF16" s="1625">
        <v>78.3</v>
      </c>
      <c r="CG16" s="1626">
        <v>47</v>
      </c>
      <c r="CH16" s="1626">
        <v>53</v>
      </c>
      <c r="CW16" s="15" t="s">
        <v>1507</v>
      </c>
      <c r="CX16">
        <v>34010</v>
      </c>
      <c r="CY16">
        <v>30330</v>
      </c>
      <c r="CZ16">
        <v>31519</v>
      </c>
      <c r="DA16">
        <v>32557</v>
      </c>
      <c r="DB16">
        <v>32953</v>
      </c>
      <c r="DC16">
        <v>32958</v>
      </c>
      <c r="DD16">
        <v>33893</v>
      </c>
      <c r="DE16">
        <v>34161</v>
      </c>
      <c r="DF16">
        <v>35111</v>
      </c>
    </row>
    <row r="17" ht="15.5" customHeight="1" spans="1:110" x14ac:dyDescent="0.25">
      <c r="A17" s="1548"/>
      <c r="B17" t="s">
        <v>1522</v>
      </c>
      <c r="G17" s="279"/>
      <c r="H17" s="276">
        <v>8</v>
      </c>
      <c r="I17" s="1617">
        <v>1998</v>
      </c>
      <c r="J17" s="1618">
        <v>147.8</v>
      </c>
      <c r="K17" s="1634">
        <f t="shared" si="15"/>
        <v>147.47061835439996</v>
      </c>
      <c r="L17" s="1635">
        <f t="shared" si="16"/>
        <v>147.8</v>
      </c>
      <c r="M17" s="270">
        <f t="shared" si="9"/>
        <v>146.831932</v>
      </c>
      <c r="N17" s="1630">
        <f t="shared" si="10"/>
        <v>0.0013866621621622382</v>
      </c>
      <c r="O17" s="271">
        <f t="shared" si="11"/>
        <v>0.20522600000001123</v>
      </c>
      <c r="P17" s="361">
        <v>0.513551</v>
      </c>
      <c r="Q17" s="361">
        <v>0.213377</v>
      </c>
      <c r="R17" s="361">
        <v>0.30017399999999994</v>
      </c>
      <c r="S17" s="1620">
        <f t="shared" si="12"/>
        <v>0.0020282027027027022</v>
      </c>
      <c r="T17" s="376">
        <f t="shared" si="17"/>
        <v>0.0020282027027027022</v>
      </c>
      <c r="U17" s="361">
        <v>1.2833</v>
      </c>
      <c r="V17" s="1620">
        <f t="shared" si="13"/>
        <v>0.008670945945945946</v>
      </c>
      <c r="W17" s="376">
        <f t="shared" si="18"/>
        <v>0.008670945945945946</v>
      </c>
      <c r="X17" s="361">
        <v>1.9887</v>
      </c>
      <c r="Y17" s="1620">
        <f t="shared" si="14"/>
        <v>0.013437162162162161</v>
      </c>
      <c r="Z17" s="376">
        <f t="shared" si="19"/>
        <v>0.013437162162162161</v>
      </c>
      <c r="AA17" s="24"/>
      <c r="AB17" s="1636">
        <v>67.339</v>
      </c>
      <c r="AC17" s="1637">
        <f t="shared" si="20"/>
        <v>0.45560893098782135</v>
      </c>
      <c r="AD17" s="1638">
        <v>1998</v>
      </c>
      <c r="AH17" s="1371">
        <v>2004</v>
      </c>
      <c r="AI17" s="1603">
        <f t="shared" si="0"/>
        <v>0.010419556171983356</v>
      </c>
      <c r="AJ17" s="1604"/>
      <c r="AK17" s="1605">
        <f t="shared" si="1"/>
        <v>0.015915395284327324</v>
      </c>
      <c r="AL17" s="1604"/>
      <c r="AM17" s="1606">
        <f t="shared" si="2"/>
        <v>0.00027296809986130375</v>
      </c>
      <c r="AN17" s="1604"/>
      <c r="AP17" s="254">
        <v>67.319</v>
      </c>
      <c r="AQ17" s="271">
        <f t="shared" si="3"/>
        <v>67.319</v>
      </c>
      <c r="AR17" s="271">
        <v>5.665999999999997</v>
      </c>
      <c r="AS17" s="1497">
        <v>2004</v>
      </c>
      <c r="AT17" s="1607">
        <v>143.5</v>
      </c>
      <c r="AU17" s="1608">
        <f t="shared" si="8"/>
        <v>143.41686199999998</v>
      </c>
      <c r="AV17" s="1609">
        <v>72.985</v>
      </c>
      <c r="AW17" s="1610"/>
      <c r="AX17" s="1611">
        <f t="shared" si="4"/>
        <v>0.5086062717770035</v>
      </c>
      <c r="AY17" s="1612">
        <f t="shared" si="5"/>
        <v>50.860627177700344</v>
      </c>
      <c r="AZ17" s="1265"/>
      <c r="BC17" s="1352">
        <f t="shared" si="6"/>
        <v>143.5</v>
      </c>
      <c r="BD17" s="1613">
        <f t="shared" si="7"/>
        <v>0.5086062717770035</v>
      </c>
      <c r="BE17" s="1497">
        <v>2004</v>
      </c>
      <c r="BN17" s="15">
        <v>2025</v>
      </c>
      <c r="BO17" s="1150">
        <v>138215.3</v>
      </c>
      <c r="BP17">
        <v>-817.9</v>
      </c>
      <c r="BQ17">
        <v>-1041.1</v>
      </c>
      <c r="BR17">
        <v>223.2</v>
      </c>
      <c r="BS17" s="1150">
        <v>144304.5</v>
      </c>
      <c r="BT17">
        <v>-126.6</v>
      </c>
      <c r="BU17">
        <v>-500.7</v>
      </c>
      <c r="BV17">
        <v>374.1</v>
      </c>
      <c r="BW17" s="1150">
        <v>149887.9</v>
      </c>
      <c r="BX17">
        <v>536</v>
      </c>
      <c r="BY17">
        <v>14.8</v>
      </c>
      <c r="BZ17">
        <v>521.2</v>
      </c>
      <c r="CC17" s="1624">
        <v>1991</v>
      </c>
      <c r="CD17" s="1625">
        <v>148.3</v>
      </c>
      <c r="CE17" s="1625">
        <v>69.5</v>
      </c>
      <c r="CF17" s="1625">
        <v>78.8</v>
      </c>
      <c r="CG17" s="1626">
        <v>47</v>
      </c>
      <c r="CH17" s="1626">
        <v>53</v>
      </c>
      <c r="CW17" s="15" t="s">
        <v>1256</v>
      </c>
      <c r="CX17">
        <v>1853</v>
      </c>
      <c r="CY17">
        <v>3072</v>
      </c>
      <c r="CZ17">
        <v>3314</v>
      </c>
      <c r="DA17">
        <v>2866</v>
      </c>
      <c r="DB17">
        <v>2676</v>
      </c>
      <c r="DC17">
        <v>2873</v>
      </c>
      <c r="DD17">
        <v>2407</v>
      </c>
      <c r="DE17">
        <v>2368</v>
      </c>
      <c r="DF17">
        <v>1968</v>
      </c>
    </row>
    <row r="18" ht="15.5" customHeight="1" spans="1:101" x14ac:dyDescent="0.25">
      <c r="A18" s="1548"/>
      <c r="B18" t="s">
        <v>1523</v>
      </c>
      <c r="G18" s="279"/>
      <c r="H18" s="276">
        <v>9</v>
      </c>
      <c r="I18" s="1617">
        <v>1999</v>
      </c>
      <c r="J18" s="1618">
        <v>147.5</v>
      </c>
      <c r="K18" s="1634">
        <f t="shared" si="15"/>
        <v>146.80472565292933</v>
      </c>
      <c r="L18" s="1635">
        <f t="shared" si="16"/>
        <v>147.5</v>
      </c>
      <c r="M18" s="270">
        <f t="shared" si="9"/>
        <v>146.031532</v>
      </c>
      <c r="N18" s="1630">
        <f t="shared" si="10"/>
        <v>0.003385656292286797</v>
      </c>
      <c r="O18" s="271">
        <f t="shared" si="11"/>
        <v>0.5003999999999886</v>
      </c>
      <c r="P18" s="361">
        <v>0.3672</v>
      </c>
      <c r="Q18" s="361">
        <v>0.238</v>
      </c>
      <c r="R18" s="361">
        <v>0.12920000000000004</v>
      </c>
      <c r="S18" s="1620">
        <f t="shared" si="12"/>
        <v>0.0008741542625169149</v>
      </c>
      <c r="T18" s="376">
        <f t="shared" si="17"/>
        <v>0.0008741542625169149</v>
      </c>
      <c r="U18" s="361">
        <v>1.2147</v>
      </c>
      <c r="V18" s="1620">
        <f t="shared" si="13"/>
        <v>0.008218538565629227</v>
      </c>
      <c r="W18" s="376">
        <f t="shared" si="18"/>
        <v>0.008218538565629227</v>
      </c>
      <c r="X18" s="361">
        <v>2.1443</v>
      </c>
      <c r="Y18" s="1620">
        <f t="shared" si="14"/>
        <v>0.014508119079837616</v>
      </c>
      <c r="Z18" s="376">
        <f t="shared" si="19"/>
        <v>0.014508119079837616</v>
      </c>
      <c r="AA18" s="24"/>
      <c r="AB18" s="1636">
        <v>72.175</v>
      </c>
      <c r="AC18" s="1637">
        <f t="shared" si="20"/>
        <v>0.4893220338983051</v>
      </c>
      <c r="AD18" s="1638">
        <v>1999</v>
      </c>
      <c r="AH18" s="1371">
        <v>2005</v>
      </c>
      <c r="AI18" s="1603">
        <f t="shared" si="0"/>
        <v>0.010968641114982578</v>
      </c>
      <c r="AJ18" s="1604"/>
      <c r="AK18" s="1605">
        <f t="shared" si="1"/>
        <v>0.01605574912891986</v>
      </c>
      <c r="AL18" s="1604"/>
      <c r="AM18" s="1606">
        <f t="shared" si="2"/>
        <v>0.0007486550522648083</v>
      </c>
      <c r="AN18" s="1604"/>
      <c r="AP18" s="254">
        <v>68.339</v>
      </c>
      <c r="AQ18" s="271">
        <f t="shared" si="3"/>
        <v>68.339</v>
      </c>
      <c r="AR18" s="271">
        <v>5.242000000000004</v>
      </c>
      <c r="AS18" s="1497">
        <v>2005</v>
      </c>
      <c r="AT18" s="1607">
        <v>142.8</v>
      </c>
      <c r="AU18" s="1608">
        <f t="shared" si="8"/>
        <v>142.847432</v>
      </c>
      <c r="AV18" s="1609">
        <v>73.581</v>
      </c>
      <c r="AW18" s="1610"/>
      <c r="AX18" s="1611">
        <f t="shared" si="4"/>
        <v>0.5152731092436975</v>
      </c>
      <c r="AY18" s="1612">
        <f t="shared" si="5"/>
        <v>51.52731092436975</v>
      </c>
      <c r="AZ18" s="1265"/>
      <c r="BC18" s="1352">
        <f t="shared" si="6"/>
        <v>142.8</v>
      </c>
      <c r="BD18" s="1613">
        <f t="shared" si="7"/>
        <v>0.5152731092436975</v>
      </c>
      <c r="BE18" s="1497">
        <v>2005</v>
      </c>
      <c r="BN18" s="15">
        <v>2026</v>
      </c>
      <c r="BO18" s="1150">
        <v>137397.3</v>
      </c>
      <c r="BP18">
        <v>-855.9</v>
      </c>
      <c r="BQ18">
        <v>-1077.2</v>
      </c>
      <c r="BR18">
        <v>221.3</v>
      </c>
      <c r="BS18" s="1150">
        <v>144177.9</v>
      </c>
      <c r="BT18">
        <v>-156.7</v>
      </c>
      <c r="BU18">
        <v>-533.3</v>
      </c>
      <c r="BV18">
        <v>376.6</v>
      </c>
      <c r="BW18" s="1150">
        <v>150423.9</v>
      </c>
      <c r="BX18">
        <v>520.6</v>
      </c>
      <c r="BY18">
        <v>-10.5</v>
      </c>
      <c r="BZ18">
        <v>531.1</v>
      </c>
      <c r="CC18" s="1624">
        <v>1996</v>
      </c>
      <c r="CD18" s="1625">
        <v>148.3</v>
      </c>
      <c r="CE18" s="1625">
        <v>69.5</v>
      </c>
      <c r="CF18" s="1625">
        <v>78.8</v>
      </c>
      <c r="CG18" s="1626">
        <v>47</v>
      </c>
      <c r="CH18" s="1626">
        <v>53</v>
      </c>
      <c r="CW18" s="15" t="s">
        <v>1524</v>
      </c>
    </row>
    <row r="19" ht="15.5" customHeight="1" spans="1:101" x14ac:dyDescent="0.25">
      <c r="A19" s="1548">
        <v>5</v>
      </c>
      <c r="B19" t="s">
        <v>1525</v>
      </c>
      <c r="G19" s="279"/>
      <c r="H19" s="276">
        <v>10</v>
      </c>
      <c r="I19" s="1617">
        <v>2000</v>
      </c>
      <c r="J19" s="1618">
        <v>146.3</v>
      </c>
      <c r="K19" s="1634">
        <f t="shared" si="15"/>
        <v>146.19547111217557</v>
      </c>
      <c r="L19" s="1635">
        <f t="shared" si="16"/>
        <v>146.3</v>
      </c>
      <c r="M19" s="270">
        <f t="shared" si="9"/>
        <v>145.28664199999997</v>
      </c>
      <c r="N19" s="1630">
        <f t="shared" si="10"/>
        <v>-0.003085491525423652</v>
      </c>
      <c r="O19" s="271">
        <f t="shared" si="11"/>
        <v>-0.4551099999999887</v>
      </c>
      <c r="P19" s="320">
        <v>0.35933</v>
      </c>
      <c r="Q19" s="320">
        <v>0.14572</v>
      </c>
      <c r="R19" s="320">
        <v>0.21361</v>
      </c>
      <c r="S19" s="1620">
        <f t="shared" si="12"/>
        <v>0.0014482033898305085</v>
      </c>
      <c r="T19" s="376">
        <f t="shared" si="17"/>
        <v>0.0014482033898305085</v>
      </c>
      <c r="U19" s="320">
        <v>1.2668</v>
      </c>
      <c r="V19" s="1620">
        <f t="shared" si="13"/>
        <v>0.008588474576271186</v>
      </c>
      <c r="W19" s="376">
        <f t="shared" si="18"/>
        <v>0.008588474576271186</v>
      </c>
      <c r="X19" s="320">
        <v>2.2253</v>
      </c>
      <c r="Y19" s="1620">
        <f t="shared" si="14"/>
        <v>0.015086779661016948</v>
      </c>
      <c r="Z19" s="376">
        <f t="shared" si="19"/>
        <v>0.015086779661016948</v>
      </c>
      <c r="AA19" s="24"/>
      <c r="AB19" s="1636">
        <v>72.77</v>
      </c>
      <c r="AC19" s="1637">
        <f t="shared" si="20"/>
        <v>0.49740259740259735</v>
      </c>
      <c r="AD19" s="1638">
        <v>2000</v>
      </c>
      <c r="AH19" s="1371">
        <v>2006</v>
      </c>
      <c r="AI19" s="1603">
        <f t="shared" si="0"/>
        <v>0.010361344537815126</v>
      </c>
      <c r="AJ19" s="1604"/>
      <c r="AK19" s="1605">
        <f t="shared" si="1"/>
        <v>0.015168067226890755</v>
      </c>
      <c r="AL19" s="1604"/>
      <c r="AM19" s="1606">
        <f t="shared" si="2"/>
        <v>0.0009266036414565825</v>
      </c>
      <c r="AN19" s="1604"/>
      <c r="AP19" s="254">
        <v>69.169</v>
      </c>
      <c r="AQ19" s="271">
        <f t="shared" si="3"/>
        <v>69.169</v>
      </c>
      <c r="AR19" s="271">
        <v>5.25</v>
      </c>
      <c r="AS19" s="1497">
        <v>2006</v>
      </c>
      <c r="AT19" s="1607">
        <v>142.2</v>
      </c>
      <c r="AU19" s="1608">
        <f t="shared" si="8"/>
        <v>142.215919</v>
      </c>
      <c r="AV19" s="1609">
        <v>74.419</v>
      </c>
      <c r="AW19" s="1610"/>
      <c r="AX19" s="1611">
        <f t="shared" si="4"/>
        <v>0.5233403656821378</v>
      </c>
      <c r="AY19" s="1612">
        <f t="shared" si="5"/>
        <v>52.33403656821378</v>
      </c>
      <c r="AZ19" s="1265"/>
      <c r="BC19" s="1352">
        <f t="shared" si="6"/>
        <v>142.2</v>
      </c>
      <c r="BD19" s="1613">
        <f t="shared" si="7"/>
        <v>0.5233403656821378</v>
      </c>
      <c r="BE19" s="1497">
        <v>2006</v>
      </c>
      <c r="BN19" s="15">
        <v>2027</v>
      </c>
      <c r="BO19" s="1150">
        <v>136541.4</v>
      </c>
      <c r="BP19">
        <v>-888.5</v>
      </c>
      <c r="BQ19">
        <v>-1108.1</v>
      </c>
      <c r="BR19">
        <v>219.6</v>
      </c>
      <c r="BS19" s="1150">
        <v>144021.2</v>
      </c>
      <c r="BT19">
        <v>-179.1</v>
      </c>
      <c r="BU19">
        <v>-558</v>
      </c>
      <c r="BV19">
        <v>378.9</v>
      </c>
      <c r="BW19" s="1150">
        <v>150944.5</v>
      </c>
      <c r="BX19">
        <v>515</v>
      </c>
      <c r="BY19">
        <v>-22.8</v>
      </c>
      <c r="BZ19">
        <v>537.8</v>
      </c>
      <c r="CC19" s="1624">
        <v>2001</v>
      </c>
      <c r="CD19" s="1625">
        <v>146.3</v>
      </c>
      <c r="CE19" s="1625">
        <v>68.3</v>
      </c>
      <c r="CF19" s="1625">
        <v>78</v>
      </c>
      <c r="CG19" s="1626">
        <v>47</v>
      </c>
      <c r="CH19" s="1626">
        <v>53</v>
      </c>
      <c r="CW19" s="15" t="s">
        <v>1526</v>
      </c>
    </row>
    <row r="20" ht="15.5" customHeight="1" spans="1:110" x14ac:dyDescent="0.25">
      <c r="A20" s="1548"/>
      <c r="B20" t="s">
        <v>1527</v>
      </c>
      <c r="G20" s="279"/>
      <c r="H20" s="276">
        <v>11</v>
      </c>
      <c r="I20" s="1617">
        <v>2001</v>
      </c>
      <c r="J20" s="1618">
        <v>146.304</v>
      </c>
      <c r="K20" s="1634">
        <f t="shared" si="15"/>
        <v>145.45665336244966</v>
      </c>
      <c r="L20" s="1635">
        <f t="shared" si="16"/>
        <v>146.304</v>
      </c>
      <c r="M20" s="270">
        <f t="shared" si="9"/>
        <v>144.41562599999997</v>
      </c>
      <c r="N20" s="1630">
        <f t="shared" si="10"/>
        <v>0.0059809706083389655</v>
      </c>
      <c r="O20" s="271">
        <f t="shared" si="11"/>
        <v>0.8750159999999907</v>
      </c>
      <c r="P20" s="361">
        <v>0.19345</v>
      </c>
      <c r="Q20" s="361">
        <v>0.121166</v>
      </c>
      <c r="R20" s="361">
        <v>0.07228400000000001</v>
      </c>
      <c r="S20" s="1620">
        <f t="shared" si="12"/>
        <v>0.0004940806561859194</v>
      </c>
      <c r="T20" s="376">
        <f t="shared" si="17"/>
        <v>0.0004940806561859194</v>
      </c>
      <c r="U20" s="361">
        <v>1.3116</v>
      </c>
      <c r="V20" s="1620">
        <f t="shared" si="13"/>
        <v>0.00896514012303486</v>
      </c>
      <c r="W20" s="376">
        <f t="shared" si="18"/>
        <v>0.00896514012303486</v>
      </c>
      <c r="X20" s="361">
        <v>2.2549</v>
      </c>
      <c r="Y20" s="1620">
        <f t="shared" si="14"/>
        <v>0.015412850307587149</v>
      </c>
      <c r="Z20" s="376">
        <f t="shared" si="19"/>
        <v>0.015412850307587149</v>
      </c>
      <c r="AA20" s="24"/>
      <c r="AB20" s="1636">
        <v>71.545</v>
      </c>
      <c r="AC20" s="1637">
        <f t="shared" si="20"/>
        <v>0.48901602143482065</v>
      </c>
      <c r="AD20" s="1638">
        <v>2001</v>
      </c>
      <c r="AH20" s="1371">
        <v>2007</v>
      </c>
      <c r="AI20" s="1603">
        <f t="shared" si="0"/>
        <v>0.011322784810126585</v>
      </c>
      <c r="AJ20" s="1604"/>
      <c r="AK20" s="1605">
        <f t="shared" si="1"/>
        <v>0.014630098452883265</v>
      </c>
      <c r="AL20" s="1604"/>
      <c r="AM20" s="1606">
        <f t="shared" si="2"/>
        <v>0.0016873628691983123</v>
      </c>
      <c r="AN20" s="1604"/>
      <c r="AP20" s="254">
        <v>70.77</v>
      </c>
      <c r="AQ20" s="271">
        <f t="shared" si="3"/>
        <v>70.77</v>
      </c>
      <c r="AR20" s="271">
        <v>4.5190000000000055</v>
      </c>
      <c r="AS20" s="1497">
        <v>2007</v>
      </c>
      <c r="AT20" s="1607">
        <v>142</v>
      </c>
      <c r="AU20" s="1608">
        <f t="shared" si="8"/>
        <v>141.939643</v>
      </c>
      <c r="AV20" s="1609">
        <v>75.289</v>
      </c>
      <c r="AW20" s="1610"/>
      <c r="AX20" s="1611">
        <f t="shared" si="4"/>
        <v>0.5302042253521126</v>
      </c>
      <c r="AY20" s="1612">
        <f t="shared" si="5"/>
        <v>53.02042253521127</v>
      </c>
      <c r="AZ20" s="1265"/>
      <c r="BC20" s="1352">
        <f t="shared" si="6"/>
        <v>142</v>
      </c>
      <c r="BD20" s="1613">
        <f t="shared" si="7"/>
        <v>0.5302042253521126</v>
      </c>
      <c r="BE20" s="1497">
        <v>2007</v>
      </c>
      <c r="BN20" s="15">
        <v>2028</v>
      </c>
      <c r="BO20" s="1150">
        <v>135652.9</v>
      </c>
      <c r="BP20">
        <v>-914.6</v>
      </c>
      <c r="BQ20">
        <v>-1132.6</v>
      </c>
      <c r="BR20">
        <v>218</v>
      </c>
      <c r="BS20" s="1150">
        <v>143842.1</v>
      </c>
      <c r="BT20">
        <v>-199.8</v>
      </c>
      <c r="BU20">
        <v>-580.9</v>
      </c>
      <c r="BV20">
        <v>381.1</v>
      </c>
      <c r="BW20" s="1150">
        <v>151459.5</v>
      </c>
      <c r="BX20">
        <v>505.7</v>
      </c>
      <c r="BY20">
        <v>-37.8</v>
      </c>
      <c r="BZ20">
        <v>543.5</v>
      </c>
      <c r="CC20" s="1624">
        <v>2002</v>
      </c>
      <c r="CD20" s="1625">
        <v>145.2</v>
      </c>
      <c r="CE20" s="1625">
        <v>67.6</v>
      </c>
      <c r="CF20" s="1625">
        <v>77.6</v>
      </c>
      <c r="CG20" s="1626">
        <v>47</v>
      </c>
      <c r="CH20" s="1626">
        <v>53</v>
      </c>
      <c r="CW20" s="15" t="s">
        <v>1528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</row>
    <row r="21" ht="15.5" customHeight="1" spans="1:101" x14ac:dyDescent="0.25">
      <c r="A21" s="1548">
        <v>6</v>
      </c>
      <c r="G21" s="279"/>
      <c r="H21" s="276">
        <v>12</v>
      </c>
      <c r="I21" s="1617">
        <v>2002</v>
      </c>
      <c r="J21" s="1618">
        <v>145.17</v>
      </c>
      <c r="K21" s="1634">
        <f t="shared" si="15"/>
        <v>144.7351569845575</v>
      </c>
      <c r="L21" s="1635">
        <f t="shared" si="16"/>
        <v>145.17</v>
      </c>
      <c r="M21" s="270">
        <f t="shared" si="9"/>
        <v>143.55825299999995</v>
      </c>
      <c r="N21" s="1630">
        <f t="shared" si="10"/>
        <v>-0.0018907685367455073</v>
      </c>
      <c r="O21" s="271">
        <f t="shared" si="11"/>
        <v>-0.2766270000000147</v>
      </c>
      <c r="P21" s="361">
        <v>0.184612</v>
      </c>
      <c r="Q21" s="361">
        <v>0.106685</v>
      </c>
      <c r="R21" s="361">
        <v>0.077927</v>
      </c>
      <c r="S21" s="1620">
        <f t="shared" si="12"/>
        <v>0.000532637521872266</v>
      </c>
      <c r="T21" s="376">
        <f t="shared" si="17"/>
        <v>0.000532637521872266</v>
      </c>
      <c r="U21" s="361">
        <v>1.397</v>
      </c>
      <c r="V21" s="1620">
        <f t="shared" si="13"/>
        <v>0.009548611111111112</v>
      </c>
      <c r="W21" s="376">
        <f t="shared" si="18"/>
        <v>0.009548611111111112</v>
      </c>
      <c r="X21" s="361">
        <v>2.3323</v>
      </c>
      <c r="Y21" s="1620">
        <f t="shared" si="14"/>
        <v>0.015941464348206473</v>
      </c>
      <c r="Z21" s="376">
        <f t="shared" si="19"/>
        <v>0.015941464348206473</v>
      </c>
      <c r="AA21" s="24"/>
      <c r="AB21" s="1636">
        <v>72.357</v>
      </c>
      <c r="AC21" s="1637">
        <f t="shared" si="20"/>
        <v>0.49842942756767933</v>
      </c>
      <c r="AD21" s="1638">
        <v>2002</v>
      </c>
      <c r="AH21" s="1371">
        <v>2008</v>
      </c>
      <c r="AI21" s="1603">
        <f t="shared" si="0"/>
        <v>0.012069718309859154</v>
      </c>
      <c r="AJ21" s="1604">
        <f>AI21</f>
        <v>0.012069718309859154</v>
      </c>
      <c r="AK21" s="1605">
        <f t="shared" si="1"/>
        <v>0.014619014084507042</v>
      </c>
      <c r="AL21" s="1604"/>
      <c r="AM21" s="1606">
        <f t="shared" si="2"/>
        <v>0.001704225352112676</v>
      </c>
      <c r="AN21" s="1604"/>
      <c r="AP21" s="254">
        <v>71.003</v>
      </c>
      <c r="AQ21" s="271">
        <f t="shared" si="3"/>
        <v>71.003</v>
      </c>
      <c r="AR21" s="271">
        <v>4.697000000000003</v>
      </c>
      <c r="AS21" s="1497">
        <v>2008</v>
      </c>
      <c r="AT21" s="1607">
        <v>141.9</v>
      </c>
      <c r="AU21" s="1608">
        <f t="shared" si="8"/>
        <v>141.85000000000002</v>
      </c>
      <c r="AV21" s="1609">
        <v>75.7</v>
      </c>
      <c r="AW21" s="1610"/>
      <c r="AX21" s="1611">
        <f t="shared" si="4"/>
        <v>0.5334742776603242</v>
      </c>
      <c r="AY21" s="1612">
        <f t="shared" si="5"/>
        <v>53.34742776603242</v>
      </c>
      <c r="AZ21" s="1265"/>
      <c r="BC21" s="1352">
        <f t="shared" si="6"/>
        <v>141.9</v>
      </c>
      <c r="BD21" s="1613">
        <f t="shared" si="7"/>
        <v>0.5334742776603242</v>
      </c>
      <c r="BE21" s="1497">
        <v>2008</v>
      </c>
      <c r="BN21" s="15">
        <v>2029</v>
      </c>
      <c r="BO21" s="1150">
        <v>134738.3</v>
      </c>
      <c r="BP21">
        <v>-936.2</v>
      </c>
      <c r="BQ21">
        <v>-1152.6</v>
      </c>
      <c r="BR21">
        <v>216.4</v>
      </c>
      <c r="BS21" s="1150">
        <v>143642.3</v>
      </c>
      <c r="BT21">
        <v>-216.5</v>
      </c>
      <c r="BU21">
        <v>-599.5</v>
      </c>
      <c r="BV21">
        <v>383</v>
      </c>
      <c r="BW21" s="1150">
        <v>151965.2</v>
      </c>
      <c r="BX21">
        <v>500.7</v>
      </c>
      <c r="BY21">
        <v>-48.5</v>
      </c>
      <c r="BZ21">
        <v>549.2</v>
      </c>
      <c r="CC21" s="1624">
        <v>2003</v>
      </c>
      <c r="CD21" s="1625">
        <v>145</v>
      </c>
      <c r="CE21" s="1625">
        <v>67.5</v>
      </c>
      <c r="CF21" s="1625">
        <v>77.5</v>
      </c>
      <c r="CG21" s="1626">
        <v>47</v>
      </c>
      <c r="CH21" s="1626">
        <v>53</v>
      </c>
      <c r="CW21" s="15" t="s">
        <v>1501</v>
      </c>
    </row>
    <row r="22" ht="15.5" customHeight="1" spans="1:110" x14ac:dyDescent="0.25">
      <c r="A22" s="1548"/>
      <c r="G22" s="279"/>
      <c r="H22" s="276">
        <v>13</v>
      </c>
      <c r="I22" s="1617">
        <v>2003</v>
      </c>
      <c r="J22" s="1618">
        <v>144.2</v>
      </c>
      <c r="K22" s="1634">
        <f t="shared" si="15"/>
        <v>144.01460082701092</v>
      </c>
      <c r="L22" s="1635">
        <f t="shared" si="16"/>
        <v>144.2</v>
      </c>
      <c r="M22" s="270">
        <f t="shared" si="9"/>
        <v>142.70487899999995</v>
      </c>
      <c r="N22" s="1630">
        <f t="shared" si="10"/>
        <v>-0.0008033753530343652</v>
      </c>
      <c r="O22" s="271">
        <f t="shared" si="11"/>
        <v>-0.1166259999999988</v>
      </c>
      <c r="P22" s="361">
        <v>0.129144</v>
      </c>
      <c r="Q22" s="361">
        <v>0.094018</v>
      </c>
      <c r="R22" s="361">
        <v>0.035126000000000004</v>
      </c>
      <c r="S22" s="1620">
        <f t="shared" si="12"/>
        <v>0.00024196459323551703</v>
      </c>
      <c r="T22" s="376">
        <f t="shared" si="17"/>
        <v>0.00024196459323551703</v>
      </c>
      <c r="U22" s="361">
        <v>1.4773</v>
      </c>
      <c r="V22" s="1620">
        <f t="shared" si="13"/>
        <v>0.010176344974857065</v>
      </c>
      <c r="W22" s="376">
        <f t="shared" si="18"/>
        <v>0.010176344974857065</v>
      </c>
      <c r="X22" s="361">
        <v>2.3658</v>
      </c>
      <c r="Y22" s="1620">
        <f t="shared" si="14"/>
        <v>0.016296755528001656</v>
      </c>
      <c r="Z22" s="376">
        <f t="shared" si="19"/>
        <v>0.016296755528001656</v>
      </c>
      <c r="AA22" s="24"/>
      <c r="AB22" s="1636">
        <v>72.273</v>
      </c>
      <c r="AC22" s="1637">
        <f t="shared" si="20"/>
        <v>0.5011997226074896</v>
      </c>
      <c r="AD22" s="1638">
        <v>2003</v>
      </c>
      <c r="AH22" s="1371">
        <v>2009</v>
      </c>
      <c r="AI22" s="1603">
        <f t="shared" si="0"/>
        <v>0.012432699083861874</v>
      </c>
      <c r="AJ22" s="1604">
        <f>AI22</f>
        <v>0.012432699083861874</v>
      </c>
      <c r="AK22" s="1605">
        <f t="shared" si="1"/>
        <v>0.01419027484143763</v>
      </c>
      <c r="AL22" s="1604">
        <f>AK22</f>
        <v>0.01419027484143763</v>
      </c>
      <c r="AM22" s="1606">
        <v>0.0017</v>
      </c>
      <c r="AN22" s="1604">
        <f>AM22</f>
        <v>0.0017</v>
      </c>
      <c r="AP22" s="254">
        <v>69.41</v>
      </c>
      <c r="AQ22" s="271">
        <f t="shared" si="3"/>
        <v>69.41</v>
      </c>
      <c r="AR22" s="271">
        <v>6.284000000000006</v>
      </c>
      <c r="AS22" s="1497">
        <v>2009</v>
      </c>
      <c r="AT22" s="1607">
        <v>141.9</v>
      </c>
      <c r="AU22" s="1608">
        <f t="shared" si="8"/>
        <v>141.86183000000003</v>
      </c>
      <c r="AV22" s="1609">
        <v>75.694</v>
      </c>
      <c r="AW22" s="1610"/>
      <c r="AX22" s="1611">
        <f t="shared" si="4"/>
        <v>0.5334319943622269</v>
      </c>
      <c r="AY22" s="1612">
        <f t="shared" si="5"/>
        <v>53.34319943622269</v>
      </c>
      <c r="AZ22" s="1639">
        <f>AY22</f>
        <v>53.34319943622269</v>
      </c>
      <c r="BC22" s="1352">
        <f t="shared" si="6"/>
        <v>141.9</v>
      </c>
      <c r="BD22" s="1613">
        <f t="shared" si="7"/>
        <v>0.5334319943622269</v>
      </c>
      <c r="BE22" s="1497">
        <v>2009</v>
      </c>
      <c r="BN22" s="15">
        <v>2030</v>
      </c>
      <c r="BO22" s="1150">
        <v>133802.1</v>
      </c>
      <c r="BP22">
        <v>-957.4</v>
      </c>
      <c r="BQ22">
        <v>-1172.4</v>
      </c>
      <c r="BR22">
        <v>215</v>
      </c>
      <c r="BS22" s="1150">
        <v>143425.8</v>
      </c>
      <c r="BT22">
        <v>-231.6</v>
      </c>
      <c r="BU22">
        <v>-616.6</v>
      </c>
      <c r="BV22">
        <v>385</v>
      </c>
      <c r="BW22" s="1150">
        <v>152465.9</v>
      </c>
      <c r="BX22">
        <v>496.7</v>
      </c>
      <c r="BY22">
        <v>-57.7</v>
      </c>
      <c r="BZ22">
        <v>554.4</v>
      </c>
      <c r="CC22" s="1624">
        <v>2004</v>
      </c>
      <c r="CD22" s="1625">
        <v>144.3</v>
      </c>
      <c r="CE22" s="1625">
        <v>67</v>
      </c>
      <c r="CF22" s="1625">
        <v>77.3</v>
      </c>
      <c r="CG22" s="1626">
        <v>46</v>
      </c>
      <c r="CH22" s="1626">
        <v>54</v>
      </c>
      <c r="CW22" s="15" t="s">
        <v>1507</v>
      </c>
      <c r="CX22">
        <v>94.8</v>
      </c>
      <c r="CY22">
        <v>90.5</v>
      </c>
      <c r="CZ22">
        <v>90.2</v>
      </c>
      <c r="DA22">
        <v>91.5</v>
      </c>
      <c r="DB22">
        <v>92.2</v>
      </c>
      <c r="DC22">
        <v>92.1</v>
      </c>
      <c r="DD22">
        <v>92.9</v>
      </c>
      <c r="DE22">
        <v>93.3</v>
      </c>
      <c r="DF22">
        <v>94.4</v>
      </c>
    </row>
    <row r="23" ht="15.5" customHeight="1" spans="7:110" x14ac:dyDescent="0.25">
      <c r="G23" s="279"/>
      <c r="H23" s="276">
        <v>14</v>
      </c>
      <c r="I23" s="1617">
        <v>2004</v>
      </c>
      <c r="J23" s="1618">
        <v>143.5</v>
      </c>
      <c r="K23" s="1634">
        <f t="shared" si="15"/>
        <v>143.3920442837216</v>
      </c>
      <c r="L23" s="1635">
        <f t="shared" si="16"/>
        <v>143.5</v>
      </c>
      <c r="M23" s="270">
        <f t="shared" si="9"/>
        <v>141.95174099999997</v>
      </c>
      <c r="N23" s="1630">
        <f t="shared" si="10"/>
        <v>0.0003685020804439068</v>
      </c>
      <c r="O23" s="271">
        <f t="shared" si="11"/>
        <v>0.05313800000001136</v>
      </c>
      <c r="P23" s="361">
        <v>0.119157</v>
      </c>
      <c r="Q23" s="361">
        <v>0.079795</v>
      </c>
      <c r="R23" s="361">
        <v>0.039361999999999994</v>
      </c>
      <c r="S23" s="1620">
        <f t="shared" si="12"/>
        <v>0.00027296809986130375</v>
      </c>
      <c r="T23" s="376">
        <f t="shared" si="17"/>
        <v>0.00027296809986130375</v>
      </c>
      <c r="U23" s="361">
        <v>1.5025</v>
      </c>
      <c r="V23" s="1620">
        <f t="shared" si="13"/>
        <v>0.010419556171983356</v>
      </c>
      <c r="W23" s="376">
        <f t="shared" si="18"/>
        <v>0.010419556171983356</v>
      </c>
      <c r="X23" s="361">
        <v>2.295</v>
      </c>
      <c r="Y23" s="1620">
        <f t="shared" si="14"/>
        <v>0.015915395284327324</v>
      </c>
      <c r="Z23" s="376">
        <f t="shared" si="19"/>
        <v>0.015915395284327324</v>
      </c>
      <c r="AA23" s="24"/>
      <c r="AB23" s="1636">
        <v>72.985</v>
      </c>
      <c r="AC23" s="1637">
        <f t="shared" si="20"/>
        <v>0.5086062717770035</v>
      </c>
      <c r="AD23" s="1638">
        <v>2004</v>
      </c>
      <c r="AH23" s="1371">
        <v>2010</v>
      </c>
      <c r="AI23" s="1603"/>
      <c r="AJ23" s="1604">
        <f>AJ22+0.9*(AJ22-AJ21)</f>
        <v>0.012759381780464322</v>
      </c>
      <c r="AK23" s="1640"/>
      <c r="AL23" s="1604">
        <f t="shared" ref="AL23:AL43" si="21">Z29</f>
        <v>0.014013142572476973</v>
      </c>
      <c r="AM23" s="1641"/>
      <c r="AN23" s="1604">
        <f>AN22-0.0001</f>
        <v>0.0015999999999999999</v>
      </c>
      <c r="AR23" s="254">
        <v>5.544165583815838</v>
      </c>
      <c r="AS23" s="1497">
        <v>2010</v>
      </c>
      <c r="AT23" s="1607">
        <v>142.8654</v>
      </c>
      <c r="AU23" s="1608">
        <f>AT23</f>
        <v>142.8654</v>
      </c>
      <c r="AV23" s="1609">
        <v>75.478</v>
      </c>
      <c r="AW23" s="1608">
        <f>AV23</f>
        <v>75.478</v>
      </c>
      <c r="AX23" s="1611">
        <f t="shared" si="4"/>
        <v>0.5283154633662174</v>
      </c>
      <c r="AY23" s="1612">
        <f t="shared" si="5"/>
        <v>52.831546336621734</v>
      </c>
      <c r="AZ23" s="1639">
        <f>AY23</f>
        <v>52.831546336621734</v>
      </c>
      <c r="BC23" s="1352">
        <f t="shared" si="6"/>
        <v>142.8654</v>
      </c>
      <c r="BD23" s="1613">
        <f t="shared" si="7"/>
        <v>0.5283154633662174</v>
      </c>
      <c r="BE23" s="1497">
        <v>2010</v>
      </c>
      <c r="BN23" s="15">
        <v>2031</v>
      </c>
      <c r="BO23" s="696">
        <v>132844.7</v>
      </c>
      <c r="BS23" s="696">
        <v>143194.2</v>
      </c>
      <c r="BW23" s="696">
        <v>152962.6</v>
      </c>
      <c r="CC23" s="1624">
        <v>2005</v>
      </c>
      <c r="CD23" s="1625">
        <v>143.8</v>
      </c>
      <c r="CE23" s="1625">
        <v>66.7</v>
      </c>
      <c r="CF23" s="1625">
        <v>77.1</v>
      </c>
      <c r="CG23" s="1626">
        <v>46</v>
      </c>
      <c r="CH23" s="1626">
        <v>54</v>
      </c>
      <c r="CW23" s="15" t="s">
        <v>1256</v>
      </c>
      <c r="CX23">
        <v>5.2</v>
      </c>
      <c r="CY23">
        <v>9.5</v>
      </c>
      <c r="CZ23">
        <v>9.8</v>
      </c>
      <c r="DA23">
        <v>8.5</v>
      </c>
      <c r="DB23">
        <v>7.8</v>
      </c>
      <c r="DC23">
        <v>7.9</v>
      </c>
      <c r="DD23">
        <v>7.1</v>
      </c>
      <c r="DE23">
        <v>6.7</v>
      </c>
      <c r="DF23">
        <v>5.6</v>
      </c>
    </row>
    <row r="24" ht="17.5" customHeight="1" spans="1:110" x14ac:dyDescent="0.25">
      <c r="A24" s="1642" t="s">
        <v>1529</v>
      </c>
      <c r="B24" s="1642"/>
      <c r="C24" s="1642"/>
      <c r="D24" s="1642"/>
      <c r="E24" s="1642"/>
      <c r="F24" s="1642"/>
      <c r="G24" s="279"/>
      <c r="H24" s="276">
        <v>15</v>
      </c>
      <c r="I24" s="1617">
        <v>2005</v>
      </c>
      <c r="J24" s="1618">
        <v>142.8</v>
      </c>
      <c r="K24" s="1634">
        <f t="shared" si="15"/>
        <v>142.89899748437395</v>
      </c>
      <c r="L24" s="1635">
        <f t="shared" si="16"/>
        <v>142.8</v>
      </c>
      <c r="M24" s="270">
        <f t="shared" si="9"/>
        <v>141.32917299999997</v>
      </c>
      <c r="N24" s="1630">
        <f t="shared" si="10"/>
        <v>-0.000539595818815252</v>
      </c>
      <c r="O24" s="271">
        <f t="shared" si="11"/>
        <v>-0.07743199999998865</v>
      </c>
      <c r="P24" s="320">
        <v>0.17723</v>
      </c>
      <c r="Q24" s="320">
        <v>0.069798</v>
      </c>
      <c r="R24" s="320">
        <v>0.107432</v>
      </c>
      <c r="S24" s="1620">
        <f t="shared" si="12"/>
        <v>0.0007486550522648083</v>
      </c>
      <c r="T24" s="376">
        <f t="shared" si="17"/>
        <v>0.0007486550522648083</v>
      </c>
      <c r="U24" s="277">
        <v>1.574</v>
      </c>
      <c r="V24" s="1620">
        <f t="shared" si="13"/>
        <v>0.010968641114982578</v>
      </c>
      <c r="W24" s="376">
        <f t="shared" si="18"/>
        <v>0.010968641114982578</v>
      </c>
      <c r="X24" s="277">
        <v>2.304</v>
      </c>
      <c r="Y24" s="1620">
        <f t="shared" si="14"/>
        <v>0.01605574912891986</v>
      </c>
      <c r="Z24" s="376">
        <f t="shared" si="19"/>
        <v>0.01605574912891986</v>
      </c>
      <c r="AA24" s="24"/>
      <c r="AB24" s="1636">
        <v>73.581</v>
      </c>
      <c r="AC24" s="1637">
        <f t="shared" si="20"/>
        <v>0.5152731092436975</v>
      </c>
      <c r="AD24" s="1638">
        <v>2005</v>
      </c>
      <c r="AH24" s="1371">
        <v>2011</v>
      </c>
      <c r="AI24" s="1603"/>
      <c r="AJ24" s="1604">
        <f>AJ23+0.8*(AJ23-AJ22)</f>
        <v>0.01302072793774628</v>
      </c>
      <c r="AK24" s="1640"/>
      <c r="AL24" s="1604">
        <f>Z30</f>
        <v>0.014</v>
      </c>
      <c r="AM24" s="1641"/>
      <c r="AN24" s="1604">
        <f t="shared" ref="AN24:AN29" si="22">AN23-0.0001</f>
        <v>0.0014999999999999998</v>
      </c>
      <c r="AR24">
        <v>4.922399755454807</v>
      </c>
      <c r="AS24" s="1497">
        <v>2011</v>
      </c>
      <c r="AT24" s="1607">
        <v>143.0564</v>
      </c>
      <c r="AU24" s="1608">
        <f>AU23*(1+AJ24-AL24+AN24)-0.045</f>
        <v>142.89479400511732</v>
      </c>
      <c r="AV24" s="1609">
        <v>75.779</v>
      </c>
      <c r="AW24" s="1608">
        <f>AV24</f>
        <v>75.779</v>
      </c>
      <c r="AX24" s="1611">
        <f t="shared" si="4"/>
        <v>0.5297141546970285</v>
      </c>
      <c r="AY24" s="1612">
        <f t="shared" si="5"/>
        <v>52.971415469702855</v>
      </c>
      <c r="AZ24" s="1639">
        <f>AY24</f>
        <v>52.971415469702855</v>
      </c>
      <c r="BC24" s="1352">
        <f t="shared" si="6"/>
        <v>143.0564</v>
      </c>
      <c r="BD24" s="1613">
        <f t="shared" si="7"/>
        <v>0.5297141546970285</v>
      </c>
      <c r="BE24" s="1497">
        <v>2011</v>
      </c>
      <c r="CC24" s="1624">
        <v>2006</v>
      </c>
      <c r="CD24" s="1643">
        <v>143.2</v>
      </c>
      <c r="CE24" s="1643">
        <v>66.3</v>
      </c>
      <c r="CF24" s="1643">
        <v>76.9</v>
      </c>
      <c r="CG24" s="1626">
        <v>46</v>
      </c>
      <c r="CH24" s="1626">
        <v>54</v>
      </c>
      <c r="CW24" s="15" t="s">
        <v>1514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</row>
    <row r="25" ht="17.5" customHeight="1" spans="1:101" x14ac:dyDescent="0.25">
      <c r="A25" s="1642"/>
      <c r="B25" s="1642" t="s">
        <v>1530</v>
      </c>
      <c r="C25" s="1642"/>
      <c r="D25" s="1642"/>
      <c r="E25" s="1642"/>
      <c r="F25" s="1642"/>
      <c r="G25" s="279"/>
      <c r="H25" s="276">
        <v>16</v>
      </c>
      <c r="I25" s="1617">
        <v>2006</v>
      </c>
      <c r="J25" s="1618">
        <v>142.2</v>
      </c>
      <c r="K25" s="1634">
        <f t="shared" si="15"/>
        <v>142.47314146008512</v>
      </c>
      <c r="L25" s="1635">
        <f t="shared" si="16"/>
        <v>142.2</v>
      </c>
      <c r="M25" s="270">
        <f t="shared" si="9"/>
        <v>140.77509199999997</v>
      </c>
      <c r="N25" s="1630">
        <f t="shared" si="10"/>
        <v>-0.0003215616246500198</v>
      </c>
      <c r="O25" s="271">
        <f t="shared" si="11"/>
        <v>-0.04591900000002283</v>
      </c>
      <c r="P25" s="361">
        <v>0.18638</v>
      </c>
      <c r="Q25" s="361">
        <v>0.054061</v>
      </c>
      <c r="R25" s="361">
        <v>0.132319</v>
      </c>
      <c r="S25" s="1620">
        <f t="shared" si="12"/>
        <v>0.0009266036414565825</v>
      </c>
      <c r="T25" s="376">
        <f t="shared" si="17"/>
        <v>0.0009266036414565825</v>
      </c>
      <c r="U25" s="361">
        <v>1.4796</v>
      </c>
      <c r="V25" s="1620">
        <f t="shared" si="13"/>
        <v>0.010361344537815126</v>
      </c>
      <c r="W25" s="376">
        <f t="shared" si="18"/>
        <v>0.010361344537815126</v>
      </c>
      <c r="X25" s="171">
        <v>2.166</v>
      </c>
      <c r="Y25" s="1620">
        <f t="shared" si="14"/>
        <v>0.015168067226890755</v>
      </c>
      <c r="Z25" s="376">
        <f t="shared" si="19"/>
        <v>0.015168067226890755</v>
      </c>
      <c r="AA25" s="24"/>
      <c r="AB25" s="1636">
        <v>74.419</v>
      </c>
      <c r="AC25" s="1637">
        <f t="shared" si="20"/>
        <v>0.5233403656821378</v>
      </c>
      <c r="AD25" s="1638">
        <v>2006</v>
      </c>
      <c r="AH25" s="1371">
        <v>2012</v>
      </c>
      <c r="AI25" s="1603"/>
      <c r="AJ25" s="1604">
        <f t="shared" ref="AJ25:AJ43" si="23">AJ24+0.8*(AJ24-AJ23)</f>
        <v>0.013229804863571845</v>
      </c>
      <c r="AK25" s="1640"/>
      <c r="AL25" s="1604">
        <f t="shared" si="21"/>
        <v>0.014</v>
      </c>
      <c r="AM25" s="1641"/>
      <c r="AN25" s="1604">
        <f t="shared" si="22"/>
        <v>0.0013999999999999998</v>
      </c>
      <c r="AR25">
        <v>4.130659994510245</v>
      </c>
      <c r="AS25" s="1497">
        <v>2012</v>
      </c>
      <c r="AT25" s="1607">
        <v>143.3471</v>
      </c>
      <c r="AU25" s="1608">
        <f>AU24*(1+AJ25-AL25+AN25)-0.045</f>
        <v>142.93978984136086</v>
      </c>
      <c r="AV25" s="1609">
        <v>75.676</v>
      </c>
      <c r="AW25" s="1608">
        <f>AV25</f>
        <v>75.676</v>
      </c>
      <c r="AX25" s="1611">
        <f t="shared" si="4"/>
        <v>0.5279213880155231</v>
      </c>
      <c r="AY25" s="1612">
        <f t="shared" si="5"/>
        <v>52.79213880155231</v>
      </c>
      <c r="AZ25" s="1639">
        <v>53</v>
      </c>
      <c r="BC25" s="1352">
        <f t="shared" si="6"/>
        <v>143.3471</v>
      </c>
      <c r="BD25" s="1613">
        <f t="shared" si="7"/>
        <v>0.5279213880155231</v>
      </c>
      <c r="BE25" s="1497">
        <v>2012</v>
      </c>
      <c r="CC25" s="1624">
        <v>2007</v>
      </c>
      <c r="CD25" s="1643">
        <v>142.8</v>
      </c>
      <c r="CE25" s="1643">
        <v>66</v>
      </c>
      <c r="CF25" s="1643">
        <v>76.8</v>
      </c>
      <c r="CG25" s="1626">
        <v>46</v>
      </c>
      <c r="CH25" s="1626">
        <v>54</v>
      </c>
      <c r="CW25" s="15" t="s">
        <v>1501</v>
      </c>
    </row>
    <row r="26" ht="18" customHeight="1" spans="1:110" x14ac:dyDescent="0.25">
      <c r="A26" s="1642" t="s">
        <v>1531</v>
      </c>
      <c r="B26" s="1644"/>
      <c r="C26" s="1644"/>
      <c r="D26" s="1644"/>
      <c r="E26" s="1642"/>
      <c r="F26" s="1642"/>
      <c r="G26" s="279"/>
      <c r="H26" s="276">
        <v>17</v>
      </c>
      <c r="I26" s="1617">
        <v>2007</v>
      </c>
      <c r="J26" s="1618">
        <v>142</v>
      </c>
      <c r="K26" s="1634">
        <f t="shared" si="15"/>
        <v>142.37056781167965</v>
      </c>
      <c r="L26" s="1635">
        <f t="shared" si="16"/>
        <v>142</v>
      </c>
      <c r="M26" s="270">
        <f t="shared" si="9"/>
        <v>140.54473499999997</v>
      </c>
      <c r="N26" s="1630">
        <f t="shared" si="10"/>
        <v>0.00021348101265830746</v>
      </c>
      <c r="O26" s="271">
        <f t="shared" si="11"/>
        <v>0.03035700000001132</v>
      </c>
      <c r="P26" s="1645">
        <v>0.286956</v>
      </c>
      <c r="Q26" s="1645">
        <v>0.047013</v>
      </c>
      <c r="R26" s="361">
        <v>0.239943</v>
      </c>
      <c r="S26" s="1620">
        <f t="shared" si="12"/>
        <v>0.0016873628691983123</v>
      </c>
      <c r="T26" s="376">
        <f t="shared" si="17"/>
        <v>0.0016873628691983123</v>
      </c>
      <c r="U26" s="1645">
        <v>1.6101</v>
      </c>
      <c r="V26" s="1620">
        <f t="shared" si="13"/>
        <v>0.011322784810126585</v>
      </c>
      <c r="W26" s="376">
        <f t="shared" si="18"/>
        <v>0.011322784810126585</v>
      </c>
      <c r="X26" s="1645">
        <v>2.0804</v>
      </c>
      <c r="Y26" s="1620">
        <f t="shared" si="14"/>
        <v>0.014630098452883265</v>
      </c>
      <c r="Z26" s="376">
        <f t="shared" si="19"/>
        <v>0.014630098452883265</v>
      </c>
      <c r="AA26" s="24"/>
      <c r="AB26" s="1636">
        <v>75.289</v>
      </c>
      <c r="AC26" s="1637">
        <f t="shared" si="20"/>
        <v>0.5302042253521126</v>
      </c>
      <c r="AD26" s="1638">
        <v>2007</v>
      </c>
      <c r="AH26" s="1371">
        <v>2013</v>
      </c>
      <c r="AI26" s="1603"/>
      <c r="AJ26" s="1604">
        <f t="shared" si="23"/>
        <v>0.013397066404232298</v>
      </c>
      <c r="AK26" s="1640"/>
      <c r="AL26" s="1604">
        <f t="shared" si="21"/>
        <v>0.014</v>
      </c>
      <c r="AM26" s="1641"/>
      <c r="AN26" s="1604">
        <f t="shared" si="22"/>
        <v>0.0012999999999999997</v>
      </c>
      <c r="AS26" s="1497">
        <v>2013</v>
      </c>
      <c r="AT26" s="1607" t="e">
        <v>#N/A</v>
      </c>
      <c r="AU26" s="1608">
        <v>143.5</v>
      </c>
      <c r="AV26" s="1646">
        <v>75.529</v>
      </c>
      <c r="AW26" s="1647">
        <f>AU26*AX26</f>
        <v>76.91600000000001</v>
      </c>
      <c r="AX26" s="1648">
        <f t="shared" ref="AX26:AX43" si="24">AZ26/100</f>
        <v>0.536</v>
      </c>
      <c r="AY26" s="25"/>
      <c r="AZ26" s="1608">
        <f>53.6</f>
        <v>53.6</v>
      </c>
      <c r="BC26" s="1352" t="e">
        <f t="shared" si="6"/>
        <v>#N/A</v>
      </c>
      <c r="BD26" s="1613">
        <f t="shared" si="7"/>
        <v>0.536</v>
      </c>
      <c r="BE26" s="1497">
        <v>2013</v>
      </c>
      <c r="CC26" s="1624">
        <v>2008</v>
      </c>
      <c r="CD26" s="1643">
        <v>142.8</v>
      </c>
      <c r="CE26" s="1643">
        <v>66</v>
      </c>
      <c r="CF26" s="1643">
        <v>76.8</v>
      </c>
      <c r="CG26" s="1626">
        <v>46</v>
      </c>
      <c r="CH26" s="1626">
        <v>54</v>
      </c>
      <c r="CW26" s="15" t="s">
        <v>1507</v>
      </c>
      <c r="CX26">
        <v>94.8</v>
      </c>
      <c r="CY26">
        <v>90.3</v>
      </c>
      <c r="CZ26">
        <v>89.8</v>
      </c>
      <c r="DA26">
        <v>91.1</v>
      </c>
      <c r="DB26">
        <v>91.9</v>
      </c>
      <c r="DC26">
        <v>92.2</v>
      </c>
      <c r="DD26">
        <v>92.5</v>
      </c>
      <c r="DE26">
        <v>93</v>
      </c>
      <c r="DF26">
        <v>94</v>
      </c>
    </row>
    <row r="27" ht="17.5" customHeight="1" spans="1:110" x14ac:dyDescent="0.25">
      <c r="A27" s="1642"/>
      <c r="B27" s="1642" t="s">
        <v>1532</v>
      </c>
      <c r="C27" s="1642"/>
      <c r="D27" s="1642"/>
      <c r="E27" s="1642"/>
      <c r="F27" s="1642"/>
      <c r="G27" s="279"/>
      <c r="H27" s="276">
        <v>18</v>
      </c>
      <c r="I27" s="1617">
        <v>2008</v>
      </c>
      <c r="J27" s="1618">
        <v>141.9</v>
      </c>
      <c r="K27" s="1634">
        <f t="shared" si="15"/>
        <v>142.37838816681295</v>
      </c>
      <c r="L27" s="1635">
        <f t="shared" si="16"/>
        <v>141.9</v>
      </c>
      <c r="M27" s="270">
        <f t="shared" si="9"/>
        <v>140.42473499999997</v>
      </c>
      <c r="N27" s="1630">
        <f t="shared" si="10"/>
        <v>0.00014084507042257444</v>
      </c>
      <c r="O27" s="271">
        <f t="shared" si="11"/>
        <v>0.02000000000000557</v>
      </c>
      <c r="P27" s="361">
        <v>0.281614</v>
      </c>
      <c r="Q27" s="361">
        <v>0.039508</v>
      </c>
      <c r="R27" s="270">
        <v>0.242</v>
      </c>
      <c r="S27" s="1620">
        <f t="shared" si="12"/>
        <v>0.001704225352112676</v>
      </c>
      <c r="T27" s="376">
        <f t="shared" si="17"/>
        <v>0.001704225352112676</v>
      </c>
      <c r="U27" s="361">
        <v>1.7139</v>
      </c>
      <c r="V27" s="1620">
        <f t="shared" si="13"/>
        <v>0.012069718309859154</v>
      </c>
      <c r="W27" s="376">
        <f t="shared" si="18"/>
        <v>0.012069718309859154</v>
      </c>
      <c r="X27" s="361">
        <v>2.0759</v>
      </c>
      <c r="Y27" s="1620">
        <f t="shared" si="14"/>
        <v>0.014619014084507042</v>
      </c>
      <c r="Z27" s="376">
        <f t="shared" si="19"/>
        <v>0.014619014084507042</v>
      </c>
      <c r="AA27" s="24"/>
      <c r="AB27" s="1636">
        <v>75.7</v>
      </c>
      <c r="AC27" s="1637">
        <f t="shared" si="20"/>
        <v>0.5334742776603242</v>
      </c>
      <c r="AD27" s="1638">
        <v>2008</v>
      </c>
      <c r="AH27" s="1371">
        <v>2014</v>
      </c>
      <c r="AI27" s="1603"/>
      <c r="AJ27" s="1604">
        <f t="shared" si="23"/>
        <v>0.01353087563676066</v>
      </c>
      <c r="AK27" s="1640"/>
      <c r="AL27" s="1604">
        <f t="shared" si="21"/>
        <v>0.014</v>
      </c>
      <c r="AM27" s="1641"/>
      <c r="AN27" s="1604">
        <f t="shared" si="22"/>
        <v>0.0011999999999999997</v>
      </c>
      <c r="AS27" s="1497">
        <v>2014</v>
      </c>
      <c r="AT27" s="1603"/>
      <c r="AU27" s="1647">
        <f>AU26*(1+AJ27-AL27+AN27)-0.045</f>
        <v>143.55988065387518</v>
      </c>
      <c r="AV27" s="1646"/>
      <c r="AW27" s="1647">
        <f>AU27*AX27</f>
        <v>76.9480960304771</v>
      </c>
      <c r="AX27" s="1648">
        <f t="shared" si="24"/>
        <v>0.536</v>
      </c>
      <c r="AY27" s="25"/>
      <c r="AZ27" s="1608">
        <f t="shared" ref="AZ27:AZ43" si="25">AZ26</f>
        <v>53.6</v>
      </c>
      <c r="BC27" s="1352">
        <f t="shared" ref="BC27:BC43" si="26">AU27</f>
        <v>143.55988065387518</v>
      </c>
      <c r="BD27" s="1613">
        <f t="shared" si="7"/>
        <v>0.536</v>
      </c>
      <c r="BE27" s="1497">
        <v>2014</v>
      </c>
      <c r="CC27" s="1624">
        <v>2009</v>
      </c>
      <c r="CD27" s="1643">
        <v>142.7</v>
      </c>
      <c r="CE27" s="1643">
        <v>65.9</v>
      </c>
      <c r="CF27" s="1643">
        <v>76.8</v>
      </c>
      <c r="CG27" s="1626">
        <v>46</v>
      </c>
      <c r="CH27" s="1626">
        <v>54</v>
      </c>
      <c r="CW27" s="15" t="s">
        <v>1256</v>
      </c>
      <c r="CX27">
        <v>5.2</v>
      </c>
      <c r="CY27">
        <v>9.7</v>
      </c>
      <c r="CZ27">
        <v>10.2</v>
      </c>
      <c r="DA27">
        <v>8.9</v>
      </c>
      <c r="DB27">
        <v>8.1</v>
      </c>
      <c r="DC27">
        <v>7.8</v>
      </c>
      <c r="DD27">
        <v>7.5</v>
      </c>
      <c r="DE27">
        <v>7</v>
      </c>
      <c r="DF27">
        <v>6</v>
      </c>
    </row>
    <row r="28" ht="18" customHeight="1" spans="1:110" x14ac:dyDescent="0.25">
      <c r="A28" s="1642"/>
      <c r="B28" s="1642" t="s">
        <v>1533</v>
      </c>
      <c r="C28" s="1642"/>
      <c r="D28" s="1642"/>
      <c r="E28" s="1642"/>
      <c r="F28" s="1642"/>
      <c r="G28" s="279"/>
      <c r="H28" s="276">
        <v>19</v>
      </c>
      <c r="I28" s="1617">
        <v>2009</v>
      </c>
      <c r="J28" s="1618">
        <v>141.9</v>
      </c>
      <c r="K28" s="1634">
        <f t="shared" si="15"/>
        <v>142.49833117260198</v>
      </c>
      <c r="L28" s="1635">
        <f t="shared" si="16"/>
        <v>141.9</v>
      </c>
      <c r="N28" s="1630">
        <v>0</v>
      </c>
      <c r="P28" s="276"/>
      <c r="Q28" s="276"/>
      <c r="R28" s="270">
        <v>0.3452</v>
      </c>
      <c r="S28" s="1620"/>
      <c r="T28" s="276">
        <v>0.0017</v>
      </c>
      <c r="U28" s="361">
        <v>1.7642</v>
      </c>
      <c r="V28" s="1620">
        <f t="shared" si="13"/>
        <v>0.012432699083861874</v>
      </c>
      <c r="W28" s="376">
        <f t="shared" si="18"/>
        <v>0.012432699083861874</v>
      </c>
      <c r="X28" s="361">
        <v>2.0136</v>
      </c>
      <c r="Y28" s="1620">
        <f t="shared" si="14"/>
        <v>0.01419027484143763</v>
      </c>
      <c r="Z28" s="376">
        <f t="shared" si="19"/>
        <v>0.01419027484143763</v>
      </c>
      <c r="AA28" s="1390"/>
      <c r="AB28" s="1636">
        <v>75.694</v>
      </c>
      <c r="AC28" s="1637">
        <f t="shared" si="20"/>
        <v>0.5334319943622269</v>
      </c>
      <c r="AD28" s="1638">
        <v>2009</v>
      </c>
      <c r="AH28" s="1371">
        <v>2015</v>
      </c>
      <c r="AI28" s="1603"/>
      <c r="AJ28" s="1604">
        <f t="shared" si="23"/>
        <v>0.013637923022783348</v>
      </c>
      <c r="AK28" s="1640"/>
      <c r="AL28" s="1604">
        <f t="shared" si="21"/>
        <v>0.014</v>
      </c>
      <c r="AM28" s="1641"/>
      <c r="AN28" s="1604">
        <f t="shared" si="22"/>
        <v>0.0010999999999999996</v>
      </c>
      <c r="AS28" s="1497">
        <v>2015</v>
      </c>
      <c r="AT28" s="1603"/>
      <c r="AU28" s="1381">
        <v>144.1157</v>
      </c>
      <c r="AV28" s="1646"/>
      <c r="AW28" s="1647" t="e">
        <f>#REF!*AX28</f>
        <v>#REF!</v>
      </c>
      <c r="AX28" s="1648">
        <f t="shared" si="24"/>
        <v>0.536</v>
      </c>
      <c r="AY28" s="25"/>
      <c r="AZ28" s="1608">
        <f t="shared" si="25"/>
        <v>53.6</v>
      </c>
      <c r="BC28" s="1352">
        <f t="shared" si="26"/>
        <v>144.1157</v>
      </c>
      <c r="BD28" s="1613">
        <f t="shared" si="7"/>
        <v>0.536</v>
      </c>
      <c r="BE28" s="1497">
        <v>2015</v>
      </c>
      <c r="CC28" s="1624">
        <v>2010</v>
      </c>
      <c r="CD28" s="1643">
        <v>142.9</v>
      </c>
      <c r="CE28" s="1643">
        <v>66.1</v>
      </c>
      <c r="CF28" s="1643">
        <v>76.8</v>
      </c>
      <c r="CG28" s="1626">
        <v>46</v>
      </c>
      <c r="CH28" s="1626">
        <v>54</v>
      </c>
      <c r="CW28" s="15" t="s">
        <v>1519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</row>
    <row r="29" ht="18" customHeight="1" spans="1:101" x14ac:dyDescent="0.25">
      <c r="A29" s="1642"/>
      <c r="B29" s="1642" t="s">
        <v>1534</v>
      </c>
      <c r="C29" s="1642"/>
      <c r="D29" s="1642"/>
      <c r="E29" s="1642"/>
      <c r="F29" s="1642"/>
      <c r="G29" s="279"/>
      <c r="H29" s="276">
        <v>20</v>
      </c>
      <c r="I29" s="1617">
        <v>2010</v>
      </c>
      <c r="J29" s="1618">
        <v>142.8654</v>
      </c>
      <c r="K29" s="1634">
        <f t="shared" si="15"/>
        <v>142.68092937309135</v>
      </c>
      <c r="L29" s="1635">
        <f t="shared" si="16"/>
        <v>142.8654</v>
      </c>
      <c r="N29" s="1630">
        <f>N28</f>
        <v>0</v>
      </c>
      <c r="P29" s="277"/>
      <c r="Q29" s="277"/>
      <c r="R29" s="320">
        <v>0.348</v>
      </c>
      <c r="S29" s="277"/>
      <c r="T29" s="375">
        <v>0.0017</v>
      </c>
      <c r="U29" s="277"/>
      <c r="V29" s="277"/>
      <c r="W29" s="1649">
        <v>0.012694548459737713</v>
      </c>
      <c r="X29" s="277"/>
      <c r="Y29" s="277"/>
      <c r="Z29" s="1649">
        <v>0.014013142572476973</v>
      </c>
      <c r="AA29" s="1390"/>
      <c r="AB29" s="1636">
        <v>75.478</v>
      </c>
      <c r="AC29" s="1637">
        <f t="shared" si="20"/>
        <v>0.5283154633662174</v>
      </c>
      <c r="AD29" s="1638">
        <v>2010</v>
      </c>
      <c r="AH29" s="1371">
        <v>2016</v>
      </c>
      <c r="AI29" s="1603"/>
      <c r="AJ29" s="1604">
        <f t="shared" si="23"/>
        <v>0.013723560931601498</v>
      </c>
      <c r="AK29" s="1640"/>
      <c r="AL29" s="1604">
        <f t="shared" si="21"/>
        <v>0.014</v>
      </c>
      <c r="AM29" s="1641"/>
      <c r="AN29" s="1604">
        <f t="shared" si="22"/>
        <v>0.0009999999999999996</v>
      </c>
      <c r="AS29" s="1497">
        <v>2016</v>
      </c>
      <c r="AT29" s="1603"/>
      <c r="AU29" s="1381">
        <v>144.6188</v>
      </c>
      <c r="AV29" s="1646"/>
      <c r="AW29" s="1647" t="e">
        <f>#REF!*AX29</f>
        <v>#REF!</v>
      </c>
      <c r="AX29" s="1648">
        <f t="shared" si="24"/>
        <v>0.536</v>
      </c>
      <c r="AY29" s="25"/>
      <c r="AZ29" s="1608">
        <f t="shared" si="25"/>
        <v>53.6</v>
      </c>
      <c r="BC29" s="1352">
        <f t="shared" si="26"/>
        <v>144.6188</v>
      </c>
      <c r="BD29" s="1613">
        <f t="shared" si="7"/>
        <v>0.536</v>
      </c>
      <c r="BE29" s="1497">
        <v>2016</v>
      </c>
      <c r="CC29" s="1624">
        <v>2011</v>
      </c>
      <c r="CD29" s="1643">
        <v>142.9</v>
      </c>
      <c r="CE29" s="1643">
        <v>66.1</v>
      </c>
      <c r="CF29" s="1643">
        <v>76.8</v>
      </c>
      <c r="CG29" s="1626">
        <v>46</v>
      </c>
      <c r="CH29" s="1626">
        <v>54</v>
      </c>
      <c r="CW29" s="15" t="s">
        <v>1501</v>
      </c>
    </row>
    <row r="30" ht="18" customHeight="1" spans="1:110" x14ac:dyDescent="0.25">
      <c r="A30" s="1642"/>
      <c r="B30" s="1642" t="s">
        <v>1535</v>
      </c>
      <c r="C30" s="1642"/>
      <c r="D30" s="1642"/>
      <c r="E30" s="1642"/>
      <c r="F30" s="1642"/>
      <c r="G30" s="279"/>
      <c r="H30" s="276">
        <v>21</v>
      </c>
      <c r="I30" s="1617">
        <v>2011</v>
      </c>
      <c r="J30" s="1618">
        <v>143.0564</v>
      </c>
      <c r="K30" s="1634">
        <f>K29*(1+AJ24-Z30+T30 +0.0009)</f>
        <v>142.91360315080365</v>
      </c>
      <c r="L30" s="1635">
        <f t="shared" si="16"/>
        <v>143.0564</v>
      </c>
      <c r="N30" s="1630">
        <f t="shared" ref="N30:N49" si="27">N29</f>
        <v>0</v>
      </c>
      <c r="P30" s="276"/>
      <c r="Q30" s="276"/>
      <c r="R30" s="270">
        <v>0.351</v>
      </c>
      <c r="S30" s="276"/>
      <c r="T30" s="376">
        <v>0.00171</v>
      </c>
      <c r="U30" s="276"/>
      <c r="V30" s="276"/>
      <c r="W30" s="1650">
        <v>0.012959964226642388</v>
      </c>
      <c r="X30" s="276"/>
      <c r="Y30" s="276"/>
      <c r="Z30" s="1650">
        <v>0.014</v>
      </c>
      <c r="AA30" s="1390"/>
      <c r="AB30" s="1636">
        <v>75.779</v>
      </c>
      <c r="AC30" s="1637">
        <f t="shared" si="20"/>
        <v>0.5297141546970285</v>
      </c>
      <c r="AD30" s="1638">
        <v>2011</v>
      </c>
      <c r="AH30" s="1371">
        <v>2017</v>
      </c>
      <c r="AI30" s="1603"/>
      <c r="AJ30" s="1604">
        <f t="shared" si="23"/>
        <v>0.013792071258656018</v>
      </c>
      <c r="AK30" s="1640"/>
      <c r="AL30" s="1604">
        <f t="shared" si="21"/>
        <v>0.014</v>
      </c>
      <c r="AM30" s="1641"/>
      <c r="AN30" s="1604">
        <f>AN29</f>
        <v>0.0009999999999999996</v>
      </c>
      <c r="AS30" s="1497">
        <v>2017</v>
      </c>
      <c r="AT30" s="1603"/>
      <c r="AU30" s="1381">
        <v>145.1686</v>
      </c>
      <c r="AV30" s="1646"/>
      <c r="AW30" s="1647" t="e">
        <f>#REF!*AX30</f>
        <v>#REF!</v>
      </c>
      <c r="AX30" s="1648">
        <f t="shared" si="24"/>
        <v>0.536</v>
      </c>
      <c r="AY30" s="25"/>
      <c r="AZ30" s="1608">
        <f t="shared" si="25"/>
        <v>53.6</v>
      </c>
      <c r="BC30" s="1352">
        <f t="shared" si="26"/>
        <v>145.1686</v>
      </c>
      <c r="BD30" s="1613">
        <f t="shared" si="7"/>
        <v>0.536</v>
      </c>
      <c r="BE30" s="1497">
        <v>2017</v>
      </c>
      <c r="CC30" s="1624">
        <v>2012</v>
      </c>
      <c r="CD30" s="1643">
        <v>143</v>
      </c>
      <c r="CE30" s="1643">
        <v>66.10000000000001</v>
      </c>
      <c r="CF30" s="1643">
        <v>76.9</v>
      </c>
      <c r="CG30" s="1626">
        <v>46</v>
      </c>
      <c r="CH30" s="1626">
        <v>54</v>
      </c>
      <c r="CW30" s="15" t="s">
        <v>1507</v>
      </c>
      <c r="CX30">
        <v>94.8</v>
      </c>
      <c r="CY30">
        <v>90.8</v>
      </c>
      <c r="CZ30">
        <v>90.5</v>
      </c>
      <c r="DA30">
        <v>91.9</v>
      </c>
      <c r="DB30">
        <v>92.5</v>
      </c>
      <c r="DC30">
        <v>92</v>
      </c>
      <c r="DD30">
        <v>93.4</v>
      </c>
      <c r="DE30">
        <v>93.5</v>
      </c>
      <c r="DF30">
        <v>94.7</v>
      </c>
    </row>
    <row r="31" ht="18" customHeight="1" spans="1:110" x14ac:dyDescent="0.25">
      <c r="A31" s="1642"/>
      <c r="B31" s="1642" t="s">
        <v>1536</v>
      </c>
      <c r="C31" s="1642"/>
      <c r="D31" s="1642"/>
      <c r="E31" s="1642"/>
      <c r="F31" s="1642"/>
      <c r="G31" s="279"/>
      <c r="H31" s="276">
        <v>22</v>
      </c>
      <c r="I31" s="1617">
        <v>2012</v>
      </c>
      <c r="J31" s="1618">
        <v>143.3471</v>
      </c>
      <c r="K31" s="1634">
        <f t="shared" ref="K31:K49" si="28">K30*(1+AJ25-Z31+T31 +0.0009)</f>
        <v>143.1779654289826</v>
      </c>
      <c r="L31" s="1635">
        <f t="shared" si="16"/>
        <v>143.3471</v>
      </c>
      <c r="N31" s="1630">
        <f t="shared" si="27"/>
        <v>0</v>
      </c>
      <c r="P31" s="276"/>
      <c r="Q31" s="276"/>
      <c r="R31" s="270">
        <v>0.356</v>
      </c>
      <c r="S31" s="276"/>
      <c r="T31" s="376">
        <v>0.00172</v>
      </c>
      <c r="U31" s="276"/>
      <c r="V31" s="276"/>
      <c r="W31" s="1650">
        <v>0.013192285256336032</v>
      </c>
      <c r="X31" s="276"/>
      <c r="Y31" s="276"/>
      <c r="Z31" s="1650">
        <v>0.014</v>
      </c>
      <c r="AA31" s="1390"/>
      <c r="AB31" s="1636">
        <v>75.676</v>
      </c>
      <c r="AC31" s="1637">
        <f t="shared" si="20"/>
        <v>0.5279213880155231</v>
      </c>
      <c r="AD31" s="1638">
        <v>2012</v>
      </c>
      <c r="AH31" s="1371">
        <v>2018</v>
      </c>
      <c r="AI31" s="1603"/>
      <c r="AJ31" s="1604">
        <f t="shared" si="23"/>
        <v>0.013846879520299634</v>
      </c>
      <c r="AK31" s="1640"/>
      <c r="AL31" s="1604">
        <f t="shared" si="21"/>
        <v>0.014</v>
      </c>
      <c r="AM31" s="1641"/>
      <c r="AN31" s="1604">
        <f t="shared" ref="AN31:AN43" si="29">AN30</f>
        <v>0.0009999999999999996</v>
      </c>
      <c r="AS31" s="1497">
        <v>2018</v>
      </c>
      <c r="AT31" s="1603"/>
      <c r="AU31" s="1381">
        <v>145.74820000000003</v>
      </c>
      <c r="AV31" s="1646"/>
      <c r="AW31" s="1647" t="e">
        <f>#REF!*AX31</f>
        <v>#REF!</v>
      </c>
      <c r="AX31" s="1648">
        <f t="shared" si="24"/>
        <v>0.536</v>
      </c>
      <c r="AY31" s="25"/>
      <c r="AZ31" s="1608">
        <f t="shared" si="25"/>
        <v>53.6</v>
      </c>
      <c r="BC31" s="1352">
        <f t="shared" si="26"/>
        <v>145.74820000000003</v>
      </c>
      <c r="BD31" s="1613">
        <f t="shared" si="7"/>
        <v>0.536</v>
      </c>
      <c r="BE31" s="1497">
        <v>2018</v>
      </c>
      <c r="CC31" s="1624">
        <v>2013</v>
      </c>
      <c r="CD31" s="1643">
        <v>143.3</v>
      </c>
      <c r="CE31" s="1643">
        <v>66.30000000000001</v>
      </c>
      <c r="CF31" s="1643">
        <v>77</v>
      </c>
      <c r="CG31" s="1626">
        <v>46</v>
      </c>
      <c r="CH31" s="1626">
        <v>54</v>
      </c>
      <c r="CW31" s="15" t="s">
        <v>1256</v>
      </c>
      <c r="CX31">
        <v>5.2</v>
      </c>
      <c r="CY31">
        <v>9.2</v>
      </c>
      <c r="CZ31">
        <v>9.5</v>
      </c>
      <c r="DA31">
        <v>8.1</v>
      </c>
      <c r="DB31">
        <v>7.5</v>
      </c>
      <c r="DC31">
        <v>8</v>
      </c>
      <c r="DD31">
        <v>6.6</v>
      </c>
      <c r="DE31">
        <v>6.5</v>
      </c>
      <c r="DF31">
        <v>5.3</v>
      </c>
    </row>
    <row r="32" ht="18" customHeight="1" spans="1:57" x14ac:dyDescent="0.25">
      <c r="A32" s="1642" t="s">
        <v>1537</v>
      </c>
      <c r="B32" s="1651" t="s">
        <v>1538</v>
      </c>
      <c r="C32" s="1651"/>
      <c r="D32" s="1651"/>
      <c r="E32" s="1651"/>
      <c r="F32" s="1651"/>
      <c r="H32" s="276">
        <v>23</v>
      </c>
      <c r="I32" s="1617">
        <v>2013</v>
      </c>
      <c r="J32" s="1618">
        <v>143.6669</v>
      </c>
      <c r="K32" s="1634">
        <f t="shared" si="28"/>
        <v>143.46819667252998</v>
      </c>
      <c r="L32" s="1635">
        <f t="shared" si="16"/>
        <v>143.6669</v>
      </c>
      <c r="N32" s="1630">
        <f t="shared" si="27"/>
        <v>0</v>
      </c>
      <c r="P32" s="276"/>
      <c r="Q32" s="276"/>
      <c r="R32" s="270"/>
      <c r="S32" s="276"/>
      <c r="T32" s="376">
        <v>0.00173</v>
      </c>
      <c r="U32" s="276"/>
      <c r="V32" s="276"/>
      <c r="W32" s="1650">
        <v>0.013522561673496804</v>
      </c>
      <c r="X32" s="276"/>
      <c r="Y32" s="276"/>
      <c r="Z32" s="1650">
        <f>Z31</f>
        <v>0.014</v>
      </c>
      <c r="AA32" s="1390"/>
      <c r="AB32" s="1636">
        <v>75.529</v>
      </c>
      <c r="AC32" s="1637">
        <f t="shared" si="20"/>
        <v>0.5257230440693019</v>
      </c>
      <c r="AD32" s="1638">
        <v>2013</v>
      </c>
      <c r="AH32" s="1371">
        <v>2019</v>
      </c>
      <c r="AI32" s="1603"/>
      <c r="AJ32" s="1604">
        <f t="shared" si="23"/>
        <v>0.013890726129614528</v>
      </c>
      <c r="AK32" s="1640"/>
      <c r="AL32" s="1604">
        <f t="shared" si="21"/>
        <v>0.014</v>
      </c>
      <c r="AM32" s="1641"/>
      <c r="AN32" s="1604">
        <f t="shared" si="29"/>
        <v>0.0009999999999999996</v>
      </c>
      <c r="AS32" s="1497">
        <v>2019</v>
      </c>
      <c r="AT32" s="1603"/>
      <c r="AU32" s="1381">
        <v>146.3386</v>
      </c>
      <c r="AV32" s="1646"/>
      <c r="AW32" s="1647" t="e">
        <f>#REF!*AX32</f>
        <v>#REF!</v>
      </c>
      <c r="AX32" s="1648">
        <f t="shared" si="24"/>
        <v>0.536</v>
      </c>
      <c r="AY32" s="25"/>
      <c r="AZ32" s="1608">
        <f t="shared" si="25"/>
        <v>53.6</v>
      </c>
      <c r="BC32" s="1352">
        <f t="shared" si="26"/>
        <v>146.3386</v>
      </c>
      <c r="BD32" s="1613">
        <f t="shared" si="7"/>
        <v>0.536</v>
      </c>
      <c r="BE32" s="1497">
        <v>2019</v>
      </c>
    </row>
    <row r="33" ht="18" customHeight="1" spans="1:86" x14ac:dyDescent="0.25">
      <c r="A33" s="1642" t="s">
        <v>1539</v>
      </c>
      <c r="B33" s="1651" t="s">
        <v>1540</v>
      </c>
      <c r="C33" s="1651"/>
      <c r="D33" s="1651"/>
      <c r="E33" s="1651"/>
      <c r="F33" s="1651"/>
      <c r="H33" s="276">
        <v>24</v>
      </c>
      <c r="I33" s="1617">
        <v>2014</v>
      </c>
      <c r="J33" s="1618">
        <v>146.26729999999998</v>
      </c>
      <c r="K33" s="1634">
        <f t="shared" si="28"/>
        <v>143.77964828533638</v>
      </c>
      <c r="L33" s="1635">
        <f t="shared" si="16"/>
        <v>146.26729999999998</v>
      </c>
      <c r="N33" s="1630">
        <f t="shared" si="27"/>
        <v>0</v>
      </c>
      <c r="P33" s="276"/>
      <c r="Q33" s="276"/>
      <c r="R33" s="270"/>
      <c r="S33" s="276"/>
      <c r="T33" s="376">
        <v>0.00174</v>
      </c>
      <c r="U33" s="276"/>
      <c r="V33" s="276"/>
      <c r="W33" s="1650">
        <v>0.013779202307556663</v>
      </c>
      <c r="X33" s="276"/>
      <c r="Y33" s="276"/>
      <c r="Z33" s="1650">
        <f>Z32+0.7*(Z32-Z31)</f>
        <v>0.014</v>
      </c>
      <c r="AA33" s="1390"/>
      <c r="AB33" s="1636">
        <v>75.428</v>
      </c>
      <c r="AC33" s="1637">
        <f t="shared" si="20"/>
        <v>0.5156860077406229</v>
      </c>
      <c r="AD33" s="1638">
        <v>2014</v>
      </c>
      <c r="AH33" s="1371">
        <v>2020</v>
      </c>
      <c r="AI33" s="1603"/>
      <c r="AJ33" s="1604">
        <f t="shared" si="23"/>
        <v>0.013925803417066443</v>
      </c>
      <c r="AK33" s="1640"/>
      <c r="AL33" s="1604">
        <f t="shared" si="21"/>
        <v>0.014</v>
      </c>
      <c r="AM33" s="1641"/>
      <c r="AN33" s="1604">
        <f t="shared" si="29"/>
        <v>0.0009999999999999996</v>
      </c>
      <c r="AS33" s="1497">
        <v>2020</v>
      </c>
      <c r="AT33" s="1603"/>
      <c r="AU33" s="1381">
        <v>146.93929999999997</v>
      </c>
      <c r="AV33" s="1646"/>
      <c r="AW33" s="1647" t="e">
        <f>#REF!*AX33</f>
        <v>#REF!</v>
      </c>
      <c r="AX33" s="1648">
        <f t="shared" si="24"/>
        <v>0.536</v>
      </c>
      <c r="AY33" s="25"/>
      <c r="AZ33" s="1608">
        <f t="shared" si="25"/>
        <v>53.6</v>
      </c>
      <c r="BC33" s="1352">
        <f t="shared" si="26"/>
        <v>146.93929999999997</v>
      </c>
      <c r="BD33" s="1613">
        <f t="shared" si="7"/>
        <v>0.536</v>
      </c>
      <c r="BE33" s="1497">
        <v>2020</v>
      </c>
      <c r="CC33" s="1652" t="s">
        <v>1541</v>
      </c>
      <c r="CD33" s="1652"/>
      <c r="CE33" s="1652"/>
      <c r="CF33" s="1652"/>
      <c r="CG33" s="1652"/>
      <c r="CH33" s="1652"/>
    </row>
    <row r="34" ht="18" customHeight="1" spans="1:57" x14ac:dyDescent="0.25">
      <c r="A34" s="1642" t="s">
        <v>1542</v>
      </c>
      <c r="B34" s="1651" t="s">
        <v>1543</v>
      </c>
      <c r="C34" s="1651"/>
      <c r="D34" s="1651"/>
      <c r="E34" s="1651"/>
      <c r="F34" s="1651"/>
      <c r="H34" s="276">
        <v>25</v>
      </c>
      <c r="I34" s="1617">
        <v>2015</v>
      </c>
      <c r="J34" s="1653">
        <v>146.5447</v>
      </c>
      <c r="K34" s="1634">
        <f t="shared" si="28"/>
        <v>144.10860505285606</v>
      </c>
      <c r="L34" s="1635">
        <f t="shared" si="16"/>
        <v>146.5447</v>
      </c>
      <c r="N34" s="1630">
        <f t="shared" si="27"/>
        <v>0</v>
      </c>
      <c r="P34" s="276"/>
      <c r="Q34" s="276"/>
      <c r="R34" s="270"/>
      <c r="S34" s="276"/>
      <c r="T34" s="376">
        <v>0.00175</v>
      </c>
      <c r="U34" s="276"/>
      <c r="V34" s="276"/>
      <c r="W34" s="1650">
        <v>0.013978642107288039</v>
      </c>
      <c r="X34" s="276"/>
      <c r="Y34" s="276"/>
      <c r="Z34" s="1650">
        <f t="shared" ref="Z34:Z49" si="30">Z33+0.7*(Z33-Z32)</f>
        <v>0.014</v>
      </c>
      <c r="AA34" s="1390"/>
      <c r="AB34" s="1636">
        <v>76.588</v>
      </c>
      <c r="AC34" s="1637">
        <f t="shared" si="20"/>
        <v>0.5226255197219687</v>
      </c>
      <c r="AD34" s="1638">
        <v>2015</v>
      </c>
      <c r="AH34" s="1371">
        <v>2021</v>
      </c>
      <c r="AI34" s="1603"/>
      <c r="AJ34" s="1604">
        <f t="shared" si="23"/>
        <v>0.013953865247027974</v>
      </c>
      <c r="AK34" s="1640"/>
      <c r="AL34" s="1604">
        <f t="shared" si="21"/>
        <v>0.014</v>
      </c>
      <c r="AM34" s="1641"/>
      <c r="AN34" s="1604">
        <f t="shared" si="29"/>
        <v>0.0009999999999999996</v>
      </c>
      <c r="AS34" s="1497">
        <v>2021</v>
      </c>
      <c r="AT34" s="1603"/>
      <c r="AU34" s="1381">
        <v>147.5489</v>
      </c>
      <c r="AV34" s="1646"/>
      <c r="AW34" s="1647" t="e">
        <f>#REF!*AX34</f>
        <v>#REF!</v>
      </c>
      <c r="AX34" s="1648">
        <f t="shared" si="24"/>
        <v>0.536</v>
      </c>
      <c r="AY34" s="25"/>
      <c r="AZ34" s="1608">
        <f t="shared" si="25"/>
        <v>53.6</v>
      </c>
      <c r="BC34" s="1352">
        <f t="shared" si="26"/>
        <v>147.5489</v>
      </c>
      <c r="BD34" s="1613">
        <f t="shared" si="7"/>
        <v>0.536</v>
      </c>
      <c r="BE34" s="1497">
        <v>2021</v>
      </c>
    </row>
    <row r="35" ht="18" customHeight="1" spans="1:57" x14ac:dyDescent="0.25">
      <c r="A35" s="1642" t="s">
        <v>1544</v>
      </c>
      <c r="B35" s="1651" t="s">
        <v>1545</v>
      </c>
      <c r="C35" s="1651"/>
      <c r="D35" s="1651"/>
      <c r="E35" s="1651"/>
      <c r="F35" s="1651"/>
      <c r="H35" s="276">
        <v>26</v>
      </c>
      <c r="I35" s="1617">
        <v>2016</v>
      </c>
      <c r="J35" s="1653">
        <v>146.8</v>
      </c>
      <c r="K35" s="1634">
        <f t="shared" si="28"/>
        <v>144.45209669376763</v>
      </c>
      <c r="L35" s="1635">
        <f t="shared" si="16"/>
        <v>146.8</v>
      </c>
      <c r="N35" s="1630">
        <f t="shared" si="27"/>
        <v>0</v>
      </c>
      <c r="P35" s="276"/>
      <c r="Q35" s="276"/>
      <c r="R35" s="270"/>
      <c r="S35" s="276"/>
      <c r="T35" s="376">
        <v>0.00176</v>
      </c>
      <c r="U35" s="276"/>
      <c r="V35" s="276"/>
      <c r="W35" s="1650">
        <v>0.014159002126687758</v>
      </c>
      <c r="X35" s="276"/>
      <c r="Y35" s="276"/>
      <c r="Z35" s="1650">
        <f t="shared" si="30"/>
        <v>0.014</v>
      </c>
      <c r="AA35" s="1390"/>
      <c r="AB35" s="1654">
        <v>76.636</v>
      </c>
      <c r="AC35" s="1655">
        <f t="shared" si="20"/>
        <v>0.5220435967302451</v>
      </c>
      <c r="AD35" s="1638">
        <v>2016</v>
      </c>
      <c r="AH35" s="1371">
        <v>2022</v>
      </c>
      <c r="AI35" s="1603"/>
      <c r="AJ35" s="1604">
        <f t="shared" si="23"/>
        <v>0.013976314710997199</v>
      </c>
      <c r="AK35" s="1640"/>
      <c r="AL35" s="1604">
        <f t="shared" si="21"/>
        <v>0.014</v>
      </c>
      <c r="AM35" s="1641"/>
      <c r="AN35" s="1604">
        <f t="shared" si="29"/>
        <v>0.0009999999999999996</v>
      </c>
      <c r="AS35" s="1497">
        <v>2022</v>
      </c>
      <c r="AT35" s="1603"/>
      <c r="AU35" s="1381">
        <v>148.161</v>
      </c>
      <c r="AV35" s="1646"/>
      <c r="AW35" s="1647" t="e">
        <f>#REF!*AX35</f>
        <v>#REF!</v>
      </c>
      <c r="AX35" s="1648">
        <f t="shared" si="24"/>
        <v>0.536</v>
      </c>
      <c r="AY35" s="25"/>
      <c r="AZ35" s="1608">
        <f t="shared" si="25"/>
        <v>53.6</v>
      </c>
      <c r="BC35" s="1352">
        <f t="shared" si="26"/>
        <v>148.161</v>
      </c>
      <c r="BD35" s="1613">
        <f t="shared" si="7"/>
        <v>0.536</v>
      </c>
      <c r="BE35" s="1497">
        <v>2022</v>
      </c>
    </row>
    <row r="36" ht="18" customHeight="1" spans="1:57" x14ac:dyDescent="0.25">
      <c r="A36" s="1642" t="s">
        <v>1546</v>
      </c>
      <c r="B36" s="1651" t="s">
        <v>1547</v>
      </c>
      <c r="C36" s="1651"/>
      <c r="D36" s="1651"/>
      <c r="E36" s="1651"/>
      <c r="F36" s="1651"/>
      <c r="H36" s="276">
        <v>27</v>
      </c>
      <c r="I36" s="1617">
        <v>2017</v>
      </c>
      <c r="J36" s="1656"/>
      <c r="K36" s="1634">
        <f t="shared" si="28"/>
        <v>144.80774804928996</v>
      </c>
      <c r="L36" s="1635">
        <f>L35+0.3</f>
        <v>147.10000000000002</v>
      </c>
      <c r="N36" s="1630">
        <f t="shared" si="27"/>
        <v>0</v>
      </c>
      <c r="P36" s="276"/>
      <c r="Q36" s="276"/>
      <c r="R36" s="270"/>
      <c r="S36" s="276"/>
      <c r="T36" s="376">
        <v>0.00177</v>
      </c>
      <c r="U36" s="276"/>
      <c r="V36" s="276"/>
      <c r="W36" s="1650">
        <v>0.014329855054498596</v>
      </c>
      <c r="X36" s="276"/>
      <c r="Y36" s="276"/>
      <c r="Z36" s="1650">
        <f t="shared" si="30"/>
        <v>0.014</v>
      </c>
      <c r="AA36" s="1390"/>
      <c r="AB36" s="1657">
        <f>L36*AC36</f>
        <v>76.79261307901908</v>
      </c>
      <c r="AC36" s="1658">
        <f t="shared" ref="AC36:AC49" si="31">AC35</f>
        <v>0.5220435967302451</v>
      </c>
      <c r="AD36" s="1638">
        <v>2017</v>
      </c>
      <c r="AH36" s="1371">
        <v>2023</v>
      </c>
      <c r="AI36" s="1603"/>
      <c r="AJ36" s="1604">
        <f t="shared" si="23"/>
        <v>0.013994274282172578</v>
      </c>
      <c r="AK36" s="1640"/>
      <c r="AL36" s="1604">
        <f t="shared" si="21"/>
        <v>0.014</v>
      </c>
      <c r="AM36" s="1641"/>
      <c r="AN36" s="1604">
        <f t="shared" si="29"/>
        <v>0.0009999999999999996</v>
      </c>
      <c r="AS36" s="1497">
        <v>2023</v>
      </c>
      <c r="AT36" s="1603"/>
      <c r="AU36" s="1381">
        <v>148.757</v>
      </c>
      <c r="AV36" s="1646"/>
      <c r="AW36" s="1647" t="e">
        <f>#REF!*AX36</f>
        <v>#REF!</v>
      </c>
      <c r="AX36" s="1648">
        <f t="shared" si="24"/>
        <v>0.536</v>
      </c>
      <c r="AY36" s="25"/>
      <c r="AZ36" s="1608">
        <f t="shared" si="25"/>
        <v>53.6</v>
      </c>
      <c r="BC36" s="1352">
        <f t="shared" si="26"/>
        <v>148.757</v>
      </c>
      <c r="BD36" s="1613">
        <f t="shared" si="7"/>
        <v>0.536</v>
      </c>
      <c r="BE36" s="1497">
        <v>2023</v>
      </c>
    </row>
    <row r="37" ht="18" customHeight="1" spans="1:57" x14ac:dyDescent="0.25">
      <c r="A37" s="1642" t="s">
        <v>1548</v>
      </c>
      <c r="B37" s="1651" t="s">
        <v>1549</v>
      </c>
      <c r="C37" s="1651"/>
      <c r="D37" s="1651"/>
      <c r="E37" s="1651"/>
      <c r="F37" s="1651"/>
      <c r="H37" s="276">
        <v>28</v>
      </c>
      <c r="I37" s="1617">
        <v>2018</v>
      </c>
      <c r="J37" s="1656"/>
      <c r="K37" s="1634">
        <f t="shared" si="28"/>
        <v>145.1736597822164</v>
      </c>
      <c r="L37" s="1635">
        <f t="shared" ref="L37:L49" si="32">L36+0.3</f>
        <v>147.40000000000003</v>
      </c>
      <c r="N37" s="1630">
        <f t="shared" si="27"/>
        <v>0</v>
      </c>
      <c r="P37" s="276"/>
      <c r="Q37" s="276"/>
      <c r="R37" s="270"/>
      <c r="S37" s="276"/>
      <c r="T37" s="376">
        <v>0.0017800000000000001</v>
      </c>
      <c r="U37" s="276"/>
      <c r="V37" s="276"/>
      <c r="W37" s="1650">
        <v>0.01448967565108182</v>
      </c>
      <c r="X37" s="276"/>
      <c r="Y37" s="276"/>
      <c r="Z37" s="1650">
        <f t="shared" si="30"/>
        <v>0.014</v>
      </c>
      <c r="AA37" s="1390"/>
      <c r="AB37" s="1659">
        <f t="shared" ref="AB37:AB49" si="33">L37*AC37</f>
        <v>76.94922615803816</v>
      </c>
      <c r="AC37" s="1658">
        <f t="shared" si="31"/>
        <v>0.5220435967302451</v>
      </c>
      <c r="AD37" s="1638">
        <v>2018</v>
      </c>
      <c r="AH37" s="1371">
        <v>2024</v>
      </c>
      <c r="AI37" s="1603"/>
      <c r="AJ37" s="1604">
        <f t="shared" si="23"/>
        <v>0.014008641939112882</v>
      </c>
      <c r="AK37" s="1640"/>
      <c r="AL37" s="1604">
        <f t="shared" si="21"/>
        <v>0.014</v>
      </c>
      <c r="AM37" s="1641"/>
      <c r="AN37" s="1604">
        <f t="shared" si="29"/>
        <v>0.0009999999999999996</v>
      </c>
      <c r="AS37" s="1497">
        <v>2024</v>
      </c>
      <c r="AT37" s="1603"/>
      <c r="AU37" s="1381">
        <v>149.33370000000002</v>
      </c>
      <c r="AV37" s="1646"/>
      <c r="AW37" s="1647" t="e">
        <f>#REF!*AX37</f>
        <v>#REF!</v>
      </c>
      <c r="AX37" s="1648">
        <f t="shared" si="24"/>
        <v>0.536</v>
      </c>
      <c r="AY37" s="25"/>
      <c r="AZ37" s="1608">
        <f t="shared" si="25"/>
        <v>53.6</v>
      </c>
      <c r="BC37" s="1352">
        <f t="shared" si="26"/>
        <v>149.33370000000002</v>
      </c>
      <c r="BD37" s="1613">
        <f t="shared" si="7"/>
        <v>0.536</v>
      </c>
      <c r="BE37" s="1497">
        <v>2024</v>
      </c>
    </row>
    <row r="38" ht="18" customHeight="1" spans="1:57" x14ac:dyDescent="0.25">
      <c r="A38" s="1642" t="s">
        <v>1548</v>
      </c>
      <c r="B38" s="1651" t="s">
        <v>1550</v>
      </c>
      <c r="C38" s="1651"/>
      <c r="D38" s="1651"/>
      <c r="E38" s="1651"/>
      <c r="F38" s="1651"/>
      <c r="H38" s="276">
        <v>29</v>
      </c>
      <c r="I38" s="1617">
        <v>2019</v>
      </c>
      <c r="J38" s="1656"/>
      <c r="K38" s="1634">
        <f t="shared" si="28"/>
        <v>145.54831323934812</v>
      </c>
      <c r="L38" s="1635">
        <f t="shared" si="32"/>
        <v>147.70000000000005</v>
      </c>
      <c r="N38" s="1630">
        <f t="shared" si="27"/>
        <v>0</v>
      </c>
      <c r="P38" s="276"/>
      <c r="Q38" s="276"/>
      <c r="R38" s="270"/>
      <c r="S38" s="276"/>
      <c r="T38" s="376">
        <v>0.0017900000000000001</v>
      </c>
      <c r="U38" s="276"/>
      <c r="V38" s="276"/>
      <c r="W38" s="1650">
        <v>0.01464103786380216</v>
      </c>
      <c r="X38" s="276"/>
      <c r="Y38" s="276"/>
      <c r="Z38" s="1650">
        <f t="shared" si="30"/>
        <v>0.014</v>
      </c>
      <c r="AA38" s="1390"/>
      <c r="AB38" s="1659">
        <f t="shared" si="33"/>
        <v>77.10583923705722</v>
      </c>
      <c r="AC38" s="1658">
        <f t="shared" si="31"/>
        <v>0.5220435967302451</v>
      </c>
      <c r="AD38" s="1638">
        <v>2019</v>
      </c>
      <c r="AH38" s="1371">
        <v>2025</v>
      </c>
      <c r="AI38" s="1603"/>
      <c r="AJ38" s="1604">
        <f t="shared" si="23"/>
        <v>0.014020136064665125</v>
      </c>
      <c r="AK38" s="1640"/>
      <c r="AL38" s="1604">
        <f t="shared" si="21"/>
        <v>0.014</v>
      </c>
      <c r="AM38" s="1641"/>
      <c r="AN38" s="1604">
        <f t="shared" si="29"/>
        <v>0.0009999999999999996</v>
      </c>
      <c r="AS38" s="1497">
        <v>2025</v>
      </c>
      <c r="AT38" s="1603"/>
      <c r="AU38" s="1381">
        <v>149.8879</v>
      </c>
      <c r="AV38" s="1646"/>
      <c r="AW38" s="1647" t="e">
        <f>#REF!*AX38</f>
        <v>#REF!</v>
      </c>
      <c r="AX38" s="1648">
        <f t="shared" si="24"/>
        <v>0.536</v>
      </c>
      <c r="AY38" s="25"/>
      <c r="AZ38" s="1608">
        <f t="shared" si="25"/>
        <v>53.6</v>
      </c>
      <c r="BC38" s="1352">
        <f t="shared" si="26"/>
        <v>149.8879</v>
      </c>
      <c r="BD38" s="1613">
        <f t="shared" si="7"/>
        <v>0.536</v>
      </c>
      <c r="BE38" s="1497">
        <v>2025</v>
      </c>
    </row>
    <row r="39" ht="18" customHeight="1" spans="1:57" x14ac:dyDescent="0.25">
      <c r="A39" s="1642" t="s">
        <v>1551</v>
      </c>
      <c r="B39" s="1651" t="s">
        <v>1552</v>
      </c>
      <c r="C39" s="1651"/>
      <c r="D39" s="1651"/>
      <c r="E39" s="1651"/>
      <c r="F39" s="1651"/>
      <c r="H39" s="276">
        <v>30</v>
      </c>
      <c r="I39" s="1617">
        <v>2020</v>
      </c>
      <c r="J39" s="1656"/>
      <c r="K39" s="1634">
        <f t="shared" si="28"/>
        <v>145.93049449760025</v>
      </c>
      <c r="L39" s="1635">
        <f t="shared" si="32"/>
        <v>148.00000000000006</v>
      </c>
      <c r="N39" s="1630">
        <f t="shared" si="27"/>
        <v>0</v>
      </c>
      <c r="P39" s="276"/>
      <c r="Q39" s="276"/>
      <c r="R39" s="270"/>
      <c r="S39" s="276"/>
      <c r="T39" s="376">
        <v>0.0018000000000000002</v>
      </c>
      <c r="U39" s="276"/>
      <c r="V39" s="276"/>
      <c r="W39" s="1650">
        <v>0.01477152675267112</v>
      </c>
      <c r="X39" s="276"/>
      <c r="Y39" s="276"/>
      <c r="Z39" s="1650">
        <f t="shared" si="30"/>
        <v>0.014</v>
      </c>
      <c r="AA39" s="1390"/>
      <c r="AB39" s="1659">
        <f t="shared" si="33"/>
        <v>77.2624523160763</v>
      </c>
      <c r="AC39" s="1658">
        <f t="shared" si="31"/>
        <v>0.5220435967302451</v>
      </c>
      <c r="AD39" s="1638">
        <v>2020</v>
      </c>
      <c r="AH39" s="1371">
        <v>2026</v>
      </c>
      <c r="AI39" s="1603"/>
      <c r="AJ39" s="1604">
        <f t="shared" si="23"/>
        <v>0.01402933136510692</v>
      </c>
      <c r="AK39" s="1640"/>
      <c r="AL39" s="1604">
        <f t="shared" si="21"/>
        <v>0.014</v>
      </c>
      <c r="AM39" s="1641"/>
      <c r="AN39" s="1604">
        <f t="shared" si="29"/>
        <v>0.0009999999999999996</v>
      </c>
      <c r="AS39" s="1497">
        <v>2026</v>
      </c>
      <c r="AT39" s="1603"/>
      <c r="AU39" s="1381">
        <v>150.4239</v>
      </c>
      <c r="AV39" s="1646"/>
      <c r="AW39" s="1647" t="e">
        <f>#REF!*AX39</f>
        <v>#REF!</v>
      </c>
      <c r="AX39" s="1648">
        <f t="shared" si="24"/>
        <v>0.536</v>
      </c>
      <c r="AY39" s="25"/>
      <c r="AZ39" s="1608">
        <f t="shared" si="25"/>
        <v>53.6</v>
      </c>
      <c r="BC39" s="1352">
        <f t="shared" si="26"/>
        <v>150.4239</v>
      </c>
      <c r="BD39" s="1613">
        <f t="shared" si="7"/>
        <v>0.536</v>
      </c>
      <c r="BE39" s="1497">
        <v>2026</v>
      </c>
    </row>
    <row r="40" ht="18" customHeight="1" spans="1:57" x14ac:dyDescent="0.25">
      <c r="A40" s="1642" t="s">
        <v>1553</v>
      </c>
      <c r="B40" s="1651" t="s">
        <v>1554</v>
      </c>
      <c r="C40" s="1651"/>
      <c r="D40" s="1651"/>
      <c r="E40" s="1651"/>
      <c r="F40" s="1651"/>
      <c r="H40" s="276">
        <v>31</v>
      </c>
      <c r="I40" s="1617">
        <v>2021</v>
      </c>
      <c r="J40" s="1656"/>
      <c r="K40" s="1634">
        <f t="shared" si="28"/>
        <v>146.319233670374</v>
      </c>
      <c r="L40" s="1635">
        <f t="shared" si="32"/>
        <v>148.30000000000007</v>
      </c>
      <c r="N40" s="1630">
        <f t="shared" si="27"/>
        <v>0</v>
      </c>
      <c r="P40" s="276"/>
      <c r="Q40" s="276"/>
      <c r="R40" s="270"/>
      <c r="S40" s="276"/>
      <c r="T40" s="376">
        <v>0.0018100000000000002</v>
      </c>
      <c r="U40" s="276"/>
      <c r="V40" s="276"/>
      <c r="W40" s="1650">
        <v>0.014887297937934474</v>
      </c>
      <c r="X40" s="276"/>
      <c r="Y40" s="276"/>
      <c r="Z40" s="1650">
        <f t="shared" si="30"/>
        <v>0.014</v>
      </c>
      <c r="AA40" s="1390"/>
      <c r="AB40" s="1659">
        <f t="shared" si="33"/>
        <v>77.41906539509539</v>
      </c>
      <c r="AC40" s="1658">
        <f t="shared" si="31"/>
        <v>0.5220435967302451</v>
      </c>
      <c r="AD40" s="1638">
        <v>2021</v>
      </c>
      <c r="AH40" s="1371">
        <v>2027</v>
      </c>
      <c r="AI40" s="1603"/>
      <c r="AJ40" s="1604">
        <f t="shared" si="23"/>
        <v>0.014036687605460355</v>
      </c>
      <c r="AK40" s="1640"/>
      <c r="AL40" s="1604">
        <f t="shared" si="21"/>
        <v>0.014</v>
      </c>
      <c r="AM40" s="1641"/>
      <c r="AN40" s="1604">
        <f t="shared" si="29"/>
        <v>0.0009999999999999996</v>
      </c>
      <c r="AS40" s="1497">
        <v>2027</v>
      </c>
      <c r="AT40" s="1603"/>
      <c r="AU40" s="1381">
        <v>150.9445</v>
      </c>
      <c r="AV40" s="1646"/>
      <c r="AW40" s="1647" t="e">
        <f>#REF!*AX40</f>
        <v>#REF!</v>
      </c>
      <c r="AX40" s="1648">
        <f t="shared" si="24"/>
        <v>0.536</v>
      </c>
      <c r="AY40" s="25"/>
      <c r="AZ40" s="1608">
        <f t="shared" si="25"/>
        <v>53.6</v>
      </c>
      <c r="BC40" s="1352">
        <f t="shared" si="26"/>
        <v>150.9445</v>
      </c>
      <c r="BD40" s="1613">
        <f t="shared" si="7"/>
        <v>0.536</v>
      </c>
      <c r="BE40" s="1497">
        <v>2027</v>
      </c>
    </row>
    <row r="41" ht="18" customHeight="1" spans="2:57" x14ac:dyDescent="0.25">
      <c r="B41" s="1642"/>
      <c r="C41" s="1651"/>
      <c r="D41" s="1651"/>
      <c r="E41" s="1651"/>
      <c r="F41" s="1651"/>
      <c r="G41" s="1651"/>
      <c r="H41" s="276">
        <v>32</v>
      </c>
      <c r="I41" s="1617">
        <v>2022</v>
      </c>
      <c r="J41" s="1656"/>
      <c r="K41" s="1634">
        <f t="shared" si="28"/>
        <v>146.71375637262125</v>
      </c>
      <c r="L41" s="1635">
        <f t="shared" si="32"/>
        <v>148.60000000000008</v>
      </c>
      <c r="N41" s="1630">
        <f t="shared" si="27"/>
        <v>0</v>
      </c>
      <c r="P41" s="276"/>
      <c r="Q41" s="276"/>
      <c r="R41" s="270"/>
      <c r="S41" s="276"/>
      <c r="T41" s="376">
        <v>0.0018200000000000002</v>
      </c>
      <c r="U41" s="276"/>
      <c r="V41" s="276"/>
      <c r="W41" s="1650">
        <v>0.014993307784843224</v>
      </c>
      <c r="X41" s="276"/>
      <c r="Y41" s="276"/>
      <c r="Z41" s="1650">
        <f t="shared" si="30"/>
        <v>0.014</v>
      </c>
      <c r="AA41" s="1390"/>
      <c r="AB41" s="1659">
        <f t="shared" si="33"/>
        <v>77.57567847411447</v>
      </c>
      <c r="AC41" s="1658">
        <f t="shared" si="31"/>
        <v>0.5220435967302451</v>
      </c>
      <c r="AD41" s="1638">
        <v>2022</v>
      </c>
      <c r="AH41" s="1371">
        <v>2028</v>
      </c>
      <c r="AI41" s="1603"/>
      <c r="AJ41" s="1604">
        <f t="shared" si="23"/>
        <v>0.014042572597743103</v>
      </c>
      <c r="AK41" s="1640"/>
      <c r="AL41" s="1604">
        <f t="shared" si="21"/>
        <v>0.014</v>
      </c>
      <c r="AM41" s="1641"/>
      <c r="AN41" s="1604">
        <f t="shared" si="29"/>
        <v>0.0009999999999999996</v>
      </c>
      <c r="AS41" s="1497">
        <v>2028</v>
      </c>
      <c r="AT41" s="1603"/>
      <c r="AU41" s="1381">
        <v>151.4595</v>
      </c>
      <c r="AV41" s="1646"/>
      <c r="AW41" s="1647" t="e">
        <f>#REF!*AX41</f>
        <v>#REF!</v>
      </c>
      <c r="AX41" s="1648">
        <f t="shared" si="24"/>
        <v>0.536</v>
      </c>
      <c r="AY41" s="25"/>
      <c r="AZ41" s="1608">
        <f t="shared" si="25"/>
        <v>53.6</v>
      </c>
      <c r="BC41" s="1352">
        <f t="shared" si="26"/>
        <v>151.4595</v>
      </c>
      <c r="BD41" s="1613">
        <f t="shared" si="7"/>
        <v>0.536</v>
      </c>
      <c r="BE41" s="1497">
        <v>2028</v>
      </c>
    </row>
    <row r="42" ht="18" customHeight="1" spans="2:57" x14ac:dyDescent="0.25">
      <c r="B42" s="1660"/>
      <c r="C42" s="1661"/>
      <c r="D42" s="1661"/>
      <c r="E42" s="1661"/>
      <c r="F42" s="1661"/>
      <c r="G42" s="1661"/>
      <c r="H42" s="276">
        <v>33</v>
      </c>
      <c r="I42" s="1617">
        <v>2023</v>
      </c>
      <c r="J42" s="1656"/>
      <c r="K42" s="1634">
        <f t="shared" si="28"/>
        <v>147.1134448859481</v>
      </c>
      <c r="L42" s="1635">
        <f t="shared" si="32"/>
        <v>148.9000000000001</v>
      </c>
      <c r="N42" s="1630">
        <f t="shared" si="27"/>
        <v>0</v>
      </c>
      <c r="P42" s="276"/>
      <c r="Q42" s="276"/>
      <c r="R42" s="270"/>
      <c r="S42" s="276"/>
      <c r="T42" s="376">
        <v>0.0018300000000000002</v>
      </c>
      <c r="U42" s="276"/>
      <c r="V42" s="276"/>
      <c r="W42" s="1650">
        <v>0.015090643444961362</v>
      </c>
      <c r="X42" s="276"/>
      <c r="Y42" s="276"/>
      <c r="Z42" s="1650">
        <f t="shared" si="30"/>
        <v>0.014</v>
      </c>
      <c r="AA42" s="1390"/>
      <c r="AB42" s="1659">
        <f t="shared" si="33"/>
        <v>77.73229155313355</v>
      </c>
      <c r="AC42" s="1658">
        <f t="shared" si="31"/>
        <v>0.5220435967302451</v>
      </c>
      <c r="AD42" s="1638">
        <v>2023</v>
      </c>
      <c r="AH42" s="1371">
        <v>2029</v>
      </c>
      <c r="AI42" s="1603"/>
      <c r="AJ42" s="1604">
        <f t="shared" si="23"/>
        <v>0.014047280591569301</v>
      </c>
      <c r="AK42" s="1640"/>
      <c r="AL42" s="1604">
        <f t="shared" si="21"/>
        <v>0.014</v>
      </c>
      <c r="AM42" s="1641"/>
      <c r="AN42" s="1604">
        <f t="shared" si="29"/>
        <v>0.0009999999999999996</v>
      </c>
      <c r="AS42" s="1497">
        <v>2029</v>
      </c>
      <c r="AT42" s="1603"/>
      <c r="AU42" s="1381">
        <v>151.9652</v>
      </c>
      <c r="AV42" s="1646"/>
      <c r="AW42" s="1647" t="e">
        <f>#REF!*AX42</f>
        <v>#REF!</v>
      </c>
      <c r="AX42" s="1648">
        <f t="shared" si="24"/>
        <v>0.536</v>
      </c>
      <c r="AY42" s="25"/>
      <c r="AZ42" s="1608">
        <f t="shared" si="25"/>
        <v>53.6</v>
      </c>
      <c r="BC42" s="1352">
        <f t="shared" si="26"/>
        <v>151.9652</v>
      </c>
      <c r="BD42" s="1613">
        <f t="shared" si="7"/>
        <v>0.536</v>
      </c>
      <c r="BE42" s="1497">
        <v>2029</v>
      </c>
    </row>
    <row r="43" ht="18" customHeight="1" spans="8:57" x14ac:dyDescent="0.25">
      <c r="H43" s="276">
        <v>34</v>
      </c>
      <c r="I43" s="1617">
        <v>2024</v>
      </c>
      <c r="J43" s="1656"/>
      <c r="K43" s="1634">
        <f t="shared" si="28"/>
        <v>147.51780707036897</v>
      </c>
      <c r="L43" s="1635">
        <f t="shared" si="32"/>
        <v>149.2000000000001</v>
      </c>
      <c r="N43" s="1630">
        <f t="shared" si="27"/>
        <v>0</v>
      </c>
      <c r="P43" s="276"/>
      <c r="Q43" s="276"/>
      <c r="R43" s="270"/>
      <c r="S43" s="276"/>
      <c r="T43" s="376">
        <v>0.0018400000000000003</v>
      </c>
      <c r="U43" s="276"/>
      <c r="V43" s="276"/>
      <c r="W43" s="1650">
        <v>0.015179402090515352</v>
      </c>
      <c r="X43" s="276"/>
      <c r="Y43" s="276"/>
      <c r="Z43" s="1650">
        <f t="shared" si="30"/>
        <v>0.014</v>
      </c>
      <c r="AA43" s="1390"/>
      <c r="AB43" s="1659">
        <f t="shared" si="33"/>
        <v>77.88890463215263</v>
      </c>
      <c r="AC43" s="1658">
        <f t="shared" si="31"/>
        <v>0.5220435967302451</v>
      </c>
      <c r="AD43" s="1638">
        <v>2024</v>
      </c>
      <c r="AH43" s="1662">
        <v>2030</v>
      </c>
      <c r="AI43" s="1663"/>
      <c r="AJ43" s="1604">
        <f t="shared" si="23"/>
        <v>0.01405104698663026</v>
      </c>
      <c r="AK43" s="1664"/>
      <c r="AL43" s="1665">
        <f t="shared" si="21"/>
        <v>0.014</v>
      </c>
      <c r="AM43" s="1666"/>
      <c r="AN43" s="1665">
        <f t="shared" si="29"/>
        <v>0.0009999999999999996</v>
      </c>
      <c r="AS43" s="202">
        <v>2030</v>
      </c>
      <c r="AT43" s="1663"/>
      <c r="AU43" s="1667">
        <v>152.4659</v>
      </c>
      <c r="AV43" s="1668"/>
      <c r="AW43" s="1669" t="e">
        <f>#REF!*AX43</f>
        <v>#REF!</v>
      </c>
      <c r="AX43" s="1670">
        <f t="shared" si="24"/>
        <v>0.536</v>
      </c>
      <c r="AY43" s="1671"/>
      <c r="AZ43" s="1608">
        <f t="shared" si="25"/>
        <v>53.6</v>
      </c>
      <c r="BC43" s="1352">
        <f t="shared" si="26"/>
        <v>152.4659</v>
      </c>
      <c r="BD43" s="1672">
        <f t="shared" si="7"/>
        <v>0.536</v>
      </c>
      <c r="BE43" s="202">
        <v>2030</v>
      </c>
    </row>
    <row r="44" ht="15.5" customHeight="1" spans="8:30" x14ac:dyDescent="0.25">
      <c r="H44" s="276">
        <v>35</v>
      </c>
      <c r="I44" s="1617">
        <v>2025</v>
      </c>
      <c r="J44" s="1656"/>
      <c r="K44" s="1634">
        <f t="shared" si="28"/>
        <v>147.9264514679149</v>
      </c>
      <c r="L44" s="1635">
        <f t="shared" si="32"/>
        <v>149.5000000000001</v>
      </c>
      <c r="N44" s="1630">
        <f t="shared" si="27"/>
        <v>0</v>
      </c>
      <c r="P44" s="171"/>
      <c r="Q44" s="171"/>
      <c r="R44" s="361"/>
      <c r="S44" s="171"/>
      <c r="T44" s="1620">
        <v>0.0018500000000000003</v>
      </c>
      <c r="U44" s="171"/>
      <c r="V44" s="171"/>
      <c r="W44" s="1673">
        <v>0.01525987017511593</v>
      </c>
      <c r="X44" s="171"/>
      <c r="Y44" s="171"/>
      <c r="Z44" s="1650">
        <f t="shared" si="30"/>
        <v>0.014</v>
      </c>
      <c r="AA44" s="1390"/>
      <c r="AB44" s="1659">
        <f t="shared" si="33"/>
        <v>78.04551771117171</v>
      </c>
      <c r="AC44" s="1658">
        <f t="shared" si="31"/>
        <v>0.5220435967302451</v>
      </c>
      <c r="AD44" s="1638">
        <v>2025</v>
      </c>
    </row>
    <row r="45" ht="15.5" customHeight="1" spans="8:30" x14ac:dyDescent="0.25">
      <c r="H45" s="276">
        <v>36</v>
      </c>
      <c r="I45" s="1617">
        <v>2026</v>
      </c>
      <c r="J45" s="1656"/>
      <c r="K45" s="1634">
        <f t="shared" si="28"/>
        <v>148.3390673587233</v>
      </c>
      <c r="L45" s="1635">
        <f t="shared" si="32"/>
        <v>149.80000000000013</v>
      </c>
      <c r="N45" s="1630">
        <f t="shared" si="27"/>
        <v>0</v>
      </c>
      <c r="P45" s="276"/>
      <c r="Q45" s="276"/>
      <c r="R45" s="270"/>
      <c r="S45" s="276"/>
      <c r="T45" s="376">
        <v>0.0018600000000000003</v>
      </c>
      <c r="U45" s="276"/>
      <c r="V45" s="276"/>
      <c r="W45" s="1650">
        <v>0.015342381149957767</v>
      </c>
      <c r="X45" s="276"/>
      <c r="Y45" s="276"/>
      <c r="Z45" s="1650">
        <f t="shared" si="30"/>
        <v>0.014</v>
      </c>
      <c r="AA45" s="1390"/>
      <c r="AB45" s="1659">
        <f t="shared" si="33"/>
        <v>78.2021307901908</v>
      </c>
      <c r="AC45" s="1658">
        <f t="shared" si="31"/>
        <v>0.5220435967302451</v>
      </c>
      <c r="AD45" s="1638">
        <v>2026</v>
      </c>
    </row>
    <row r="46" ht="15.5" customHeight="1" spans="8:30" x14ac:dyDescent="0.25">
      <c r="H46" s="276">
        <v>37</v>
      </c>
      <c r="I46" s="1617">
        <v>2027</v>
      </c>
      <c r="J46" s="1656"/>
      <c r="K46" s="1634">
        <f t="shared" si="28"/>
        <v>148.75540878048454</v>
      </c>
      <c r="L46" s="1635">
        <f t="shared" si="32"/>
        <v>150.10000000000014</v>
      </c>
      <c r="N46" s="1630">
        <f t="shared" si="27"/>
        <v>0</v>
      </c>
      <c r="P46" s="276"/>
      <c r="Q46" s="276"/>
      <c r="R46" s="270"/>
      <c r="S46" s="276"/>
      <c r="T46" s="376">
        <v>0.0018700000000000004</v>
      </c>
      <c r="U46" s="276"/>
      <c r="V46" s="276"/>
      <c r="W46" s="1650">
        <v>0.015418495069595986</v>
      </c>
      <c r="X46" s="276"/>
      <c r="Y46" s="276"/>
      <c r="Z46" s="1650">
        <f t="shared" si="30"/>
        <v>0.014</v>
      </c>
      <c r="AA46" s="1390"/>
      <c r="AB46" s="1659">
        <f t="shared" si="33"/>
        <v>78.35874386920986</v>
      </c>
      <c r="AC46" s="1658">
        <f t="shared" si="31"/>
        <v>0.5220435967302451</v>
      </c>
      <c r="AD46" s="1638">
        <v>2027</v>
      </c>
    </row>
    <row r="47" ht="15.5" customHeight="1" spans="8:30" x14ac:dyDescent="0.25">
      <c r="H47" s="276">
        <v>38</v>
      </c>
      <c r="I47" s="1617">
        <v>2028</v>
      </c>
      <c r="J47" s="1656"/>
      <c r="K47" s="1634">
        <f t="shared" si="28"/>
        <v>149.1752817210744</v>
      </c>
      <c r="L47" s="1635">
        <f t="shared" si="32"/>
        <v>150.40000000000015</v>
      </c>
      <c r="N47" s="1630">
        <f t="shared" si="27"/>
        <v>0</v>
      </c>
      <c r="P47" s="276"/>
      <c r="Q47" s="276"/>
      <c r="R47" s="270"/>
      <c r="S47" s="276"/>
      <c r="T47" s="376">
        <v>0.0018800000000000004</v>
      </c>
      <c r="U47" s="276"/>
      <c r="V47" s="276"/>
      <c r="W47" s="1650">
        <v>0.01548932135381752</v>
      </c>
      <c r="X47" s="276"/>
      <c r="Y47" s="276"/>
      <c r="Z47" s="1650">
        <f t="shared" si="30"/>
        <v>0.014</v>
      </c>
      <c r="AA47" s="1390"/>
      <c r="AB47" s="1659">
        <f t="shared" si="33"/>
        <v>78.51535694822894</v>
      </c>
      <c r="AC47" s="1658">
        <f t="shared" si="31"/>
        <v>0.5220435967302451</v>
      </c>
      <c r="AD47" s="1638">
        <v>2028</v>
      </c>
    </row>
    <row r="48" ht="15.5" customHeight="1" spans="8:30" x14ac:dyDescent="0.25">
      <c r="H48" s="276">
        <v>39</v>
      </c>
      <c r="I48" s="1617">
        <v>2029</v>
      </c>
      <c r="J48" s="1656"/>
      <c r="K48" s="1634">
        <f t="shared" si="28"/>
        <v>149.59853385264347</v>
      </c>
      <c r="L48" s="1635">
        <f t="shared" si="32"/>
        <v>150.70000000000016</v>
      </c>
      <c r="N48" s="1630">
        <f t="shared" si="27"/>
        <v>0</v>
      </c>
      <c r="P48" s="276"/>
      <c r="Q48" s="276"/>
      <c r="R48" s="270"/>
      <c r="S48" s="276"/>
      <c r="T48" s="376">
        <v>0.0018900000000000004</v>
      </c>
      <c r="U48" s="276"/>
      <c r="V48" s="276"/>
      <c r="W48" s="1650">
        <v>0.015555456496347427</v>
      </c>
      <c r="X48" s="276"/>
      <c r="Y48" s="276"/>
      <c r="Z48" s="1650">
        <f t="shared" si="30"/>
        <v>0.014</v>
      </c>
      <c r="AA48" s="1390"/>
      <c r="AB48" s="1659">
        <f t="shared" si="33"/>
        <v>78.67197002724802</v>
      </c>
      <c r="AC48" s="1658">
        <f t="shared" si="31"/>
        <v>0.5220435967302451</v>
      </c>
      <c r="AD48" s="1638">
        <v>2029</v>
      </c>
    </row>
    <row r="49" ht="16.25" customHeight="1" spans="8:30" x14ac:dyDescent="0.25">
      <c r="H49" s="276">
        <v>40</v>
      </c>
      <c r="I49" s="1674">
        <v>2030</v>
      </c>
      <c r="J49" s="1675"/>
      <c r="K49" s="1676">
        <f t="shared" si="28"/>
        <v>150.02504630178834</v>
      </c>
      <c r="L49" s="1635">
        <f t="shared" si="32"/>
        <v>151.00000000000017</v>
      </c>
      <c r="N49" s="1630">
        <f t="shared" si="27"/>
        <v>0</v>
      </c>
      <c r="P49" s="1677"/>
      <c r="Q49" s="1677"/>
      <c r="R49" s="1678"/>
      <c r="S49" s="1677"/>
      <c r="T49" s="1679">
        <v>0.0019000000000000004</v>
      </c>
      <c r="U49" s="1677"/>
      <c r="V49" s="1677"/>
      <c r="W49" s="1680">
        <v>0.015617431569865569</v>
      </c>
      <c r="X49" s="1677"/>
      <c r="Y49" s="1677"/>
      <c r="Z49" s="1650">
        <f t="shared" si="30"/>
        <v>0.014</v>
      </c>
      <c r="AA49" s="1681"/>
      <c r="AB49" s="1682">
        <f t="shared" si="33"/>
        <v>78.8285831062671</v>
      </c>
      <c r="AC49" s="1683">
        <f t="shared" si="31"/>
        <v>0.5220435967302451</v>
      </c>
      <c r="AD49" s="1684">
        <v>2030</v>
      </c>
    </row>
    <row r="50" ht="15.5" customHeight="1" spans="8:31" x14ac:dyDescent="0.25">
      <c r="H50" s="24"/>
      <c r="I50" s="24"/>
      <c r="J50" s="1359"/>
      <c r="K50" s="242"/>
      <c r="L50" s="279"/>
      <c r="M50" s="24"/>
      <c r="N50" s="24"/>
      <c r="O50" s="24"/>
      <c r="P50" s="1390"/>
      <c r="Q50" s="24"/>
      <c r="R50" s="24"/>
      <c r="S50" s="1685"/>
      <c r="T50" s="24"/>
      <c r="U50" s="24"/>
      <c r="V50" s="1685"/>
      <c r="W50" s="1390"/>
      <c r="X50" s="1367"/>
      <c r="Y50" s="103"/>
      <c r="Z50" s="103"/>
      <c r="AA50" s="1390"/>
      <c r="AB50" s="1367"/>
      <c r="AC50" s="1359"/>
      <c r="AD50" s="24"/>
      <c r="AE50" s="24"/>
    </row>
    <row r="51" ht="15" customHeight="1" spans="8:31" x14ac:dyDescent="0.25">
      <c r="H51" s="24"/>
      <c r="I51" s="24"/>
      <c r="J51" s="1359"/>
      <c r="K51" s="103"/>
      <c r="L51" s="24"/>
      <c r="M51" s="24"/>
      <c r="N51" s="24"/>
      <c r="O51" s="24"/>
      <c r="P51" s="1390"/>
      <c r="Q51" s="24"/>
      <c r="R51" s="24"/>
      <c r="S51" s="1685"/>
      <c r="T51" s="24"/>
      <c r="U51" s="24"/>
      <c r="V51" s="1685"/>
      <c r="W51" s="1390"/>
      <c r="X51" s="1367"/>
      <c r="Y51" s="103"/>
      <c r="Z51" s="103"/>
      <c r="AA51" s="1390"/>
      <c r="AB51" s="1367"/>
      <c r="AC51" s="1359"/>
      <c r="AD51" s="24"/>
      <c r="AE51" s="24"/>
    </row>
    <row r="52" ht="15" customHeight="1" spans="8:31" x14ac:dyDescent="0.25">
      <c r="H52" s="24"/>
      <c r="AC52" s="1359"/>
      <c r="AD52" s="24"/>
      <c r="AE52" s="24"/>
    </row>
    <row r="53" ht="15" customHeight="1" spans="8:31" x14ac:dyDescent="0.25">
      <c r="H53" s="24"/>
      <c r="AC53" s="1359"/>
      <c r="AD53" s="24"/>
      <c r="AE53" s="24"/>
    </row>
    <row r="56" ht="15" customHeight="1" spans="8:31" x14ac:dyDescent="0.25">
      <c r="H56" s="24"/>
      <c r="AC56" s="1359"/>
      <c r="AD56" s="24"/>
      <c r="AE56" s="24"/>
    </row>
    <row r="57" ht="22.75" customHeight="1" spans="3:33" x14ac:dyDescent="0.25">
      <c r="C57" s="1686"/>
      <c r="D57" s="1686" t="s">
        <v>1555</v>
      </c>
      <c r="E57" s="1686"/>
      <c r="F57" s="1686"/>
      <c r="G57" s="1686"/>
      <c r="H57" s="1686"/>
      <c r="I57" s="1686"/>
      <c r="J57" s="1686"/>
      <c r="K57" s="1686"/>
      <c r="L57" s="1686"/>
      <c r="M57" s="1686"/>
      <c r="N57" s="1686"/>
      <c r="O57" s="1686"/>
      <c r="P57" s="1686"/>
      <c r="Q57" s="1686"/>
      <c r="R57" s="1686"/>
      <c r="S57" s="1686"/>
      <c r="T57" s="1686"/>
      <c r="U57" s="1686"/>
      <c r="V57" s="1686"/>
      <c r="W57" s="1686"/>
      <c r="X57" s="1686"/>
      <c r="Y57" s="1686"/>
      <c r="Z57" s="1686"/>
      <c r="AA57" s="1687"/>
      <c r="AB57" s="1686"/>
      <c r="AC57" s="1686"/>
      <c r="AD57" s="1686"/>
      <c r="AE57" s="1686"/>
      <c r="AF57" s="1686"/>
      <c r="AG57" s="15"/>
    </row>
    <row r="58" ht="22.75" customHeight="1" spans="3:33" x14ac:dyDescent="0.25">
      <c r="C58" s="1686"/>
      <c r="D58" s="1686" t="s">
        <v>1556</v>
      </c>
      <c r="E58" s="1686"/>
      <c r="F58" s="1686"/>
      <c r="G58" s="1686"/>
      <c r="H58" s="1686"/>
      <c r="I58" s="1686"/>
      <c r="J58" s="1686"/>
      <c r="K58" s="1686"/>
      <c r="L58" s="1686"/>
      <c r="M58" s="1686"/>
      <c r="N58" s="1686"/>
      <c r="O58" s="1686"/>
      <c r="P58" s="1686"/>
      <c r="Q58" s="1686"/>
      <c r="R58" s="1686"/>
      <c r="S58" s="1686"/>
      <c r="T58" s="1686"/>
      <c r="U58" s="1686"/>
      <c r="V58" s="1686"/>
      <c r="W58" s="1686"/>
      <c r="X58" s="1686"/>
      <c r="Y58" s="1686"/>
      <c r="Z58" s="1686"/>
      <c r="AA58" s="1687"/>
      <c r="AB58" s="1686"/>
      <c r="AC58" s="1686"/>
      <c r="AD58" s="1686"/>
      <c r="AE58" s="1686"/>
      <c r="AF58" s="1686"/>
      <c r="AG58" s="15"/>
    </row>
    <row r="59" ht="15" customHeight="1" spans="8:31" x14ac:dyDescent="0.25">
      <c r="H59" s="24"/>
      <c r="AC59" s="1359"/>
      <c r="AD59" s="24"/>
      <c r="AE59" s="24"/>
    </row>
    <row r="60" ht="21.5" customHeight="1" spans="7:32" x14ac:dyDescent="0.25">
      <c r="G60" s="1557" t="s">
        <v>159</v>
      </c>
      <c r="H60" s="1688" t="s">
        <v>1557</v>
      </c>
      <c r="I60" s="1689" t="s">
        <v>1558</v>
      </c>
      <c r="J60" s="1690" t="s">
        <v>1559</v>
      </c>
      <c r="K60" s="1689" t="s">
        <v>1558</v>
      </c>
      <c r="L60" s="1690" t="s">
        <v>1560</v>
      </c>
      <c r="M60" s="1690" t="s">
        <v>1561</v>
      </c>
      <c r="AB60" s="1691" t="s">
        <v>1562</v>
      </c>
      <c r="AC60" s="1691" t="s">
        <v>1563</v>
      </c>
      <c r="AD60" s="24"/>
      <c r="AE60" s="24"/>
      <c r="AF60" s="24"/>
    </row>
    <row r="61" ht="25.75" customHeight="1" spans="7:32" x14ac:dyDescent="0.25">
      <c r="G61" s="129">
        <v>43937</v>
      </c>
      <c r="H61" s="1692" t="s">
        <v>58</v>
      </c>
      <c r="I61" s="1693" t="s">
        <v>58</v>
      </c>
      <c r="J61" s="1693" t="s">
        <v>58</v>
      </c>
      <c r="K61" s="1693" t="s">
        <v>58</v>
      </c>
      <c r="L61" s="1693" t="s">
        <v>58</v>
      </c>
      <c r="M61" s="1693" t="s">
        <v>58</v>
      </c>
      <c r="AB61" s="1694" t="s">
        <v>633</v>
      </c>
      <c r="AC61" s="1694" t="s">
        <v>633</v>
      </c>
      <c r="AD61" s="1695"/>
      <c r="AE61" s="1696"/>
      <c r="AF61" s="24"/>
    </row>
    <row r="62" ht="17.5" customHeight="1" spans="5:32" x14ac:dyDescent="0.25">
      <c r="E62" s="60">
        <v>0.4770060687795009</v>
      </c>
      <c r="G62" s="1335">
        <v>1995</v>
      </c>
      <c r="H62" s="101">
        <v>148.459937</v>
      </c>
      <c r="I62" s="1697"/>
      <c r="J62" s="1698">
        <v>70.74</v>
      </c>
      <c r="K62" s="1698"/>
      <c r="L62" s="1698">
        <v>64.055</v>
      </c>
      <c r="M62" s="1698">
        <f>J62-L62</f>
        <v>6.684999999999988</v>
      </c>
      <c r="AB62" s="1699">
        <f t="shared" ref="AB62:AB86" si="34">H62</f>
        <v>148.459937</v>
      </c>
      <c r="AC62" s="1700">
        <f>J62+TRANSPOSE(СЧЁТ!O8:BC8)</f>
        <v>146.434</v>
      </c>
      <c r="AD62" s="1695"/>
      <c r="AE62" s="1696"/>
      <c r="AF62" s="24"/>
    </row>
    <row r="63" ht="17.5" customHeight="1" spans="5:32" x14ac:dyDescent="0.25">
      <c r="E63" s="60">
        <v>0.4697235333782872</v>
      </c>
      <c r="G63" s="1335">
        <v>1996</v>
      </c>
      <c r="H63" s="101">
        <v>148.291638</v>
      </c>
      <c r="I63" s="1701"/>
      <c r="J63" s="957">
        <v>69.66</v>
      </c>
      <c r="K63" s="957"/>
      <c r="L63" s="957">
        <v>62.928</v>
      </c>
      <c r="M63" s="957">
        <f>J63-L63</f>
        <v>6.731999999999999</v>
      </c>
      <c r="AB63" s="1702">
        <f t="shared" si="34"/>
        <v>148.291638</v>
      </c>
      <c r="AC63" s="1703">
        <f t="shared" ref="AC63:AC86" si="35">J63</f>
        <v>69.66</v>
      </c>
      <c r="AD63" s="1695"/>
      <c r="AE63" s="1696"/>
      <c r="AF63" s="24"/>
    </row>
    <row r="64" ht="17.5" customHeight="1" spans="5:32" x14ac:dyDescent="0.25">
      <c r="E64" s="60">
        <v>0.4599932432432432</v>
      </c>
      <c r="G64" s="1335">
        <v>1997</v>
      </c>
      <c r="H64" s="101">
        <v>148.028613</v>
      </c>
      <c r="I64" s="1701"/>
      <c r="J64" s="957">
        <v>68.079</v>
      </c>
      <c r="K64" s="957"/>
      <c r="L64" s="957">
        <v>60.021</v>
      </c>
      <c r="M64" s="957">
        <f t="shared" ref="M64:M86" si="36">J64-L64</f>
        <v>8.057999999999993</v>
      </c>
      <c r="AB64" s="1702">
        <f t="shared" si="34"/>
        <v>148.028613</v>
      </c>
      <c r="AC64" s="1703">
        <f t="shared" si="35"/>
        <v>68.079</v>
      </c>
      <c r="AD64" s="1695"/>
      <c r="AE64" s="1696"/>
      <c r="AF64" s="24"/>
    </row>
    <row r="65" ht="17.5" customHeight="1" spans="5:32" x14ac:dyDescent="0.25">
      <c r="E65" s="60">
        <v>0.45560893098782135</v>
      </c>
      <c r="G65" s="1335">
        <v>1998</v>
      </c>
      <c r="H65" s="101">
        <v>147.802133</v>
      </c>
      <c r="I65" s="1701"/>
      <c r="J65" s="957">
        <v>67.339</v>
      </c>
      <c r="K65" s="957"/>
      <c r="L65" s="957">
        <v>58.437</v>
      </c>
      <c r="M65" s="957">
        <f t="shared" si="36"/>
        <v>8.902000000000001</v>
      </c>
      <c r="AB65" s="1702">
        <f t="shared" si="34"/>
        <v>147.802133</v>
      </c>
      <c r="AC65" s="1703">
        <f t="shared" si="35"/>
        <v>67.339</v>
      </c>
      <c r="AD65" s="1695"/>
      <c r="AE65" s="1696"/>
      <c r="AF65" s="24"/>
    </row>
    <row r="66" ht="17.5" customHeight="1" spans="5:32" x14ac:dyDescent="0.25">
      <c r="E66" s="60">
        <v>0.4893220338983051</v>
      </c>
      <c r="G66" s="1335">
        <v>1999</v>
      </c>
      <c r="H66" s="101">
        <v>147.539426</v>
      </c>
      <c r="I66" s="1701"/>
      <c r="J66" s="957">
        <v>72.175</v>
      </c>
      <c r="K66" s="957"/>
      <c r="L66" s="957">
        <v>63.082</v>
      </c>
      <c r="M66" s="957">
        <f t="shared" si="36"/>
        <v>9.092999999999996</v>
      </c>
      <c r="AB66" s="1702">
        <f t="shared" si="34"/>
        <v>147.539426</v>
      </c>
      <c r="AC66" s="1703">
        <f t="shared" si="35"/>
        <v>72.175</v>
      </c>
      <c r="AD66" s="1695"/>
      <c r="AE66" s="1696"/>
      <c r="AF66" s="24"/>
    </row>
    <row r="67" ht="17.5" customHeight="1" spans="5:32" x14ac:dyDescent="0.25">
      <c r="E67" s="60">
        <v>0.49740259740259735</v>
      </c>
      <c r="G67" s="1335">
        <v>2000</v>
      </c>
      <c r="H67" s="101">
        <v>146.890128</v>
      </c>
      <c r="I67" s="1701"/>
      <c r="J67" s="957">
        <v>72.77</v>
      </c>
      <c r="K67" s="957"/>
      <c r="L67" s="957">
        <v>65.07</v>
      </c>
      <c r="M67" s="957">
        <f t="shared" si="36"/>
        <v>7.700000000000003</v>
      </c>
      <c r="AB67" s="1702">
        <f t="shared" si="34"/>
        <v>146.890128</v>
      </c>
      <c r="AC67" s="1703">
        <f t="shared" si="35"/>
        <v>72.77</v>
      </c>
      <c r="AD67" s="1695"/>
      <c r="AE67" s="1696"/>
      <c r="AF67" s="24"/>
    </row>
    <row r="68" ht="17.5" customHeight="1" spans="5:32" x14ac:dyDescent="0.25">
      <c r="E68" s="60">
        <v>0.48901602143482065</v>
      </c>
      <c r="G68" s="1335">
        <v>2001</v>
      </c>
      <c r="H68" s="101">
        <v>146.303611</v>
      </c>
      <c r="I68" s="1701"/>
      <c r="J68" s="957">
        <v>71.545</v>
      </c>
      <c r="K68" s="957"/>
      <c r="L68" s="957">
        <v>65.123</v>
      </c>
      <c r="M68" s="957">
        <f t="shared" si="36"/>
        <v>6.421999999999997</v>
      </c>
      <c r="AB68" s="1702">
        <f t="shared" si="34"/>
        <v>146.303611</v>
      </c>
      <c r="AC68" s="1703">
        <f t="shared" si="35"/>
        <v>71.545</v>
      </c>
      <c r="AD68" s="1695"/>
      <c r="AE68" s="1696"/>
      <c r="AF68" s="24"/>
    </row>
    <row r="69" ht="17.5" customHeight="1" spans="5:32" x14ac:dyDescent="0.25">
      <c r="E69" s="60">
        <v>0.49842942756767933</v>
      </c>
      <c r="G69" s="1335">
        <v>2002</v>
      </c>
      <c r="H69" s="101">
        <v>145.166731</v>
      </c>
      <c r="I69" s="1701"/>
      <c r="J69" s="957">
        <v>72.357</v>
      </c>
      <c r="K69" s="957"/>
      <c r="L69" s="957">
        <v>66.659</v>
      </c>
      <c r="M69" s="957">
        <f t="shared" si="36"/>
        <v>5.697999999999993</v>
      </c>
      <c r="AB69" s="1702">
        <f t="shared" si="34"/>
        <v>145.166731</v>
      </c>
      <c r="AC69" s="1703">
        <f t="shared" si="35"/>
        <v>72.357</v>
      </c>
      <c r="AD69" s="1695"/>
      <c r="AE69" s="1696"/>
      <c r="AF69" s="24"/>
    </row>
    <row r="70" ht="17.5" customHeight="1" spans="5:32" x14ac:dyDescent="0.25">
      <c r="E70" s="60">
        <v>0.5011997226074896</v>
      </c>
      <c r="G70" s="1335">
        <v>2003</v>
      </c>
      <c r="H70" s="101">
        <v>144.96365</v>
      </c>
      <c r="I70" s="1701"/>
      <c r="J70" s="957">
        <v>72.273</v>
      </c>
      <c r="K70" s="957"/>
      <c r="L70" s="957">
        <v>66.339</v>
      </c>
      <c r="M70" s="957">
        <f t="shared" si="36"/>
        <v>5.9339999999999975</v>
      </c>
      <c r="Q70" s="24"/>
      <c r="R70" s="1561"/>
      <c r="AB70" s="1702">
        <f t="shared" si="34"/>
        <v>144.96365</v>
      </c>
      <c r="AC70" s="1703">
        <f t="shared" si="35"/>
        <v>72.273</v>
      </c>
      <c r="AD70" s="1695"/>
      <c r="AE70" s="1696"/>
      <c r="AF70" s="24"/>
    </row>
    <row r="71" ht="17.5" customHeight="1" spans="5:32" x14ac:dyDescent="0.25">
      <c r="E71" s="60">
        <v>0.5086062717770035</v>
      </c>
      <c r="G71" s="1335">
        <v>2004</v>
      </c>
      <c r="H71" s="101">
        <v>144.168205</v>
      </c>
      <c r="I71" s="1701"/>
      <c r="J71" s="957">
        <v>72.985</v>
      </c>
      <c r="K71" s="957"/>
      <c r="L71" s="957">
        <v>67.319</v>
      </c>
      <c r="M71" s="957">
        <f t="shared" si="36"/>
        <v>5.665999999999997</v>
      </c>
      <c r="Q71" s="24"/>
      <c r="R71" s="1574"/>
      <c r="AB71" s="1702">
        <f t="shared" si="34"/>
        <v>144.168205</v>
      </c>
      <c r="AC71" s="1703">
        <f t="shared" si="35"/>
        <v>72.985</v>
      </c>
      <c r="AD71" s="1695"/>
      <c r="AE71" s="1696"/>
      <c r="AF71" s="24"/>
    </row>
    <row r="72" ht="15.75" customHeight="1" spans="5:32" x14ac:dyDescent="0.25">
      <c r="E72" s="60">
        <v>0.5152731092436975</v>
      </c>
      <c r="G72" s="1335">
        <v>2005</v>
      </c>
      <c r="H72" s="101">
        <v>143.474219</v>
      </c>
      <c r="I72" s="1701"/>
      <c r="J72" s="957">
        <v>73.581</v>
      </c>
      <c r="K72" s="957"/>
      <c r="L72" s="957">
        <v>68.339</v>
      </c>
      <c r="M72" s="957">
        <f t="shared" si="36"/>
        <v>5.242000000000004</v>
      </c>
      <c r="Q72" s="24"/>
      <c r="AB72" s="1702">
        <f t="shared" si="34"/>
        <v>143.474219</v>
      </c>
      <c r="AC72" s="1703">
        <f t="shared" si="35"/>
        <v>73.581</v>
      </c>
      <c r="AD72" s="1695"/>
      <c r="AE72" s="1696"/>
      <c r="AF72" s="24"/>
    </row>
    <row r="73" ht="17.5" customHeight="1" spans="2:32" x14ac:dyDescent="0.25">
      <c r="B73" s="1704"/>
      <c r="E73" s="60">
        <v>0.5233403656821378</v>
      </c>
      <c r="G73" s="1335">
        <v>2006</v>
      </c>
      <c r="H73" s="101">
        <v>142.753551</v>
      </c>
      <c r="I73" s="1701"/>
      <c r="J73" s="957">
        <v>74.419</v>
      </c>
      <c r="K73" s="957"/>
      <c r="L73" s="957">
        <v>69.169</v>
      </c>
      <c r="M73" s="957">
        <f t="shared" si="36"/>
        <v>5.25</v>
      </c>
      <c r="Q73" s="24"/>
      <c r="AB73" s="1702">
        <f t="shared" si="34"/>
        <v>142.753551</v>
      </c>
      <c r="AC73" s="1703">
        <f t="shared" si="35"/>
        <v>74.419</v>
      </c>
      <c r="AD73" s="1695"/>
      <c r="AE73" s="1696"/>
      <c r="AF73" s="24"/>
    </row>
    <row r="74" ht="15.75" customHeight="1" spans="2:32" x14ac:dyDescent="0.25">
      <c r="B74" s="1704"/>
      <c r="E74" s="60">
        <v>0.5302042253521126</v>
      </c>
      <c r="G74" s="1335">
        <v>2007</v>
      </c>
      <c r="H74" s="101">
        <v>142.220968</v>
      </c>
      <c r="I74" s="1701"/>
      <c r="J74" s="957">
        <v>75.289</v>
      </c>
      <c r="K74" s="957"/>
      <c r="L74" s="957">
        <v>70.77</v>
      </c>
      <c r="M74" s="957">
        <f t="shared" si="36"/>
        <v>4.5190000000000055</v>
      </c>
      <c r="Q74" s="24"/>
      <c r="AB74" s="1702">
        <f t="shared" si="34"/>
        <v>142.220968</v>
      </c>
      <c r="AC74" s="1703">
        <f t="shared" si="35"/>
        <v>75.289</v>
      </c>
      <c r="AD74" s="1695"/>
      <c r="AE74" s="1696"/>
      <c r="AF74" s="24"/>
    </row>
    <row r="75" ht="17.5" customHeight="1" spans="2:32" x14ac:dyDescent="0.25">
      <c r="B75" s="1704"/>
      <c r="E75" s="60">
        <v>0.5334742776603242</v>
      </c>
      <c r="G75" s="1335">
        <v>2008</v>
      </c>
      <c r="H75" s="101">
        <v>142.008838</v>
      </c>
      <c r="I75" s="1701"/>
      <c r="J75" s="957">
        <v>75.7</v>
      </c>
      <c r="K75" s="957"/>
      <c r="L75" s="957">
        <v>71.003</v>
      </c>
      <c r="M75" s="957">
        <f t="shared" si="36"/>
        <v>4.697000000000003</v>
      </c>
      <c r="Q75" s="24"/>
      <c r="R75" s="1705"/>
      <c r="AB75" s="1702">
        <f t="shared" si="34"/>
        <v>142.008838</v>
      </c>
      <c r="AC75" s="1703">
        <f t="shared" si="35"/>
        <v>75.7</v>
      </c>
      <c r="AD75" s="1695"/>
      <c r="AE75" s="1696"/>
      <c r="AF75" s="24"/>
    </row>
    <row r="76" ht="17.5" customHeight="1" spans="5:32" x14ac:dyDescent="0.25">
      <c r="E76" s="60">
        <v>0.5334319943622269</v>
      </c>
      <c r="G76" s="1335">
        <v>2009</v>
      </c>
      <c r="H76" s="101">
        <v>141.903979</v>
      </c>
      <c r="I76" s="1701"/>
      <c r="J76" s="957">
        <v>75.694</v>
      </c>
      <c r="K76" s="957"/>
      <c r="L76" s="957">
        <v>69.41</v>
      </c>
      <c r="M76" s="957">
        <f t="shared" si="36"/>
        <v>6.284000000000006</v>
      </c>
      <c r="Q76" s="24"/>
      <c r="R76" s="1705"/>
      <c r="AB76" s="1702">
        <f t="shared" si="34"/>
        <v>141.903979</v>
      </c>
      <c r="AC76" s="1703">
        <f t="shared" si="35"/>
        <v>75.694</v>
      </c>
      <c r="AD76" s="1695"/>
      <c r="AE76" s="1696"/>
      <c r="AF76" s="24"/>
    </row>
    <row r="77" ht="17.5" customHeight="1" spans="5:32" x14ac:dyDescent="0.25">
      <c r="E77" s="60">
        <f t="shared" ref="E77:E83" si="37">J77/H77</f>
        <v>0.5283482444233423</v>
      </c>
      <c r="G77" s="1335">
        <v>2010</v>
      </c>
      <c r="H77" s="101">
        <v>142.856536</v>
      </c>
      <c r="I77" s="1701"/>
      <c r="J77" s="957">
        <v>75.478</v>
      </c>
      <c r="K77" s="957"/>
      <c r="L77" s="957">
        <v>69.93370846147305</v>
      </c>
      <c r="M77" s="957">
        <f t="shared" si="36"/>
        <v>5.544291538526949</v>
      </c>
      <c r="Q77" s="24"/>
      <c r="AB77" s="1702">
        <f t="shared" si="34"/>
        <v>142.856536</v>
      </c>
      <c r="AC77" s="1703">
        <f t="shared" si="35"/>
        <v>75.478</v>
      </c>
      <c r="AD77" s="1695"/>
      <c r="AE77" s="1696"/>
      <c r="AF77" s="24"/>
    </row>
    <row r="78" ht="17.5" customHeight="1" spans="2:32" x14ac:dyDescent="0.25">
      <c r="B78" s="1704"/>
      <c r="C78" s="1704"/>
      <c r="E78" s="60">
        <f t="shared" si="37"/>
        <v>0.5304222190682052</v>
      </c>
      <c r="G78" s="1335">
        <v>2011</v>
      </c>
      <c r="H78" s="101">
        <v>142.865433</v>
      </c>
      <c r="I78" s="1701"/>
      <c r="J78" s="957">
        <v>75.779</v>
      </c>
      <c r="K78" s="957"/>
      <c r="L78" s="957">
        <v>70.85661311334043</v>
      </c>
      <c r="M78" s="957">
        <f t="shared" si="36"/>
        <v>4.922386886659567</v>
      </c>
      <c r="Q78" s="24"/>
      <c r="AB78" s="1702">
        <f t="shared" si="34"/>
        <v>142.865433</v>
      </c>
      <c r="AC78" s="1703">
        <f t="shared" si="35"/>
        <v>75.779</v>
      </c>
      <c r="AD78" s="1695"/>
      <c r="AE78" s="1696"/>
      <c r="AF78" s="24"/>
    </row>
    <row r="79" ht="17.5" customHeight="1" spans="2:32" x14ac:dyDescent="0.25">
      <c r="B79" s="1704"/>
      <c r="C79" s="1704"/>
      <c r="E79" s="60">
        <f t="shared" si="37"/>
        <v>0.5282951967267339</v>
      </c>
      <c r="G79" s="1335">
        <v>2012</v>
      </c>
      <c r="H79" s="101">
        <v>143.056383</v>
      </c>
      <c r="I79" s="1701"/>
      <c r="J79" s="957">
        <v>75.576</v>
      </c>
      <c r="K79" s="957"/>
      <c r="L79" s="957">
        <v>71.54541586357954</v>
      </c>
      <c r="M79" s="957">
        <f t="shared" si="36"/>
        <v>4.030584136420458</v>
      </c>
      <c r="Q79" s="24"/>
      <c r="AB79" s="1702">
        <f t="shared" si="34"/>
        <v>143.056383</v>
      </c>
      <c r="AC79" s="1703">
        <f t="shared" si="35"/>
        <v>75.576</v>
      </c>
      <c r="AD79" s="1695"/>
      <c r="AE79" s="1696"/>
      <c r="AF79" s="24"/>
    </row>
    <row r="80" ht="17.5" customHeight="1" spans="5:32" x14ac:dyDescent="0.25">
      <c r="E80" s="60">
        <f t="shared" si="37"/>
        <v>0.526896055816534</v>
      </c>
      <c r="G80" s="1335">
        <v>2013</v>
      </c>
      <c r="H80" s="1706">
        <v>143.347059</v>
      </c>
      <c r="I80" s="1701"/>
      <c r="J80" s="957">
        <v>75.529</v>
      </c>
      <c r="K80" s="957"/>
      <c r="L80" s="957">
        <v>71.391459581339</v>
      </c>
      <c r="M80" s="957">
        <f t="shared" si="36"/>
        <v>4.13754041866099</v>
      </c>
      <c r="R80" s="1705"/>
      <c r="AB80" s="1702">
        <f t="shared" si="34"/>
        <v>143.347059</v>
      </c>
      <c r="AC80" s="1703">
        <f t="shared" si="35"/>
        <v>75.529</v>
      </c>
      <c r="AD80" s="1695"/>
      <c r="AE80" s="1696"/>
      <c r="AF80" s="24"/>
    </row>
    <row r="81" ht="17.5" customHeight="1" spans="5:32" x14ac:dyDescent="0.25">
      <c r="E81" s="60">
        <f t="shared" si="37"/>
        <v>0.5250199156826145</v>
      </c>
      <c r="G81" s="1335">
        <v>2014</v>
      </c>
      <c r="H81" s="1706">
        <v>143.666931</v>
      </c>
      <c r="I81" s="1701"/>
      <c r="J81" s="957">
        <v>75.428</v>
      </c>
      <c r="K81" s="957"/>
      <c r="L81" s="957">
        <v>71.539043569578</v>
      </c>
      <c r="M81" s="957">
        <f t="shared" si="36"/>
        <v>3.888956430421999</v>
      </c>
      <c r="R81" s="1705"/>
      <c r="AB81" s="1702">
        <f t="shared" si="34"/>
        <v>143.666931</v>
      </c>
      <c r="AC81" s="1703">
        <f t="shared" si="35"/>
        <v>75.428</v>
      </c>
      <c r="AD81" s="1695"/>
      <c r="AE81" s="1696"/>
      <c r="AF81" s="24"/>
    </row>
    <row r="82" ht="17.5" customHeight="1" spans="5:32" x14ac:dyDescent="0.25">
      <c r="E82" s="60">
        <f t="shared" si="37"/>
        <v>0.5236167365050208</v>
      </c>
      <c r="G82" s="1335">
        <v>2015</v>
      </c>
      <c r="H82" s="1706">
        <v>146.267288</v>
      </c>
      <c r="I82" s="1701"/>
      <c r="J82" s="957">
        <v>76.588</v>
      </c>
      <c r="K82" s="957"/>
      <c r="L82" s="957">
        <v>72.323622532452</v>
      </c>
      <c r="M82" s="957">
        <f t="shared" si="36"/>
        <v>4.2643774675479875</v>
      </c>
      <c r="R82" s="1705"/>
      <c r="AB82" s="1702">
        <f t="shared" si="34"/>
        <v>146.267288</v>
      </c>
      <c r="AC82" s="1703">
        <f t="shared" si="35"/>
        <v>76.588</v>
      </c>
      <c r="AD82" s="1695"/>
      <c r="AE82" s="1696"/>
      <c r="AF82" s="24"/>
    </row>
    <row r="83" ht="17.5" customHeight="1" spans="5:32" x14ac:dyDescent="0.25">
      <c r="E83" s="60">
        <f t="shared" si="37"/>
        <v>0.5229530291472138</v>
      </c>
      <c r="G83" s="1335">
        <v>2016</v>
      </c>
      <c r="H83" s="1706">
        <v>146.54471</v>
      </c>
      <c r="I83" s="1701"/>
      <c r="J83" s="957">
        <v>76.636</v>
      </c>
      <c r="K83" s="957"/>
      <c r="L83" s="957">
        <v>72.393</v>
      </c>
      <c r="M83" s="957">
        <f t="shared" si="36"/>
        <v>4.242999999999995</v>
      </c>
      <c r="R83" s="1705"/>
      <c r="AB83" s="1702">
        <f t="shared" si="34"/>
        <v>146.54471</v>
      </c>
      <c r="AC83" s="1703">
        <f t="shared" si="35"/>
        <v>76.636</v>
      </c>
      <c r="AD83" s="1695"/>
      <c r="AE83" s="1696"/>
      <c r="AF83" s="24"/>
    </row>
    <row r="84" ht="17.5" customHeight="1" spans="5:32" x14ac:dyDescent="0.25">
      <c r="E84" s="60">
        <f>E83-0.0005</f>
        <v>0.5224530291472138</v>
      </c>
      <c r="G84" s="1335">
        <v>2017</v>
      </c>
      <c r="H84" s="1706">
        <v>146.804372</v>
      </c>
      <c r="I84" s="1701"/>
      <c r="J84" s="957">
        <v>76.109</v>
      </c>
      <c r="K84" s="957"/>
      <c r="L84" s="957">
        <v>72.142</v>
      </c>
      <c r="M84" s="957">
        <f t="shared" si="36"/>
        <v>3.9669999999999987</v>
      </c>
      <c r="R84" s="1705"/>
      <c r="AB84" s="1702">
        <f t="shared" si="34"/>
        <v>146.804372</v>
      </c>
      <c r="AC84" s="1703">
        <f t="shared" si="35"/>
        <v>76.109</v>
      </c>
      <c r="AD84" s="1695"/>
      <c r="AE84" s="1696"/>
      <c r="AF84" s="24"/>
    </row>
    <row r="85" ht="17.5" customHeight="1" spans="5:32" x14ac:dyDescent="0.25">
      <c r="E85" s="60">
        <f t="shared" ref="E85" si="38">E84-0.0005</f>
        <v>0.5219530291472139</v>
      </c>
      <c r="G85" s="1335">
        <v>2018</v>
      </c>
      <c r="H85" s="1706">
        <v>146.880432</v>
      </c>
      <c r="I85" s="1701"/>
      <c r="J85" s="957">
        <v>76.3</v>
      </c>
      <c r="K85" s="957"/>
      <c r="L85" s="957">
        <v>72.6</v>
      </c>
      <c r="M85" s="957">
        <f t="shared" si="36"/>
        <v>3.700000000000003</v>
      </c>
      <c r="R85" s="1705"/>
      <c r="AB85" s="1702">
        <f t="shared" si="34"/>
        <v>146.880432</v>
      </c>
      <c r="AC85" s="1703">
        <f t="shared" si="35"/>
        <v>76.3</v>
      </c>
      <c r="AD85" s="1695"/>
      <c r="AE85" s="1696"/>
      <c r="AF85" s="24"/>
    </row>
    <row r="86" ht="17.5" customHeight="1" spans="5:32" x14ac:dyDescent="0.25">
      <c r="E86" s="60">
        <f>E85</f>
        <v>0.5219530291472139</v>
      </c>
      <c r="G86" s="1335">
        <v>2019</v>
      </c>
      <c r="H86" s="1706">
        <v>146.745098</v>
      </c>
      <c r="I86" s="1701"/>
      <c r="J86" s="957">
        <v>75.9</v>
      </c>
      <c r="K86" s="957"/>
      <c r="L86" s="957">
        <v>72.4</v>
      </c>
      <c r="M86" s="957">
        <f t="shared" si="36"/>
        <v>3.5</v>
      </c>
      <c r="R86" s="1705"/>
      <c r="AB86" s="1702">
        <f t="shared" si="34"/>
        <v>146.745098</v>
      </c>
      <c r="AC86" s="1703">
        <f t="shared" si="35"/>
        <v>75.9</v>
      </c>
      <c r="AD86" s="24"/>
      <c r="AE86" s="24"/>
      <c r="AF86" s="24"/>
    </row>
    <row r="87" ht="17.5" customHeight="1" spans="5:32" x14ac:dyDescent="0.25">
      <c r="E87" s="60">
        <f>0.53</f>
        <v>0.53</v>
      </c>
      <c r="G87" s="1335">
        <v>2020</v>
      </c>
      <c r="H87" s="1603"/>
      <c r="I87" s="957">
        <v>146.7</v>
      </c>
      <c r="J87" s="1608"/>
      <c r="K87" s="957">
        <f t="shared" ref="K87:K102" si="39">E87*I87</f>
        <v>77.751</v>
      </c>
      <c r="L87" s="1608"/>
      <c r="M87" s="1608"/>
      <c r="R87" s="1705"/>
      <c r="AB87" s="1702">
        <f t="shared" ref="AB87:AB102" si="40">I87</f>
        <v>146.7</v>
      </c>
      <c r="AC87" s="1703">
        <f>K87</f>
        <v>77.751</v>
      </c>
      <c r="AD87" s="24"/>
      <c r="AE87" s="24"/>
      <c r="AF87" s="24"/>
    </row>
    <row r="88" ht="17.5" customHeight="1" spans="2:29" x14ac:dyDescent="0.25">
      <c r="B88" s="675">
        <v>-0.29999999999998295</v>
      </c>
      <c r="C88" s="682">
        <f>B88/5</f>
        <v>-0.05999999999999659</v>
      </c>
      <c r="E88" s="60">
        <f t="shared" ref="E88:E102" si="41">E87</f>
        <v>0.53</v>
      </c>
      <c r="G88" s="1335">
        <v>2021</v>
      </c>
      <c r="H88" s="1603"/>
      <c r="I88" s="957">
        <f>I87+C88</f>
        <v>146.64</v>
      </c>
      <c r="J88" s="1608"/>
      <c r="K88" s="957">
        <f t="shared" si="39"/>
        <v>77.7192</v>
      </c>
      <c r="L88" s="1608"/>
      <c r="M88" s="1608"/>
      <c r="R88" s="1705"/>
      <c r="AB88" s="1702">
        <f t="shared" si="40"/>
        <v>146.64</v>
      </c>
      <c r="AC88" s="1703">
        <f t="shared" ref="AC88:AC102" si="42">K88</f>
        <v>77.7192</v>
      </c>
    </row>
    <row r="89" ht="17.5" customHeight="1" spans="2:29" x14ac:dyDescent="0.25">
      <c r="B89" s="675">
        <v>-0.4000000000000057</v>
      </c>
      <c r="C89" s="682">
        <f t="shared" ref="C89:C102" si="43">B89/5</f>
        <v>-0.08000000000000114</v>
      </c>
      <c r="E89" s="60">
        <f t="shared" si="41"/>
        <v>0.53</v>
      </c>
      <c r="G89" s="1335">
        <v>2022</v>
      </c>
      <c r="H89" s="1603"/>
      <c r="I89" s="957">
        <f t="shared" ref="I89:I102" si="44">I88+C89</f>
        <v>146.55999999999997</v>
      </c>
      <c r="J89" s="1608"/>
      <c r="K89" s="957">
        <f t="shared" si="39"/>
        <v>77.67679999999999</v>
      </c>
      <c r="L89" s="1608"/>
      <c r="M89" s="1608"/>
      <c r="R89" s="1705"/>
      <c r="AB89" s="1702">
        <f t="shared" si="40"/>
        <v>146.55999999999997</v>
      </c>
      <c r="AC89" s="1703">
        <f t="shared" si="42"/>
        <v>77.67679999999999</v>
      </c>
    </row>
    <row r="90" ht="17.5" customHeight="1" spans="2:29" x14ac:dyDescent="0.25">
      <c r="B90" s="675">
        <v>-0.5999999999999943</v>
      </c>
      <c r="C90" s="682">
        <f t="shared" si="43"/>
        <v>-0.11999999999999886</v>
      </c>
      <c r="E90" s="60">
        <f t="shared" si="41"/>
        <v>0.53</v>
      </c>
      <c r="G90" s="1335">
        <v>2023</v>
      </c>
      <c r="H90" s="1603"/>
      <c r="I90" s="957">
        <f t="shared" si="44"/>
        <v>146.43999999999997</v>
      </c>
      <c r="J90" s="1608"/>
      <c r="K90" s="957">
        <f t="shared" si="39"/>
        <v>77.61319999999999</v>
      </c>
      <c r="L90" s="1608"/>
      <c r="M90" s="1608"/>
      <c r="R90" s="1705"/>
      <c r="AB90" s="1702">
        <f t="shared" si="40"/>
        <v>146.43999999999997</v>
      </c>
      <c r="AC90" s="1703">
        <f t="shared" si="42"/>
        <v>77.61319999999999</v>
      </c>
    </row>
    <row r="91" ht="17.5" customHeight="1" spans="2:29" x14ac:dyDescent="0.25">
      <c r="B91" s="675">
        <v>-0.5999999999999943</v>
      </c>
      <c r="C91" s="682">
        <f t="shared" si="43"/>
        <v>-0.11999999999999886</v>
      </c>
      <c r="E91" s="60">
        <f t="shared" si="41"/>
        <v>0.53</v>
      </c>
      <c r="G91" s="1335">
        <v>2024</v>
      </c>
      <c r="H91" s="1603"/>
      <c r="I91" s="957">
        <f t="shared" si="44"/>
        <v>146.31999999999996</v>
      </c>
      <c r="J91" s="1608"/>
      <c r="K91" s="957">
        <f t="shared" si="39"/>
        <v>77.54959999999998</v>
      </c>
      <c r="L91" s="1608"/>
      <c r="M91" s="1608"/>
      <c r="R91" s="1705"/>
      <c r="AB91" s="1702">
        <f t="shared" si="40"/>
        <v>146.31999999999996</v>
      </c>
      <c r="AC91" s="1703">
        <f t="shared" si="42"/>
        <v>77.54959999999998</v>
      </c>
    </row>
    <row r="92" ht="17.5" customHeight="1" spans="2:29" x14ac:dyDescent="0.25">
      <c r="B92" s="675">
        <v>-0.8000000000000114</v>
      </c>
      <c r="C92" s="682">
        <f t="shared" si="43"/>
        <v>-0.16000000000000228</v>
      </c>
      <c r="E92" s="60">
        <f t="shared" si="41"/>
        <v>0.53</v>
      </c>
      <c r="G92" s="1335">
        <v>2025</v>
      </c>
      <c r="H92" s="1603"/>
      <c r="I92" s="957">
        <f t="shared" si="44"/>
        <v>146.15999999999997</v>
      </c>
      <c r="J92" s="1608"/>
      <c r="K92" s="957">
        <f t="shared" si="39"/>
        <v>77.46479999999998</v>
      </c>
      <c r="L92" s="1608"/>
      <c r="M92" s="1608"/>
      <c r="R92" s="1705"/>
      <c r="AB92" s="1702">
        <f t="shared" si="40"/>
        <v>146.15999999999997</v>
      </c>
      <c r="AC92" s="1703">
        <f t="shared" si="42"/>
        <v>77.46479999999998</v>
      </c>
    </row>
    <row r="93" ht="17.5" customHeight="1" spans="2:29" x14ac:dyDescent="0.25">
      <c r="B93" s="675">
        <v>-0.8000000000000114</v>
      </c>
      <c r="C93" s="682">
        <f t="shared" si="43"/>
        <v>-0.16000000000000228</v>
      </c>
      <c r="E93" s="60">
        <f t="shared" si="41"/>
        <v>0.53</v>
      </c>
      <c r="G93" s="1335">
        <v>2026</v>
      </c>
      <c r="H93" s="1603"/>
      <c r="I93" s="957">
        <f t="shared" si="44"/>
        <v>145.99999999999997</v>
      </c>
      <c r="J93" s="1608"/>
      <c r="K93" s="957">
        <f t="shared" si="39"/>
        <v>77.38</v>
      </c>
      <c r="L93" s="1608"/>
      <c r="M93" s="1608"/>
      <c r="R93" s="1705"/>
      <c r="AB93" s="1702">
        <f t="shared" si="40"/>
        <v>145.99999999999997</v>
      </c>
      <c r="AC93" s="1703">
        <f t="shared" si="42"/>
        <v>77.38</v>
      </c>
    </row>
    <row r="94" ht="17.5" customHeight="1" spans="2:29" x14ac:dyDescent="0.25">
      <c r="B94" s="675">
        <v>-0.799999999999983</v>
      </c>
      <c r="C94" s="682">
        <f t="shared" si="43"/>
        <v>-0.1599999999999966</v>
      </c>
      <c r="E94" s="60">
        <f t="shared" si="41"/>
        <v>0.53</v>
      </c>
      <c r="G94" s="1335">
        <v>2027</v>
      </c>
      <c r="H94" s="1603"/>
      <c r="I94" s="957">
        <f t="shared" si="44"/>
        <v>145.83999999999997</v>
      </c>
      <c r="J94" s="1608"/>
      <c r="K94" s="957">
        <f t="shared" si="39"/>
        <v>77.2952</v>
      </c>
      <c r="L94" s="1608"/>
      <c r="M94" s="1608"/>
      <c r="R94" s="1705"/>
      <c r="AB94" s="1702">
        <f t="shared" si="40"/>
        <v>145.83999999999997</v>
      </c>
      <c r="AC94" s="1703">
        <f t="shared" si="42"/>
        <v>77.2952</v>
      </c>
    </row>
    <row r="95" ht="17.5" customHeight="1" spans="2:29" x14ac:dyDescent="0.25">
      <c r="B95" s="675">
        <v>-0.8000000000000114</v>
      </c>
      <c r="C95" s="682">
        <f t="shared" si="43"/>
        <v>-0.16000000000000228</v>
      </c>
      <c r="E95" s="60">
        <f t="shared" si="41"/>
        <v>0.53</v>
      </c>
      <c r="G95" s="1335">
        <v>2028</v>
      </c>
      <c r="H95" s="1603"/>
      <c r="I95" s="957">
        <f t="shared" si="44"/>
        <v>145.67999999999998</v>
      </c>
      <c r="J95" s="1608"/>
      <c r="K95" s="957">
        <f t="shared" si="39"/>
        <v>77.21039999999999</v>
      </c>
      <c r="L95" s="1608"/>
      <c r="M95" s="1608"/>
      <c r="R95" s="1705"/>
      <c r="AB95" s="1702">
        <f t="shared" si="40"/>
        <v>145.67999999999998</v>
      </c>
      <c r="AC95" s="1703">
        <f t="shared" si="42"/>
        <v>77.21039999999999</v>
      </c>
    </row>
    <row r="96" ht="17.5" customHeight="1" spans="2:29" x14ac:dyDescent="0.25">
      <c r="B96" s="675">
        <v>-0.9000000000000057</v>
      </c>
      <c r="C96" s="682">
        <f t="shared" si="43"/>
        <v>-0.18000000000000113</v>
      </c>
      <c r="E96" s="60">
        <f t="shared" si="41"/>
        <v>0.53</v>
      </c>
      <c r="G96" s="1335">
        <v>2029</v>
      </c>
      <c r="H96" s="1603"/>
      <c r="I96" s="957">
        <f t="shared" si="44"/>
        <v>145.49999999999997</v>
      </c>
      <c r="J96" s="1608"/>
      <c r="K96" s="957">
        <f t="shared" si="39"/>
        <v>77.115</v>
      </c>
      <c r="L96" s="1608"/>
      <c r="M96" s="1608"/>
      <c r="AB96" s="1702">
        <f t="shared" si="40"/>
        <v>145.49999999999997</v>
      </c>
      <c r="AC96" s="1703">
        <f t="shared" si="42"/>
        <v>77.115</v>
      </c>
    </row>
    <row r="97" ht="17.5" customHeight="1" spans="2:29" x14ac:dyDescent="0.25">
      <c r="B97" s="675">
        <v>-0.8999999999999773</v>
      </c>
      <c r="C97" s="682">
        <f t="shared" si="43"/>
        <v>-0.17999999999999544</v>
      </c>
      <c r="E97" s="60">
        <f t="shared" si="41"/>
        <v>0.53</v>
      </c>
      <c r="G97" s="1335">
        <v>2030</v>
      </c>
      <c r="H97" s="1603"/>
      <c r="I97" s="957">
        <f t="shared" si="44"/>
        <v>145.31999999999996</v>
      </c>
      <c r="J97" s="1608"/>
      <c r="K97" s="957">
        <f t="shared" si="39"/>
        <v>77.01959999999998</v>
      </c>
      <c r="L97" s="1608"/>
      <c r="M97" s="1608"/>
      <c r="R97" s="1652"/>
      <c r="AB97" s="1702">
        <f t="shared" si="40"/>
        <v>145.31999999999996</v>
      </c>
      <c r="AC97" s="1703">
        <f t="shared" si="42"/>
        <v>77.01959999999998</v>
      </c>
    </row>
    <row r="98" ht="17.5" customHeight="1" spans="2:29" x14ac:dyDescent="0.25">
      <c r="B98" s="675">
        <v>-0.9000000000000057</v>
      </c>
      <c r="C98" s="682">
        <f t="shared" si="43"/>
        <v>-0.18000000000000113</v>
      </c>
      <c r="E98" s="60">
        <f t="shared" si="41"/>
        <v>0.53</v>
      </c>
      <c r="G98" s="1335">
        <v>2031</v>
      </c>
      <c r="H98" s="1603"/>
      <c r="I98" s="957">
        <f t="shared" si="44"/>
        <v>145.13999999999996</v>
      </c>
      <c r="J98" s="1608"/>
      <c r="K98" s="957">
        <f t="shared" si="39"/>
        <v>76.92419999999998</v>
      </c>
      <c r="L98" s="1608"/>
      <c r="M98" s="1608"/>
      <c r="AB98" s="1702">
        <f t="shared" si="40"/>
        <v>145.13999999999996</v>
      </c>
      <c r="AC98" s="1703">
        <f t="shared" si="42"/>
        <v>76.92419999999998</v>
      </c>
    </row>
    <row r="99" ht="17.5" customHeight="1" spans="2:29" x14ac:dyDescent="0.25">
      <c r="B99" s="675">
        <v>-0.9000000000000057</v>
      </c>
      <c r="C99" s="682">
        <f t="shared" si="43"/>
        <v>-0.18000000000000113</v>
      </c>
      <c r="E99" s="60">
        <f t="shared" si="41"/>
        <v>0.53</v>
      </c>
      <c r="G99" s="1335">
        <v>2032</v>
      </c>
      <c r="H99" s="1603"/>
      <c r="I99" s="957">
        <f t="shared" si="44"/>
        <v>144.95999999999995</v>
      </c>
      <c r="J99" s="1608"/>
      <c r="K99" s="957">
        <f t="shared" si="39"/>
        <v>76.82879999999997</v>
      </c>
      <c r="L99" s="1608"/>
      <c r="M99" s="1608"/>
      <c r="AB99" s="1702">
        <f t="shared" si="40"/>
        <v>144.95999999999995</v>
      </c>
      <c r="AC99" s="1703">
        <f t="shared" si="42"/>
        <v>76.82879999999997</v>
      </c>
    </row>
    <row r="100" ht="17.5" customHeight="1" spans="2:29" x14ac:dyDescent="0.25">
      <c r="B100" s="675">
        <v>-1</v>
      </c>
      <c r="C100" s="682">
        <f t="shared" si="43"/>
        <v>-0.2</v>
      </c>
      <c r="E100" s="60">
        <f t="shared" si="41"/>
        <v>0.53</v>
      </c>
      <c r="G100" s="1335">
        <v>2033</v>
      </c>
      <c r="H100" s="1603"/>
      <c r="I100" s="957">
        <f t="shared" si="44"/>
        <v>144.75999999999996</v>
      </c>
      <c r="J100" s="1608"/>
      <c r="K100" s="957">
        <f t="shared" si="39"/>
        <v>76.72279999999998</v>
      </c>
      <c r="L100" s="1608"/>
      <c r="M100" s="1608"/>
      <c r="AB100" s="1702">
        <f t="shared" si="40"/>
        <v>144.75999999999996</v>
      </c>
      <c r="AC100" s="1703">
        <f t="shared" si="42"/>
        <v>76.72279999999998</v>
      </c>
    </row>
    <row r="101" ht="17.5" customHeight="1" spans="2:29" x14ac:dyDescent="0.25">
      <c r="B101" s="675">
        <v>-0.9000000000000057</v>
      </c>
      <c r="C101" s="682">
        <f t="shared" si="43"/>
        <v>-0.18000000000000113</v>
      </c>
      <c r="E101" s="60">
        <f t="shared" si="41"/>
        <v>0.53</v>
      </c>
      <c r="G101" s="1335">
        <v>2034</v>
      </c>
      <c r="H101" s="1603"/>
      <c r="I101" s="957">
        <f t="shared" si="44"/>
        <v>144.57999999999996</v>
      </c>
      <c r="J101" s="1608"/>
      <c r="K101" s="957">
        <f t="shared" si="39"/>
        <v>76.62739999999998</v>
      </c>
      <c r="L101" s="1608"/>
      <c r="M101" s="1608"/>
      <c r="AB101" s="1702">
        <f t="shared" si="40"/>
        <v>144.57999999999996</v>
      </c>
      <c r="AC101" s="1703">
        <f t="shared" si="42"/>
        <v>76.62739999999998</v>
      </c>
    </row>
    <row r="102" ht="18" customHeight="1" spans="2:29" x14ac:dyDescent="0.25">
      <c r="B102" s="675">
        <v>-0.9000000000000057</v>
      </c>
      <c r="C102" s="682">
        <f t="shared" si="43"/>
        <v>-0.18000000000000113</v>
      </c>
      <c r="E102" s="60">
        <f t="shared" si="41"/>
        <v>0.53</v>
      </c>
      <c r="G102" s="1707">
        <v>2035</v>
      </c>
      <c r="H102" s="1708"/>
      <c r="I102" s="957">
        <f t="shared" si="44"/>
        <v>144.39999999999995</v>
      </c>
      <c r="J102" s="1709"/>
      <c r="K102" s="987">
        <f t="shared" si="39"/>
        <v>76.53199999999998</v>
      </c>
      <c r="L102" s="1709"/>
      <c r="M102" s="1709"/>
      <c r="AB102" s="1710">
        <f t="shared" si="40"/>
        <v>144.39999999999995</v>
      </c>
      <c r="AC102" s="1711">
        <f t="shared" si="42"/>
        <v>76.53199999999998</v>
      </c>
    </row>
  </sheetData>
  <mergeCells count="5">
    <mergeCell ref="CC6:CH6"/>
    <mergeCell ref="CE8:CF9"/>
    <mergeCell ref="CG8:CH9"/>
    <mergeCell ref="CC8:CC10"/>
    <mergeCell ref="CC33:CH33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X180"/>
  <sheetViews>
    <sheetView workbookViewId="0" zoomScale="60" zoomScaleNormal="60">
      <selection activeCell="V3" sqref="V3"/>
    </sheetView>
  </sheetViews>
  <sheetFormatPr defaultRowHeight="14.5" outlineLevelRow="0" outlineLevelCol="0" x14ac:dyDescent="0" defaultColWidth="8.83203125" customHeight="1"/>
  <cols>
    <col min="5" max="5" width="10" customWidth="1"/>
    <col min="15" max="19" width="9.5" customWidth="1"/>
    <col min="20" max="21" width="10.83203125" customWidth="1"/>
    <col min="22" max="28" width="9.5" customWidth="1"/>
  </cols>
  <sheetData>
    <row r="5" ht="15" customHeight="1" x14ac:dyDescent="0.25"/>
    <row r="6" ht="18" customHeight="1" spans="4:45" x14ac:dyDescent="0.25">
      <c r="D6" s="1323" t="s">
        <v>520</v>
      </c>
      <c r="E6" s="1324">
        <v>40580</v>
      </c>
      <c r="F6" s="1712"/>
      <c r="G6" s="1713" t="s">
        <v>1564</v>
      </c>
      <c r="H6" s="1326"/>
      <c r="I6" s="1326"/>
      <c r="J6" s="1326"/>
      <c r="K6" s="1326"/>
      <c r="L6" s="1326"/>
      <c r="M6" s="1327"/>
      <c r="N6" s="1714" t="s">
        <v>1004</v>
      </c>
      <c r="O6" s="1329" t="s">
        <v>1565</v>
      </c>
      <c r="P6" s="1329" t="s">
        <v>1006</v>
      </c>
      <c r="Q6" s="1329" t="s">
        <v>1007</v>
      </c>
      <c r="R6" s="1329" t="s">
        <v>1008</v>
      </c>
      <c r="S6" s="1329" t="s">
        <v>1006</v>
      </c>
      <c r="T6" s="1329"/>
      <c r="U6" s="1329"/>
      <c r="V6" s="1329"/>
      <c r="W6" s="1329"/>
      <c r="X6" s="1329"/>
      <c r="Y6" s="1329"/>
      <c r="Z6" s="1329"/>
      <c r="AA6" s="1329"/>
      <c r="AB6" s="1329"/>
      <c r="AC6" s="1715" t="s">
        <v>1566</v>
      </c>
      <c r="AD6" s="1330" t="s">
        <v>1567</v>
      </c>
      <c r="AE6" s="1330" t="s">
        <v>1565</v>
      </c>
      <c r="AF6" s="1330" t="s">
        <v>1568</v>
      </c>
      <c r="AG6" s="1330" t="s">
        <v>1569</v>
      </c>
      <c r="AH6" s="1330" t="s">
        <v>1565</v>
      </c>
      <c r="AI6" s="1330" t="s">
        <v>1570</v>
      </c>
      <c r="AJ6" s="1330"/>
      <c r="AK6" s="1330"/>
      <c r="AL6" s="1330"/>
      <c r="AM6" s="1330"/>
      <c r="AN6" s="1330"/>
      <c r="AO6" s="1330"/>
      <c r="AP6" s="1330"/>
      <c r="AQ6" s="1330"/>
      <c r="AR6" s="1330"/>
      <c r="AS6" s="1332"/>
    </row>
    <row r="7" ht="16.25" customHeight="1" spans="4:45" x14ac:dyDescent="0.25">
      <c r="D7" s="1335"/>
      <c r="E7" s="1336" t="s">
        <v>1011</v>
      </c>
      <c r="F7" s="1716"/>
      <c r="G7" s="1393"/>
      <c r="H7" s="1717" t="s">
        <v>1571</v>
      </c>
      <c r="I7" s="1442"/>
      <c r="J7" s="1442"/>
      <c r="K7" s="1442"/>
      <c r="L7" s="1442"/>
      <c r="M7" s="1100"/>
      <c r="N7" s="1718">
        <v>1995</v>
      </c>
      <c r="O7" s="1437">
        <v>1996</v>
      </c>
      <c r="P7" s="1437">
        <v>1997</v>
      </c>
      <c r="Q7" s="1437">
        <v>1998</v>
      </c>
      <c r="R7" s="1437">
        <v>1999</v>
      </c>
      <c r="S7" s="1437">
        <v>2000</v>
      </c>
      <c r="T7" s="1437">
        <v>2001</v>
      </c>
      <c r="U7" s="1437">
        <v>2002</v>
      </c>
      <c r="V7" s="1437">
        <v>2003</v>
      </c>
      <c r="W7" s="1437">
        <v>2004</v>
      </c>
      <c r="X7" s="1437">
        <v>2005</v>
      </c>
      <c r="Y7" s="1437">
        <v>2006</v>
      </c>
      <c r="Z7" s="1437">
        <v>2007</v>
      </c>
      <c r="AA7" s="1437">
        <v>2008</v>
      </c>
      <c r="AB7" s="1437">
        <v>2009</v>
      </c>
      <c r="AC7" s="1437">
        <v>2010</v>
      </c>
      <c r="AD7" s="1437">
        <v>2011</v>
      </c>
      <c r="AE7" s="1437">
        <v>2012</v>
      </c>
      <c r="AF7" s="1437">
        <v>2013</v>
      </c>
      <c r="AG7" s="1437">
        <v>2014</v>
      </c>
      <c r="AH7" s="1437">
        <v>2015</v>
      </c>
      <c r="AI7" s="1437">
        <v>2016</v>
      </c>
      <c r="AJ7" s="1437">
        <v>2017</v>
      </c>
      <c r="AK7" s="1437">
        <v>2018</v>
      </c>
      <c r="AL7" s="1437">
        <v>2019</v>
      </c>
      <c r="AM7" s="1437">
        <v>2020</v>
      </c>
      <c r="AN7" s="1437">
        <v>2021</v>
      </c>
      <c r="AO7" s="1437">
        <v>2022</v>
      </c>
      <c r="AP7" s="1437">
        <v>2023</v>
      </c>
      <c r="AQ7" s="1437">
        <v>2024</v>
      </c>
      <c r="AR7" s="1437">
        <v>2025</v>
      </c>
      <c r="AS7" s="1344"/>
    </row>
    <row r="8" ht="17.5" customHeight="1" spans="4:45" x14ac:dyDescent="0.25">
      <c r="D8" s="1335">
        <v>1</v>
      </c>
      <c r="E8" s="1719">
        <v>40560</v>
      </c>
      <c r="F8" s="1349" t="s">
        <v>361</v>
      </c>
      <c r="G8" s="26" t="s">
        <v>1015</v>
      </c>
      <c r="H8" s="1458" t="s">
        <v>1538</v>
      </c>
      <c r="I8" s="1458"/>
      <c r="J8" s="1458"/>
      <c r="K8" s="1458"/>
      <c r="L8" s="1458"/>
      <c r="M8" s="1458"/>
      <c r="N8" s="1581">
        <v>148.3</v>
      </c>
      <c r="O8" s="1351">
        <v>148.3</v>
      </c>
      <c r="P8" s="1351">
        <v>148</v>
      </c>
      <c r="Q8" s="1351">
        <v>147.8</v>
      </c>
      <c r="R8" s="1351">
        <v>147.5</v>
      </c>
      <c r="S8" s="1351">
        <v>146.3</v>
      </c>
      <c r="T8" s="1351">
        <v>146.304</v>
      </c>
      <c r="U8" s="1351">
        <v>145</v>
      </c>
      <c r="V8" s="1351">
        <v>144.2</v>
      </c>
      <c r="W8" s="1351">
        <v>143.5</v>
      </c>
      <c r="X8" s="1351">
        <v>142.8</v>
      </c>
      <c r="Y8" s="1351">
        <v>142.2</v>
      </c>
      <c r="Z8" s="1351">
        <v>142</v>
      </c>
      <c r="AA8" s="1351">
        <v>141.9</v>
      </c>
      <c r="AB8" s="1351">
        <v>141.9</v>
      </c>
      <c r="AC8" s="1351">
        <v>141.9541214954023</v>
      </c>
      <c r="AD8" s="1351">
        <v>142.06986275401295</v>
      </c>
      <c r="AE8" s="1351">
        <v>142.2461843883694</v>
      </c>
      <c r="AF8" s="1351">
        <v>142.4888715821477</v>
      </c>
      <c r="AG8" s="1351">
        <v>142.78283341279558</v>
      </c>
      <c r="AH8" s="1351">
        <v>143.1211425150926</v>
      </c>
      <c r="AI8" s="1351">
        <v>143.49740923331362</v>
      </c>
      <c r="AJ8" s="1351">
        <v>143.9092645880987</v>
      </c>
      <c r="AK8" s="1351">
        <v>144.3542347362244</v>
      </c>
      <c r="AL8" s="1351">
        <v>144.82981107618048</v>
      </c>
      <c r="AM8" s="1351">
        <v>145.33224864507378</v>
      </c>
      <c r="AN8" s="1351">
        <v>145.8589925306585</v>
      </c>
      <c r="AO8" s="1351">
        <v>146.40804730866543</v>
      </c>
      <c r="AP8" s="1351">
        <v>146.97782369060408</v>
      </c>
      <c r="AQ8" s="1351">
        <v>147.5667920956573</v>
      </c>
      <c r="AR8" s="1351">
        <v>148.17350523684382</v>
      </c>
      <c r="AS8" s="287" t="s">
        <v>361</v>
      </c>
    </row>
    <row r="9" ht="17.5" customHeight="1" spans="4:45" x14ac:dyDescent="0.25">
      <c r="D9" s="1335">
        <v>2</v>
      </c>
      <c r="E9" s="1719">
        <v>40558</v>
      </c>
      <c r="F9" s="1349" t="s">
        <v>1018</v>
      </c>
      <c r="G9" s="26" t="s">
        <v>866</v>
      </c>
      <c r="H9" s="1458" t="s">
        <v>1572</v>
      </c>
      <c r="I9" s="1458"/>
      <c r="J9" s="1458"/>
      <c r="K9" s="1458"/>
      <c r="L9" s="1458"/>
      <c r="M9" s="1458"/>
      <c r="N9" s="1376">
        <v>0.4778219824679703</v>
      </c>
      <c r="O9" s="1372">
        <v>0.4697235333782872</v>
      </c>
      <c r="P9" s="1372">
        <v>0.4599932432432432</v>
      </c>
      <c r="Q9" s="1372">
        <v>0.45560893098782135</v>
      </c>
      <c r="R9" s="1372">
        <v>0.4893220338983051</v>
      </c>
      <c r="S9" s="1372">
        <v>0.48847573479152423</v>
      </c>
      <c r="T9" s="1372">
        <v>0.4881001202974628</v>
      </c>
      <c r="U9" s="1372">
        <v>0.49945517241379317</v>
      </c>
      <c r="V9" s="1372">
        <v>0.5050970873786408</v>
      </c>
      <c r="W9" s="1372">
        <v>0.5080766550522648</v>
      </c>
      <c r="X9" s="1372">
        <v>0.5168837535014006</v>
      </c>
      <c r="Y9" s="419">
        <v>0.5214908579465543</v>
      </c>
      <c r="Z9" s="419">
        <v>0.5285915492957747</v>
      </c>
      <c r="AA9" s="419">
        <v>0.5348273431994361</v>
      </c>
      <c r="AB9" s="419">
        <v>0.531</v>
      </c>
      <c r="AC9" s="187">
        <v>0.531</v>
      </c>
      <c r="AD9" s="187">
        <v>0.531</v>
      </c>
      <c r="AE9" s="187">
        <v>0.531</v>
      </c>
      <c r="AF9" s="187">
        <v>0.531</v>
      </c>
      <c r="AG9" s="187">
        <v>0.531</v>
      </c>
      <c r="AH9" s="187">
        <v>0.531</v>
      </c>
      <c r="AI9" s="187">
        <v>0.531</v>
      </c>
      <c r="AJ9" s="187">
        <v>0.531</v>
      </c>
      <c r="AK9" s="187">
        <v>0.531</v>
      </c>
      <c r="AL9" s="187">
        <v>0.531</v>
      </c>
      <c r="AM9" s="187">
        <v>0.531</v>
      </c>
      <c r="AN9" s="187">
        <v>0.531</v>
      </c>
      <c r="AO9" s="187">
        <v>0.531</v>
      </c>
      <c r="AP9" s="187">
        <v>0.531</v>
      </c>
      <c r="AQ9" s="187">
        <v>0.531</v>
      </c>
      <c r="AR9" s="187">
        <v>0.531</v>
      </c>
      <c r="AS9" s="287" t="s">
        <v>1018</v>
      </c>
    </row>
    <row r="10" ht="17.5" customHeight="1" spans="4:45" x14ac:dyDescent="0.25">
      <c r="D10" s="1335">
        <v>3</v>
      </c>
      <c r="E10" s="1719"/>
      <c r="F10" s="1349" t="s">
        <v>401</v>
      </c>
      <c r="G10" s="26" t="s">
        <v>1015</v>
      </c>
      <c r="H10" s="1458" t="s">
        <v>1573</v>
      </c>
      <c r="I10" s="1458"/>
      <c r="J10" s="1458"/>
      <c r="K10" s="1458"/>
      <c r="L10" s="1458"/>
      <c r="M10" s="1458"/>
      <c r="N10" s="1720">
        <v>6.684</v>
      </c>
      <c r="O10" s="1369">
        <v>6.732</v>
      </c>
      <c r="P10" s="1369">
        <v>8.058</v>
      </c>
      <c r="Q10" s="1369">
        <v>8.902</v>
      </c>
      <c r="R10" s="1369">
        <v>9.094</v>
      </c>
      <c r="S10" s="1369">
        <v>7.059</v>
      </c>
      <c r="T10" s="1369">
        <v>6.288</v>
      </c>
      <c r="U10" s="1369">
        <v>6.155</v>
      </c>
      <c r="V10" s="1369">
        <v>5.683</v>
      </c>
      <c r="W10" s="1369">
        <v>5.775</v>
      </c>
      <c r="X10" s="1369">
        <v>5.208</v>
      </c>
      <c r="Y10" s="1369">
        <v>4.999</v>
      </c>
      <c r="Z10" s="1369">
        <v>4.246</v>
      </c>
      <c r="AA10" s="1369">
        <v>5.289</v>
      </c>
      <c r="AB10" s="1369">
        <v>6.1624</v>
      </c>
      <c r="AC10" s="1369">
        <v>4.328264861963348</v>
      </c>
      <c r="AD10" s="1369">
        <v>7.515884613983928</v>
      </c>
      <c r="AE10" s="1369">
        <v>8.758812437552468</v>
      </c>
      <c r="AF10" s="1369">
        <v>9.402194659747368</v>
      </c>
      <c r="AG10" s="1369">
        <v>9.114521800293577</v>
      </c>
      <c r="AH10" s="1369">
        <v>8.963048647461203</v>
      </c>
      <c r="AI10" s="1369">
        <v>8.416203910861078</v>
      </c>
      <c r="AJ10" s="1369">
        <v>8.169626556261921</v>
      </c>
      <c r="AK10" s="1369">
        <v>8.173728849171773</v>
      </c>
      <c r="AL10" s="1369">
        <v>8.66948709794544</v>
      </c>
      <c r="AM10" s="1369">
        <v>9.252440061191432</v>
      </c>
      <c r="AN10" s="1369">
        <v>9.876791818028874</v>
      </c>
      <c r="AO10" s="1369">
        <v>10.466333790503274</v>
      </c>
      <c r="AP10" s="1369">
        <v>10.99620928333069</v>
      </c>
      <c r="AQ10" s="1369">
        <v>11.403399384013005</v>
      </c>
      <c r="AR10" s="1369">
        <v>11.64901439620428</v>
      </c>
      <c r="AS10" s="287" t="s">
        <v>401</v>
      </c>
    </row>
    <row r="11" ht="17.5" customHeight="1" spans="4:45" x14ac:dyDescent="0.25">
      <c r="D11" s="1335">
        <v>4</v>
      </c>
      <c r="E11" s="1719">
        <v>40559</v>
      </c>
      <c r="F11" s="1349" t="s">
        <v>438</v>
      </c>
      <c r="G11" s="26" t="s">
        <v>1015</v>
      </c>
      <c r="H11" s="1458" t="s">
        <v>1574</v>
      </c>
      <c r="I11" s="1458"/>
      <c r="J11" s="1458"/>
      <c r="K11" s="1458"/>
      <c r="L11" s="1458"/>
      <c r="M11" s="1458"/>
      <c r="N11" s="1371">
        <v>2</v>
      </c>
      <c r="O11" s="1372">
        <v>2.75</v>
      </c>
      <c r="P11" s="1372">
        <v>3.5</v>
      </c>
      <c r="Q11" s="1372">
        <v>4.25</v>
      </c>
      <c r="R11" s="1372">
        <v>5</v>
      </c>
      <c r="S11" s="1372">
        <v>5.75</v>
      </c>
      <c r="T11" s="1372">
        <v>6.5</v>
      </c>
      <c r="U11" s="1372">
        <v>7.25</v>
      </c>
      <c r="V11" s="1372">
        <v>8</v>
      </c>
      <c r="W11" s="1372">
        <v>8.75</v>
      </c>
      <c r="X11" s="1372">
        <v>9.5</v>
      </c>
      <c r="Y11" s="1372">
        <v>10.25</v>
      </c>
      <c r="Z11" s="1372">
        <v>11</v>
      </c>
      <c r="AA11" s="1372">
        <v>11.75</v>
      </c>
      <c r="AB11" s="1372">
        <v>10</v>
      </c>
      <c r="AC11" s="1351">
        <v>10.663399999999994</v>
      </c>
      <c r="AD11" s="1351">
        <v>11.057059999999993</v>
      </c>
      <c r="AE11" s="1351">
        <v>11.411353999999992</v>
      </c>
      <c r="AF11" s="1351">
        <v>11.730218599999992</v>
      </c>
      <c r="AG11" s="1351">
        <v>12.017196739999992</v>
      </c>
      <c r="AH11" s="1351">
        <v>12.275477065999993</v>
      </c>
      <c r="AI11" s="1351">
        <v>12.507929359399995</v>
      </c>
      <c r="AJ11" s="1351">
        <v>12.717136423459996</v>
      </c>
      <c r="AK11" s="1351">
        <v>12.905422781113996</v>
      </c>
      <c r="AL11" s="1351">
        <v>13.074880503002596</v>
      </c>
      <c r="AM11" s="1351">
        <v>13.227392452702336</v>
      </c>
      <c r="AN11" s="1351">
        <v>13.364653207432102</v>
      </c>
      <c r="AO11" s="1351">
        <v>13.488187886688891</v>
      </c>
      <c r="AP11" s="1351">
        <v>13.59936909802</v>
      </c>
      <c r="AQ11" s="1351">
        <v>13.699432188218</v>
      </c>
      <c r="AR11" s="1351">
        <v>13.789488969396198</v>
      </c>
      <c r="AS11" s="287" t="s">
        <v>438</v>
      </c>
    </row>
    <row r="12" ht="17.5" customHeight="1" spans="4:45" x14ac:dyDescent="0.25">
      <c r="D12" s="1335">
        <v>5</v>
      </c>
      <c r="E12" s="1719">
        <v>40558</v>
      </c>
      <c r="F12" s="1349" t="s">
        <v>1575</v>
      </c>
      <c r="G12" s="26" t="s">
        <v>277</v>
      </c>
      <c r="H12" s="1458" t="s">
        <v>1576</v>
      </c>
      <c r="I12" s="1458"/>
      <c r="J12" s="1458"/>
      <c r="K12" s="1458"/>
      <c r="L12" s="1458"/>
      <c r="M12" s="1458"/>
      <c r="N12" s="1386">
        <v>5182.04</v>
      </c>
      <c r="O12" s="1721"/>
      <c r="P12" s="1721"/>
      <c r="Q12" s="1721"/>
      <c r="R12" s="1721"/>
      <c r="S12" s="1721"/>
      <c r="T12" s="1721"/>
      <c r="U12" s="1721"/>
      <c r="V12" s="1721"/>
      <c r="W12" s="1721"/>
      <c r="X12" s="1721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287" t="s">
        <v>1575</v>
      </c>
    </row>
    <row r="13" ht="17.5" customHeight="1" spans="4:45" x14ac:dyDescent="0.25">
      <c r="D13" s="1335">
        <v>6</v>
      </c>
      <c r="E13" s="1722">
        <v>40569</v>
      </c>
      <c r="F13" s="1349" t="s">
        <v>989</v>
      </c>
      <c r="G13" s="26" t="s">
        <v>866</v>
      </c>
      <c r="H13" s="1458" t="s">
        <v>1577</v>
      </c>
      <c r="I13" s="1458"/>
      <c r="J13" s="1458"/>
      <c r="K13" s="1458"/>
      <c r="L13" s="1458"/>
      <c r="M13" s="1458"/>
      <c r="N13" s="1362">
        <v>0.5033850497134363</v>
      </c>
      <c r="O13" s="419">
        <v>0.4953618002876285</v>
      </c>
      <c r="P13" s="419">
        <v>0.48426929267941665</v>
      </c>
      <c r="Q13" s="419">
        <v>0.4544735980569671</v>
      </c>
      <c r="R13" s="419">
        <v>0.45181578644747206</v>
      </c>
      <c r="S13" s="419">
        <v>0.4542184044051023</v>
      </c>
      <c r="T13" s="419">
        <v>0.47453367284444886</v>
      </c>
      <c r="U13" s="419">
        <v>0.4650009877874736</v>
      </c>
      <c r="V13" s="419">
        <v>0.4687286466539077</v>
      </c>
      <c r="W13" s="419">
        <v>0.46217016187985543</v>
      </c>
      <c r="X13" s="419">
        <v>0.4612737431649456</v>
      </c>
      <c r="Y13" s="419">
        <v>0.4634329512017931</v>
      </c>
      <c r="Z13" s="419">
        <v>0.46816891313324255</v>
      </c>
      <c r="AA13" s="419">
        <v>0.4665734459260491</v>
      </c>
      <c r="AB13" s="419">
        <v>0.4654919208504389</v>
      </c>
      <c r="AC13" s="419">
        <v>0.4647580037267914</v>
      </c>
      <c r="AD13" s="419">
        <v>0.4640235745656224</v>
      </c>
      <c r="AE13" s="419">
        <v>0.46328863336693177</v>
      </c>
      <c r="AF13" s="419">
        <v>0.46255318013071967</v>
      </c>
      <c r="AG13" s="419">
        <v>0.461817214856986</v>
      </c>
      <c r="AH13" s="419">
        <v>0.46108073754573076</v>
      </c>
      <c r="AI13" s="419">
        <v>0.460343748196954</v>
      </c>
      <c r="AJ13" s="419">
        <v>0.4596062468106557</v>
      </c>
      <c r="AK13" s="419">
        <v>0.45886823338683586</v>
      </c>
      <c r="AL13" s="419">
        <v>0.45812970792549446</v>
      </c>
      <c r="AM13" s="419">
        <v>0.45739067042663156</v>
      </c>
      <c r="AN13" s="419">
        <v>0.45665112089024706</v>
      </c>
      <c r="AO13" s="419">
        <v>0.455911059316341</v>
      </c>
      <c r="AP13" s="419">
        <v>0.4551704857049135</v>
      </c>
      <c r="AQ13" s="419">
        <v>0.4544294000559644</v>
      </c>
      <c r="AR13" s="419">
        <v>0.4536878023694937</v>
      </c>
      <c r="AS13" s="287" t="s">
        <v>989</v>
      </c>
    </row>
    <row r="14" ht="17.5" customHeight="1" spans="4:45" x14ac:dyDescent="0.25">
      <c r="D14" s="1335">
        <v>7</v>
      </c>
      <c r="E14" s="1722">
        <v>40558</v>
      </c>
      <c r="F14" s="1349" t="s">
        <v>355</v>
      </c>
      <c r="G14" s="26" t="s">
        <v>866</v>
      </c>
      <c r="H14" s="1458" t="s">
        <v>1578</v>
      </c>
      <c r="I14" s="1458"/>
      <c r="J14" s="1458"/>
      <c r="K14" s="1458"/>
      <c r="L14" s="1458"/>
      <c r="M14" s="1458"/>
      <c r="N14" s="1362">
        <v>0.5033850497134362</v>
      </c>
      <c r="O14" s="419">
        <v>0.5074724155594161</v>
      </c>
      <c r="P14" s="419">
        <v>0.5074724155594161</v>
      </c>
      <c r="Q14" s="419">
        <v>0.5085104083611878</v>
      </c>
      <c r="R14" s="419">
        <v>0.505723132794238</v>
      </c>
      <c r="S14" s="419">
        <v>0.5030122907437493</v>
      </c>
      <c r="T14" s="419">
        <v>0.5020647450635658</v>
      </c>
      <c r="U14" s="419">
        <v>0.5006338966298405</v>
      </c>
      <c r="V14" s="419">
        <v>0.5020261813046643</v>
      </c>
      <c r="W14" s="419">
        <v>0.5057148762579631</v>
      </c>
      <c r="X14" s="419">
        <v>0.5024414648424529</v>
      </c>
      <c r="Y14" s="419">
        <v>0.5056397290721155</v>
      </c>
      <c r="Z14" s="419">
        <v>0.5070028548191594</v>
      </c>
      <c r="AA14" s="419">
        <v>0.5065337804659902</v>
      </c>
      <c r="AB14" s="419">
        <v>0.506682789031636</v>
      </c>
      <c r="AC14" s="419">
        <v>0.5068317975972818</v>
      </c>
      <c r="AD14" s="419">
        <v>0.5069808061629276</v>
      </c>
      <c r="AE14" s="419">
        <v>0.5071298147285734</v>
      </c>
      <c r="AF14" s="419">
        <v>0.5072788232942192</v>
      </c>
      <c r="AG14" s="419">
        <v>0.5074278318598651</v>
      </c>
      <c r="AH14" s="419">
        <v>0.5075768404255109</v>
      </c>
      <c r="AI14" s="419">
        <v>0.5077258489911567</v>
      </c>
      <c r="AJ14" s="419">
        <v>0.5078748575568025</v>
      </c>
      <c r="AK14" s="419">
        <v>0.5080238661224483</v>
      </c>
      <c r="AL14" s="419">
        <v>0.5081728746880941</v>
      </c>
      <c r="AM14" s="419">
        <v>0.50832188325374</v>
      </c>
      <c r="AN14" s="419">
        <v>0.5084708918193858</v>
      </c>
      <c r="AO14" s="419">
        <v>0.5086199003850316</v>
      </c>
      <c r="AP14" s="419">
        <v>0.5087689089506774</v>
      </c>
      <c r="AQ14" s="419">
        <v>0.5089179175163232</v>
      </c>
      <c r="AR14" s="419">
        <v>0.509066926081969</v>
      </c>
      <c r="AS14" s="287" t="s">
        <v>355</v>
      </c>
    </row>
    <row r="15" ht="17.5" customHeight="1" spans="4:45" x14ac:dyDescent="0.25">
      <c r="D15" s="1335">
        <v>8</v>
      </c>
      <c r="E15" s="1722">
        <v>40568</v>
      </c>
      <c r="F15" s="1349" t="s">
        <v>358</v>
      </c>
      <c r="G15" s="26" t="s">
        <v>866</v>
      </c>
      <c r="H15" s="1458" t="s">
        <v>1579</v>
      </c>
      <c r="I15" s="1458"/>
      <c r="J15" s="1458"/>
      <c r="K15" s="1458"/>
      <c r="L15" s="1458"/>
      <c r="M15" s="1458"/>
      <c r="N15" s="1362">
        <v>1.0000000000000002</v>
      </c>
      <c r="O15" s="419">
        <v>0.9761354215510661</v>
      </c>
      <c r="P15" s="419">
        <v>0.9542770756230733</v>
      </c>
      <c r="Q15" s="419">
        <v>0.8937350948658673</v>
      </c>
      <c r="R15" s="419">
        <v>0.8934054172113597</v>
      </c>
      <c r="S15" s="419">
        <v>0.9029966320176773</v>
      </c>
      <c r="T15" s="419">
        <v>0.945164299047464</v>
      </c>
      <c r="U15" s="419">
        <v>0.9288244182380779</v>
      </c>
      <c r="V15" s="419">
        <v>0.9336737088806344</v>
      </c>
      <c r="W15" s="419">
        <v>0.9138947331343765</v>
      </c>
      <c r="X15" s="419">
        <v>0.9180646412405156</v>
      </c>
      <c r="Y15" s="419">
        <v>0.9165279636001411</v>
      </c>
      <c r="Z15" s="419">
        <v>0.9234048855607166</v>
      </c>
      <c r="AA15" s="419">
        <v>0.9211102278249257</v>
      </c>
      <c r="AB15" s="419">
        <v>0.9187048207026719</v>
      </c>
      <c r="AC15" s="419">
        <v>0.9169866727582049</v>
      </c>
      <c r="AD15" s="419">
        <v>0.9152685248137379</v>
      </c>
      <c r="AE15" s="419">
        <v>0.9135503768692709</v>
      </c>
      <c r="AF15" s="419">
        <v>0.9118322289248039</v>
      </c>
      <c r="AG15" s="419">
        <v>0.9101140809803369</v>
      </c>
      <c r="AH15" s="419">
        <v>0.9083959330358699</v>
      </c>
      <c r="AI15" s="419">
        <v>0.9066777850914028</v>
      </c>
      <c r="AJ15" s="419">
        <v>0.9049596371469358</v>
      </c>
      <c r="AK15" s="419">
        <v>0.9032414892024688</v>
      </c>
      <c r="AL15" s="419">
        <v>0.9015233412580018</v>
      </c>
      <c r="AM15" s="419">
        <v>0.8998051933135348</v>
      </c>
      <c r="AN15" s="419">
        <v>0.8980870453690678</v>
      </c>
      <c r="AO15" s="419">
        <v>0.8963688974246008</v>
      </c>
      <c r="AP15" s="419">
        <v>0.8946507494801338</v>
      </c>
      <c r="AQ15" s="419">
        <v>0.8929326015356668</v>
      </c>
      <c r="AR15" s="419">
        <v>0.8912144535911998</v>
      </c>
      <c r="AS15" s="287" t="s">
        <v>358</v>
      </c>
    </row>
    <row r="16" ht="17.5" customHeight="1" spans="4:45" x14ac:dyDescent="0.25">
      <c r="D16" s="1335">
        <v>9</v>
      </c>
      <c r="E16" s="1722"/>
      <c r="F16" s="1349" t="s">
        <v>358</v>
      </c>
      <c r="G16" s="26" t="s">
        <v>866</v>
      </c>
      <c r="H16" s="1458" t="s">
        <v>1580</v>
      </c>
      <c r="I16" s="1458"/>
      <c r="J16" s="1458"/>
      <c r="K16" s="1458"/>
      <c r="L16" s="1458"/>
      <c r="M16" s="1458"/>
      <c r="N16" s="1362">
        <v>1</v>
      </c>
      <c r="O16" s="1723">
        <v>0.976135421551066</v>
      </c>
      <c r="P16" s="1723">
        <v>0.9542770756230734</v>
      </c>
      <c r="Q16" s="1723">
        <v>0.8937350948658673</v>
      </c>
      <c r="R16" s="1723">
        <v>0.8934054172113605</v>
      </c>
      <c r="S16" s="1723">
        <v>0.9029966320176777</v>
      </c>
      <c r="T16" s="1723">
        <v>0.9451642990474641</v>
      </c>
      <c r="U16" s="1723">
        <v>0.9288244182380775</v>
      </c>
      <c r="V16" s="1723">
        <v>0.9336737088806344</v>
      </c>
      <c r="W16" s="1723">
        <v>0.9138947331343769</v>
      </c>
      <c r="X16" s="1723">
        <v>0.9180646412405159</v>
      </c>
      <c r="Y16" s="1723">
        <v>0.9165279636001412</v>
      </c>
      <c r="Z16" s="1723">
        <v>0.9234048855607165</v>
      </c>
      <c r="AA16" s="1723">
        <v>0.9211102278249257</v>
      </c>
      <c r="AB16" s="1723">
        <v>0.9187048207026719</v>
      </c>
      <c r="AC16" s="1723">
        <v>0.9169866727582047</v>
      </c>
      <c r="AD16" s="1723">
        <v>0.9152685248137383</v>
      </c>
      <c r="AE16" s="1723">
        <v>0.9135503768692707</v>
      </c>
      <c r="AF16" s="1723">
        <v>0.9118322289248039</v>
      </c>
      <c r="AG16" s="1723">
        <v>0.910114080980337</v>
      </c>
      <c r="AH16" s="1723">
        <v>0.9083959330358699</v>
      </c>
      <c r="AI16" s="1723">
        <v>0.9066777850914028</v>
      </c>
      <c r="AJ16" s="1723">
        <v>0.9049596371469358</v>
      </c>
      <c r="AK16" s="1723">
        <v>0.9032414892024688</v>
      </c>
      <c r="AL16" s="1723">
        <v>0.9015233412580017</v>
      </c>
      <c r="AM16" s="1723">
        <v>0.8998051933135348</v>
      </c>
      <c r="AN16" s="1723">
        <v>0.8980870453690678</v>
      </c>
      <c r="AO16" s="1723">
        <v>0.8963688974246004</v>
      </c>
      <c r="AP16" s="1723">
        <v>0.894650749480134</v>
      </c>
      <c r="AQ16" s="1723">
        <v>0.8929326015356666</v>
      </c>
      <c r="AR16" s="1723">
        <v>0.8912144535911998</v>
      </c>
      <c r="AS16" s="287" t="s">
        <v>358</v>
      </c>
    </row>
    <row r="17" ht="17.5" customHeight="1" spans="4:45" x14ac:dyDescent="0.25">
      <c r="D17" s="1335">
        <v>10</v>
      </c>
      <c r="E17" s="1719">
        <v>40569</v>
      </c>
      <c r="F17" s="1349" t="s">
        <v>596</v>
      </c>
      <c r="G17" s="26" t="s">
        <v>1581</v>
      </c>
      <c r="H17" s="1458" t="s">
        <v>1582</v>
      </c>
      <c r="I17" s="1458"/>
      <c r="J17" s="1458"/>
      <c r="K17" s="1458"/>
      <c r="L17" s="1458"/>
      <c r="M17" s="1458"/>
      <c r="N17" s="1368">
        <v>41.898728332450226</v>
      </c>
      <c r="O17" s="1351">
        <v>40.95933381040835</v>
      </c>
      <c r="P17" s="1351">
        <v>42.94310394615954</v>
      </c>
      <c r="Q17" s="1351">
        <v>41.29519153205666</v>
      </c>
      <c r="R17" s="1351">
        <v>40.22817526690019</v>
      </c>
      <c r="S17" s="1351">
        <v>42.18722390777751</v>
      </c>
      <c r="T17" s="1351">
        <v>43.88305736315458</v>
      </c>
      <c r="U17" s="1351">
        <v>44.634849896676116</v>
      </c>
      <c r="V17" s="1351">
        <v>46.98158628518667</v>
      </c>
      <c r="W17" s="1351">
        <v>50.25065871995014</v>
      </c>
      <c r="X17" s="1351">
        <v>51.605886874051755</v>
      </c>
      <c r="Y17" s="1351">
        <v>55.27592933077318</v>
      </c>
      <c r="Z17" s="1351">
        <v>58.37086249005247</v>
      </c>
      <c r="AA17" s="1351">
        <v>60.946255566803515</v>
      </c>
      <c r="AB17" s="1351">
        <v>58.184038954828694</v>
      </c>
      <c r="AC17" s="1351">
        <v>60.63</v>
      </c>
      <c r="AD17" s="1351">
        <v>62.95366299291275</v>
      </c>
      <c r="AE17" s="1351">
        <v>65.16114283617985</v>
      </c>
      <c r="AF17" s="1351">
        <v>67.2582486872836</v>
      </c>
      <c r="AG17" s="1351">
        <v>69.25049924583216</v>
      </c>
      <c r="AH17" s="1351">
        <v>71.14313727645329</v>
      </c>
      <c r="AI17" s="1351">
        <v>72.94114340554336</v>
      </c>
      <c r="AJ17" s="1351">
        <v>74.64924922817892</v>
      </c>
      <c r="AK17" s="1351">
        <v>76.2719497596827</v>
      </c>
      <c r="AL17" s="1351">
        <v>77.8135152646113</v>
      </c>
      <c r="AM17" s="1351">
        <v>79.27800249429346</v>
      </c>
      <c r="AN17" s="1351">
        <v>80.66926536249152</v>
      </c>
      <c r="AO17" s="1351">
        <v>81.99096508727966</v>
      </c>
      <c r="AP17" s="1351">
        <v>83.2465798258284</v>
      </c>
      <c r="AQ17" s="1351">
        <v>84.43941382744971</v>
      </c>
      <c r="AR17" s="1351">
        <v>85.57260612898996</v>
      </c>
      <c r="AS17" s="287" t="s">
        <v>596</v>
      </c>
    </row>
    <row r="18" ht="17.5" customHeight="1" spans="4:45" x14ac:dyDescent="0.25">
      <c r="D18" s="1335">
        <v>11</v>
      </c>
      <c r="E18" s="1719">
        <v>40571</v>
      </c>
      <c r="F18" s="1349" t="s">
        <v>661</v>
      </c>
      <c r="G18" s="26" t="s">
        <v>919</v>
      </c>
      <c r="H18" s="1458" t="s">
        <v>1583</v>
      </c>
      <c r="I18" s="1458"/>
      <c r="J18" s="1458"/>
      <c r="K18" s="1458"/>
      <c r="L18" s="1458"/>
      <c r="M18" s="1458"/>
      <c r="N18" s="1362">
        <v>0.5216020542781756</v>
      </c>
      <c r="O18" s="419">
        <v>0.5067438248459637</v>
      </c>
      <c r="P18" s="419">
        <v>0.5138384951846594</v>
      </c>
      <c r="Q18" s="419">
        <v>0.48885450135935193</v>
      </c>
      <c r="R18" s="419">
        <v>0.5192852032511993</v>
      </c>
      <c r="S18" s="419">
        <v>0.5678192233593711</v>
      </c>
      <c r="T18" s="419">
        <v>0.592974718440969</v>
      </c>
      <c r="U18" s="419">
        <v>0.6147586145611351</v>
      </c>
      <c r="V18" s="419">
        <v>0.6539549075702197</v>
      </c>
      <c r="W18" s="419">
        <v>0.696170090046636</v>
      </c>
      <c r="X18" s="419">
        <v>0.7231873963690691</v>
      </c>
      <c r="Y18" s="419">
        <v>0.770957353616322</v>
      </c>
      <c r="Z18" s="419">
        <v>0.8163189507394883</v>
      </c>
      <c r="AA18" s="419">
        <v>0.830110828648082</v>
      </c>
      <c r="AB18" s="419">
        <v>0.830110828648082</v>
      </c>
      <c r="AC18" s="419">
        <v>0.830110828648082</v>
      </c>
      <c r="AD18" s="419">
        <v>0.8601108286480821</v>
      </c>
      <c r="AE18" s="419">
        <v>0.8901108286480821</v>
      </c>
      <c r="AF18" s="419">
        <v>0.9180108286480821</v>
      </c>
      <c r="AG18" s="419">
        <v>0.9439578286480822</v>
      </c>
      <c r="AH18" s="419">
        <v>0.9680885386480822</v>
      </c>
      <c r="AI18" s="419">
        <v>0.9905300989480822</v>
      </c>
      <c r="AJ18" s="419">
        <v>1.0114007500270823</v>
      </c>
      <c r="AK18" s="419">
        <v>1.0308104555305524</v>
      </c>
      <c r="AL18" s="419">
        <v>1.0488614816487796</v>
      </c>
      <c r="AM18" s="419">
        <v>1.065648935938731</v>
      </c>
      <c r="AN18" s="419">
        <v>1.0812612684283855</v>
      </c>
      <c r="AO18" s="419">
        <v>1.0957807376437643</v>
      </c>
      <c r="AP18" s="419">
        <v>1.1092838440140664</v>
      </c>
      <c r="AQ18" s="419">
        <v>1.1218417329384474</v>
      </c>
      <c r="AR18" s="419">
        <v>1.1335205696381216</v>
      </c>
      <c r="AS18" s="287" t="s">
        <v>661</v>
      </c>
    </row>
    <row r="19" ht="17.5" customHeight="1" spans="4:45" x14ac:dyDescent="0.25">
      <c r="D19" s="1335">
        <v>12</v>
      </c>
      <c r="E19" s="1719">
        <v>40558</v>
      </c>
      <c r="F19" s="1349" t="s">
        <v>381</v>
      </c>
      <c r="G19" s="26" t="s">
        <v>866</v>
      </c>
      <c r="H19" s="1458" t="s">
        <v>1584</v>
      </c>
      <c r="I19" s="1458"/>
      <c r="J19" s="1458"/>
      <c r="K19" s="1458"/>
      <c r="L19" s="1458"/>
      <c r="M19" s="1458"/>
      <c r="N19" s="1371">
        <v>1</v>
      </c>
      <c r="O19" s="1372">
        <v>1.218</v>
      </c>
      <c r="P19" s="1372">
        <v>1.3519800000000002</v>
      </c>
      <c r="Q19" s="1372">
        <v>2.4930511200000005</v>
      </c>
      <c r="R19" s="1372">
        <v>3.4030147788000007</v>
      </c>
      <c r="S19" s="1372">
        <v>4.090423764117601</v>
      </c>
      <c r="T19" s="1372">
        <v>4.851242584243474</v>
      </c>
      <c r="U19" s="1372">
        <v>5.583780214464239</v>
      </c>
      <c r="V19" s="1372">
        <v>6.253833840199949</v>
      </c>
      <c r="W19" s="1372">
        <v>6.9855323995033425</v>
      </c>
      <c r="X19" s="1372">
        <v>7.746955431049207</v>
      </c>
      <c r="Y19" s="1372">
        <v>8.444181419843636</v>
      </c>
      <c r="Z19" s="1372">
        <v>9.449039008805029</v>
      </c>
      <c r="AA19" s="1372">
        <v>10.705761196976098</v>
      </c>
      <c r="AB19" s="1372">
        <v>11.647868182309995</v>
      </c>
      <c r="AC19" s="1372">
        <v>12.579697636894796</v>
      </c>
      <c r="AD19" s="1372">
        <v>13.460276471477432</v>
      </c>
      <c r="AE19" s="1372">
        <v>14.335194442123464</v>
      </c>
      <c r="AF19" s="1372">
        <v>15.195306108650874</v>
      </c>
      <c r="AG19" s="1372">
        <v>16.03104794462667</v>
      </c>
      <c r="AH19" s="1372">
        <v>16.86466243774726</v>
      </c>
      <c r="AI19" s="1372">
        <v>17.707895559634622</v>
      </c>
      <c r="AJ19" s="1372">
        <v>18.504750859818177</v>
      </c>
      <c r="AK19" s="1372">
        <v>19.244940894210906</v>
      </c>
      <c r="AL19" s="1372">
        <v>19.822289121037233</v>
      </c>
      <c r="AM19" s="1372">
        <v>20.41695779466835</v>
      </c>
      <c r="AN19" s="1372">
        <v>21.0294665285084</v>
      </c>
      <c r="AO19" s="1372">
        <v>21.660350524363654</v>
      </c>
      <c r="AP19" s="1372">
        <v>22.310161040094563</v>
      </c>
      <c r="AQ19" s="1372">
        <v>22.9794658712974</v>
      </c>
      <c r="AR19" s="1372">
        <v>23.668849847436324</v>
      </c>
      <c r="AS19" s="287" t="s">
        <v>381</v>
      </c>
    </row>
    <row r="20" ht="17.5" customHeight="1" spans="4:45" x14ac:dyDescent="0.25">
      <c r="D20" s="1335">
        <v>13</v>
      </c>
      <c r="E20" s="1722">
        <v>40554</v>
      </c>
      <c r="F20" s="1349" t="s">
        <v>121</v>
      </c>
      <c r="G20" s="26" t="s">
        <v>866</v>
      </c>
      <c r="H20" s="1458" t="s">
        <v>1585</v>
      </c>
      <c r="I20" s="1458"/>
      <c r="J20" s="1458"/>
      <c r="K20" s="1458"/>
      <c r="L20" s="1458"/>
      <c r="M20" s="1458"/>
      <c r="N20" s="1371">
        <v>2.313</v>
      </c>
      <c r="O20" s="187">
        <v>1.218</v>
      </c>
      <c r="P20" s="187">
        <v>1.11</v>
      </c>
      <c r="Q20" s="187">
        <v>1.844</v>
      </c>
      <c r="R20" s="187">
        <v>1.365</v>
      </c>
      <c r="S20" s="187">
        <v>1.202</v>
      </c>
      <c r="T20" s="187">
        <v>1.186</v>
      </c>
      <c r="U20" s="187">
        <v>1.151</v>
      </c>
      <c r="V20" s="187">
        <v>1.12</v>
      </c>
      <c r="W20" s="187">
        <v>1.117</v>
      </c>
      <c r="X20" s="187">
        <v>1.109</v>
      </c>
      <c r="Y20" s="187">
        <v>1.09</v>
      </c>
      <c r="Z20" s="187">
        <v>1.119</v>
      </c>
      <c r="AA20" s="187">
        <v>1.133</v>
      </c>
      <c r="AB20" s="419">
        <v>1.088</v>
      </c>
      <c r="AC20" s="419">
        <v>1.08</v>
      </c>
      <c r="AD20" s="419">
        <v>1.07</v>
      </c>
      <c r="AE20" s="419">
        <v>1.065</v>
      </c>
      <c r="AF20" s="419">
        <v>1.06</v>
      </c>
      <c r="AG20" s="419">
        <v>1.055</v>
      </c>
      <c r="AH20" s="419">
        <v>1.052</v>
      </c>
      <c r="AI20" s="419">
        <v>1.05</v>
      </c>
      <c r="AJ20" s="419">
        <v>1.045</v>
      </c>
      <c r="AK20" s="419">
        <v>1.04</v>
      </c>
      <c r="AL20" s="419">
        <v>1.03</v>
      </c>
      <c r="AM20" s="419">
        <v>1.03</v>
      </c>
      <c r="AN20" s="419">
        <v>1.03</v>
      </c>
      <c r="AO20" s="419">
        <v>1.03</v>
      </c>
      <c r="AP20" s="419">
        <v>1.03</v>
      </c>
      <c r="AQ20" s="419">
        <v>1.03</v>
      </c>
      <c r="AR20" s="419">
        <v>1.03</v>
      </c>
      <c r="AS20" s="287" t="s">
        <v>121</v>
      </c>
    </row>
    <row r="21" ht="17.5" customHeight="1" spans="4:45" x14ac:dyDescent="0.25">
      <c r="D21" s="1335">
        <v>14</v>
      </c>
      <c r="E21" s="1719">
        <v>40560</v>
      </c>
      <c r="F21" s="1349" t="s">
        <v>441</v>
      </c>
      <c r="G21" s="26" t="s">
        <v>1013</v>
      </c>
      <c r="H21" s="1458" t="s">
        <v>1586</v>
      </c>
      <c r="I21" s="1458"/>
      <c r="J21" s="1458"/>
      <c r="K21" s="1458"/>
      <c r="L21" s="1458"/>
      <c r="M21" s="1458"/>
      <c r="N21" s="1376">
        <v>9.808038755582468</v>
      </c>
      <c r="O21" s="1351">
        <v>15.570510673284815</v>
      </c>
      <c r="P21" s="1351">
        <v>18.93704444199556</v>
      </c>
      <c r="Q21" s="1351">
        <v>20.14846778438911</v>
      </c>
      <c r="R21" s="1351">
        <v>28.401133926735408</v>
      </c>
      <c r="S21" s="1351">
        <v>41.356039592807974</v>
      </c>
      <c r="T21" s="1351">
        <v>53.73059309728583</v>
      </c>
      <c r="U21" s="1351">
        <v>68.8979269818815</v>
      </c>
      <c r="V21" s="1351">
        <v>82.91711464764742</v>
      </c>
      <c r="W21" s="1351">
        <v>103.38196457751305</v>
      </c>
      <c r="X21" s="1351">
        <v>121.30476422160481</v>
      </c>
      <c r="Y21" s="1351">
        <v>150.9426121122823</v>
      </c>
      <c r="Z21" s="1351">
        <v>189.77332363654145</v>
      </c>
      <c r="AA21" s="1351">
        <v>237.430924192197</v>
      </c>
      <c r="AB21" s="1351">
        <v>254.90527282716073</v>
      </c>
      <c r="AC21" s="1351">
        <v>299.9741270445683</v>
      </c>
      <c r="AD21" s="1351">
        <v>339.4549637987228</v>
      </c>
      <c r="AE21" s="1351">
        <v>375.2983504260412</v>
      </c>
      <c r="AF21" s="1351">
        <v>408.0401314250616</v>
      </c>
      <c r="AG21" s="1351">
        <v>438.0326740138386</v>
      </c>
      <c r="AH21" s="1351">
        <v>466.3704400219558</v>
      </c>
      <c r="AI21" s="1351">
        <v>493.77561123821073</v>
      </c>
      <c r="AJ21" s="1351">
        <v>518.9848976448177</v>
      </c>
      <c r="AK21" s="1351">
        <v>541.9205650304566</v>
      </c>
      <c r="AL21" s="1351">
        <v>559.7472737183393</v>
      </c>
      <c r="AM21" s="1351">
        <v>577.6710070722442</v>
      </c>
      <c r="AN21" s="1351">
        <v>595.8168155020493</v>
      </c>
      <c r="AO21" s="1351">
        <v>614.2794239620275</v>
      </c>
      <c r="AP21" s="1351">
        <v>633.1318296612234</v>
      </c>
      <c r="AQ21" s="1351">
        <v>652.4315051198814</v>
      </c>
      <c r="AR21" s="1351">
        <v>672.2248748035983</v>
      </c>
      <c r="AS21" s="287" t="s">
        <v>441</v>
      </c>
    </row>
    <row r="22" ht="17.5" customHeight="1" spans="4:45" x14ac:dyDescent="0.25">
      <c r="D22" s="1335">
        <v>15</v>
      </c>
      <c r="E22" s="1719">
        <v>40571</v>
      </c>
      <c r="F22" s="1349" t="s">
        <v>445</v>
      </c>
      <c r="G22" s="26" t="s">
        <v>866</v>
      </c>
      <c r="H22" s="1458" t="s">
        <v>1587</v>
      </c>
      <c r="I22" s="1458"/>
      <c r="J22" s="1458"/>
      <c r="K22" s="1458"/>
      <c r="L22" s="1458"/>
      <c r="M22" s="1458"/>
      <c r="N22" s="1371">
        <v>1</v>
      </c>
      <c r="O22" s="1372">
        <v>1.3033870299749575</v>
      </c>
      <c r="P22" s="1372">
        <v>1.428103745070993</v>
      </c>
      <c r="Q22" s="1372">
        <v>0.8240027634856926</v>
      </c>
      <c r="R22" s="1372">
        <v>0.8509218416065519</v>
      </c>
      <c r="S22" s="1372">
        <v>1.0308333636039033</v>
      </c>
      <c r="T22" s="1372">
        <v>1.1292405616766865</v>
      </c>
      <c r="U22" s="1372">
        <v>1.258043523174777</v>
      </c>
      <c r="V22" s="1372">
        <v>1.3518100462463474</v>
      </c>
      <c r="W22" s="1372">
        <v>1.50890916461988</v>
      </c>
      <c r="X22" s="1372">
        <v>1.5964842093733607</v>
      </c>
      <c r="Y22" s="1372">
        <v>1.822519285820674</v>
      </c>
      <c r="Z22" s="1372">
        <v>2.0476953714022907</v>
      </c>
      <c r="AA22" s="1372">
        <v>2.261192612769257</v>
      </c>
      <c r="AB22" s="1372">
        <v>2.2312600969913485</v>
      </c>
      <c r="AC22" s="1372">
        <v>2.4312600969913487</v>
      </c>
      <c r="AD22" s="1372">
        <v>2.571260096991349</v>
      </c>
      <c r="AE22" s="1372">
        <v>2.6692600969913487</v>
      </c>
      <c r="AF22" s="1372">
        <v>2.7378600969913487</v>
      </c>
      <c r="AG22" s="1372">
        <v>2.785880096991349</v>
      </c>
      <c r="AH22" s="1372">
        <v>2.819494096991349</v>
      </c>
      <c r="AI22" s="1372">
        <v>2.843023896991349</v>
      </c>
      <c r="AJ22" s="1372">
        <v>2.859494756991349</v>
      </c>
      <c r="AK22" s="1372">
        <v>2.871024358991349</v>
      </c>
      <c r="AL22" s="1372">
        <v>2.879095080391349</v>
      </c>
      <c r="AM22" s="1372">
        <v>2.884744585371349</v>
      </c>
      <c r="AN22" s="1372">
        <v>2.8886992388573494</v>
      </c>
      <c r="AO22" s="1372">
        <v>2.8914674962975493</v>
      </c>
      <c r="AP22" s="1372">
        <v>2.893405276505689</v>
      </c>
      <c r="AQ22" s="1372">
        <v>2.8947617226513866</v>
      </c>
      <c r="AR22" s="1372">
        <v>2.895711234953375</v>
      </c>
      <c r="AS22" s="287" t="s">
        <v>445</v>
      </c>
    </row>
    <row r="23" ht="17.5" customHeight="1" spans="4:45" x14ac:dyDescent="0.25">
      <c r="D23" s="1335">
        <v>16</v>
      </c>
      <c r="E23" s="1719">
        <v>40561</v>
      </c>
      <c r="F23" s="1349" t="s">
        <v>631</v>
      </c>
      <c r="G23" s="26" t="s">
        <v>866</v>
      </c>
      <c r="H23" s="1458" t="s">
        <v>1588</v>
      </c>
      <c r="I23" s="1458"/>
      <c r="J23" s="1458"/>
      <c r="K23" s="1458"/>
      <c r="L23" s="1458"/>
      <c r="M23" s="1458"/>
      <c r="N23" s="1371">
        <v>1</v>
      </c>
      <c r="O23" s="1372">
        <v>1.5208627234830072</v>
      </c>
      <c r="P23" s="1372">
        <v>1.7178414165358655</v>
      </c>
      <c r="Q23" s="1372">
        <v>2.396006361037087</v>
      </c>
      <c r="R23" s="1372">
        <v>4.663543841500785</v>
      </c>
      <c r="S23" s="1372">
        <v>5.082155573958843</v>
      </c>
      <c r="T23" s="1372">
        <v>6.2597323676099625</v>
      </c>
      <c r="U23" s="1372">
        <v>7.072806931090499</v>
      </c>
      <c r="V23" s="1372">
        <v>7.858642990356409</v>
      </c>
      <c r="W23" s="1372">
        <v>9.048053441200452</v>
      </c>
      <c r="X23" s="1372">
        <v>10.070168753275148</v>
      </c>
      <c r="Y23" s="1372">
        <v>11.237649593940658</v>
      </c>
      <c r="Z23" s="1372">
        <v>12.98598556755597</v>
      </c>
      <c r="AA23" s="1372">
        <v>15.377950222948625</v>
      </c>
      <c r="AB23" s="1372">
        <v>17.094995828378213</v>
      </c>
      <c r="AC23" s="1372">
        <v>18.55448459299336</v>
      </c>
      <c r="AD23" s="1372">
        <v>19.795050042916237</v>
      </c>
      <c r="AE23" s="1372">
        <v>20.84953067535068</v>
      </c>
      <c r="AF23" s="1372">
        <v>21.74583921291996</v>
      </c>
      <c r="AG23" s="1372">
        <v>22.50770146985385</v>
      </c>
      <c r="AH23" s="1372">
        <v>23.155284388247654</v>
      </c>
      <c r="AI23" s="1372">
        <v>23.70572986888239</v>
      </c>
      <c r="AJ23" s="1372">
        <v>24.173608527421916</v>
      </c>
      <c r="AK23" s="1372">
        <v>24.571305387180512</v>
      </c>
      <c r="AL23" s="1372">
        <v>24.90934771797532</v>
      </c>
      <c r="AM23" s="1372">
        <v>25.196683699150903</v>
      </c>
      <c r="AN23" s="1372">
        <v>25.440919283150148</v>
      </c>
      <c r="AO23" s="1372">
        <v>25.648519529549507</v>
      </c>
      <c r="AP23" s="1372">
        <v>25.82497973898896</v>
      </c>
      <c r="AQ23" s="1372">
        <v>25.9749709170125</v>
      </c>
      <c r="AR23" s="1372">
        <v>26.102463418332505</v>
      </c>
      <c r="AS23" s="287" t="s">
        <v>631</v>
      </c>
    </row>
    <row r="24" ht="17.5" customHeight="1" spans="4:45" x14ac:dyDescent="0.25">
      <c r="D24" s="1335">
        <v>17</v>
      </c>
      <c r="E24" s="1719">
        <v>40561</v>
      </c>
      <c r="F24" s="1349" t="s">
        <v>387</v>
      </c>
      <c r="G24" s="26" t="s">
        <v>866</v>
      </c>
      <c r="H24" s="1458" t="s">
        <v>1036</v>
      </c>
      <c r="I24" s="1458"/>
      <c r="J24" s="1458"/>
      <c r="K24" s="1458"/>
      <c r="L24" s="1458"/>
      <c r="M24" s="1458"/>
      <c r="N24" s="1527">
        <v>1</v>
      </c>
      <c r="O24" s="1369">
        <v>1.4723042021668387</v>
      </c>
      <c r="P24" s="1369">
        <v>1.718558670886825</v>
      </c>
      <c r="Q24" s="1369">
        <v>2.106089704659442</v>
      </c>
      <c r="R24" s="1369">
        <v>3.727842297346868</v>
      </c>
      <c r="S24" s="1369">
        <v>4.5918326760987345</v>
      </c>
      <c r="T24" s="1369">
        <v>5.561179540405496</v>
      </c>
      <c r="U24" s="1369">
        <v>6.468238698917706</v>
      </c>
      <c r="V24" s="1369">
        <v>7.258482770625474</v>
      </c>
      <c r="W24" s="1369">
        <v>8.328227993617887</v>
      </c>
      <c r="X24" s="1369">
        <v>9.370471463956683</v>
      </c>
      <c r="Y24" s="1369">
        <v>10.171880121895711</v>
      </c>
      <c r="Z24" s="1369">
        <v>10.996054426330467</v>
      </c>
      <c r="AA24" s="1369">
        <v>12.387688578322294</v>
      </c>
      <c r="AB24" s="1369">
        <v>14.142054699347748</v>
      </c>
      <c r="AC24" s="1369">
        <v>15.720984208270655</v>
      </c>
      <c r="AD24" s="1369">
        <v>17.142020766301272</v>
      </c>
      <c r="AE24" s="1369">
        <v>18.420953668528828</v>
      </c>
      <c r="AF24" s="1369">
        <v>19.57199328053363</v>
      </c>
      <c r="AG24" s="1369">
        <v>20.607928931337952</v>
      </c>
      <c r="AH24" s="1369">
        <v>21.54027101706184</v>
      </c>
      <c r="AI24" s="1369">
        <v>22.37937889421334</v>
      </c>
      <c r="AJ24" s="1369">
        <v>23.134575983649686</v>
      </c>
      <c r="AK24" s="1369">
        <v>23.8142533641424</v>
      </c>
      <c r="AL24" s="1369">
        <v>24.42596300658584</v>
      </c>
      <c r="AM24" s="1369">
        <v>24.976501684784935</v>
      </c>
      <c r="AN24" s="1369">
        <v>25.47198649516412</v>
      </c>
      <c r="AO24" s="1369">
        <v>25.91792282450539</v>
      </c>
      <c r="AP24" s="1369">
        <v>26.31926552091253</v>
      </c>
      <c r="AQ24" s="1369">
        <v>26.68047394767896</v>
      </c>
      <c r="AR24" s="1369">
        <v>27.005561531768745</v>
      </c>
      <c r="AS24" s="287" t="s">
        <v>387</v>
      </c>
    </row>
    <row r="25" ht="17.5" customHeight="1" spans="4:45" x14ac:dyDescent="0.25">
      <c r="D25" s="1335">
        <v>18</v>
      </c>
      <c r="E25" s="1719">
        <v>40561</v>
      </c>
      <c r="F25" s="1349" t="s">
        <v>636</v>
      </c>
      <c r="G25" s="26" t="s">
        <v>866</v>
      </c>
      <c r="H25" s="1458" t="s">
        <v>1038</v>
      </c>
      <c r="I25" s="1458"/>
      <c r="J25" s="1458"/>
      <c r="K25" s="1458"/>
      <c r="L25" s="1458"/>
      <c r="M25" s="1458"/>
      <c r="N25" s="1527">
        <v>1</v>
      </c>
      <c r="O25" s="1369">
        <v>1.3930686182271845</v>
      </c>
      <c r="P25" s="1369">
        <v>1.8000080782573098</v>
      </c>
      <c r="Q25" s="1369">
        <v>1.7787455021088285</v>
      </c>
      <c r="R25" s="1369">
        <v>2.4627881934761957</v>
      </c>
      <c r="S25" s="1369">
        <v>3.785470488529565</v>
      </c>
      <c r="T25" s="1369">
        <v>5.08786459563914</v>
      </c>
      <c r="U25" s="1369">
        <v>6.552867571558401</v>
      </c>
      <c r="V25" s="1369">
        <v>7.795892317615872</v>
      </c>
      <c r="W25" s="1369">
        <v>9.32454487174126</v>
      </c>
      <c r="X25" s="1369">
        <v>11.601834838997735</v>
      </c>
      <c r="Y25" s="1369">
        <v>14.558879763670303</v>
      </c>
      <c r="Z25" s="1369">
        <v>17.41864233141954</v>
      </c>
      <c r="AA25" s="1369">
        <v>21.19798695309196</v>
      </c>
      <c r="AB25" s="1369">
        <v>22.736622248955495</v>
      </c>
      <c r="AC25" s="1369">
        <v>23.967530485646325</v>
      </c>
      <c r="AD25" s="1369">
        <v>24.95225707499899</v>
      </c>
      <c r="AE25" s="1369">
        <v>25.74003834648112</v>
      </c>
      <c r="AF25" s="1369">
        <v>26.370263363666826</v>
      </c>
      <c r="AG25" s="1369">
        <v>26.87444337741539</v>
      </c>
      <c r="AH25" s="1369">
        <v>27.27778738841424</v>
      </c>
      <c r="AI25" s="1369">
        <v>27.60046259721332</v>
      </c>
      <c r="AJ25" s="1369">
        <v>27.858602764252584</v>
      </c>
      <c r="AK25" s="1369">
        <v>28.065114897883998</v>
      </c>
      <c r="AL25" s="1369">
        <v>28.23032460478913</v>
      </c>
      <c r="AM25" s="1369">
        <v>28.362492370313234</v>
      </c>
      <c r="AN25" s="1369">
        <v>28.46822658273252</v>
      </c>
      <c r="AO25" s="1369">
        <v>28.552813952667947</v>
      </c>
      <c r="AP25" s="1369">
        <v>28.62048384861629</v>
      </c>
      <c r="AQ25" s="1369">
        <v>28.674619765374963</v>
      </c>
      <c r="AR25" s="1369">
        <v>28.7179284987819</v>
      </c>
      <c r="AS25" s="287" t="s">
        <v>636</v>
      </c>
    </row>
    <row r="26" ht="17.5" customHeight="1" spans="4:45" x14ac:dyDescent="0.25">
      <c r="D26" s="1335">
        <v>19</v>
      </c>
      <c r="E26" s="1719">
        <v>40561</v>
      </c>
      <c r="F26" s="1349" t="s">
        <v>638</v>
      </c>
      <c r="G26" s="26" t="s">
        <v>866</v>
      </c>
      <c r="H26" s="1458" t="s">
        <v>1589</v>
      </c>
      <c r="I26" s="1458"/>
      <c r="J26" s="1458"/>
      <c r="K26" s="1458"/>
      <c r="L26" s="1458"/>
      <c r="M26" s="1458"/>
      <c r="N26" s="1527">
        <v>1</v>
      </c>
      <c r="O26" s="1369">
        <v>1.4997486735151189</v>
      </c>
      <c r="P26" s="1369">
        <v>1.9526312539350381</v>
      </c>
      <c r="Q26" s="1369">
        <v>2.005906030355448</v>
      </c>
      <c r="R26" s="1369">
        <v>2.3429902839701637</v>
      </c>
      <c r="S26" s="1369">
        <v>3.240611479111068</v>
      </c>
      <c r="T26" s="1369">
        <v>3.97066356566005</v>
      </c>
      <c r="U26" s="1369">
        <v>5.284373447678545</v>
      </c>
      <c r="V26" s="1369">
        <v>6.171508131635609</v>
      </c>
      <c r="W26" s="1369">
        <v>6.701602530209906</v>
      </c>
      <c r="X26" s="1369">
        <v>7.644439100868062</v>
      </c>
      <c r="Y26" s="1369">
        <v>8.625582341885453</v>
      </c>
      <c r="Z26" s="1369">
        <v>10.098705571453516</v>
      </c>
      <c r="AA26" s="1369">
        <v>11.941266045828566</v>
      </c>
      <c r="AB26" s="1369">
        <v>13.041066866946434</v>
      </c>
      <c r="AC26" s="1369">
        <v>14.085877647008408</v>
      </c>
      <c r="AD26" s="1369">
        <v>15.078447888067283</v>
      </c>
      <c r="AE26" s="1369">
        <v>16.021389617073215</v>
      </c>
      <c r="AF26" s="1369">
        <v>16.91718425962885</v>
      </c>
      <c r="AG26" s="1369">
        <v>17.768189170056704</v>
      </c>
      <c r="AH26" s="1369">
        <v>18.576643834963164</v>
      </c>
      <c r="AI26" s="1369">
        <v>19.344675766624302</v>
      </c>
      <c r="AJ26" s="1369">
        <v>20.074306101702383</v>
      </c>
      <c r="AK26" s="1369">
        <v>20.76745492002656</v>
      </c>
      <c r="AL26" s="1369">
        <v>21.425946297434525</v>
      </c>
      <c r="AM26" s="1369">
        <v>22.05151310597209</v>
      </c>
      <c r="AN26" s="1369">
        <v>22.64580157408278</v>
      </c>
      <c r="AO26" s="1369">
        <v>23.210375618787932</v>
      </c>
      <c r="AP26" s="1369">
        <v>23.74672096125783</v>
      </c>
      <c r="AQ26" s="1369">
        <v>24.25624903660423</v>
      </c>
      <c r="AR26" s="1369">
        <v>24.740300708183312</v>
      </c>
      <c r="AS26" s="287" t="s">
        <v>638</v>
      </c>
    </row>
    <row r="27" ht="17.5" customHeight="1" spans="4:45" x14ac:dyDescent="0.25">
      <c r="D27" s="1335">
        <v>20</v>
      </c>
      <c r="E27" s="1719">
        <v>40561</v>
      </c>
      <c r="F27" s="1349" t="s">
        <v>640</v>
      </c>
      <c r="G27" s="26" t="s">
        <v>866</v>
      </c>
      <c r="H27" s="1458" t="s">
        <v>1590</v>
      </c>
      <c r="I27" s="1458"/>
      <c r="J27" s="1458"/>
      <c r="K27" s="1458"/>
      <c r="L27" s="1458"/>
      <c r="M27" s="1458"/>
      <c r="N27" s="1371">
        <v>1</v>
      </c>
      <c r="O27" s="1372">
        <v>1.2062700474653716</v>
      </c>
      <c r="P27" s="1372">
        <v>1.3416177583578945</v>
      </c>
      <c r="Q27" s="1372">
        <v>1.86606737883619</v>
      </c>
      <c r="R27" s="1372">
        <v>4.260651853603475</v>
      </c>
      <c r="S27" s="1372">
        <v>6.00821185960683</v>
      </c>
      <c r="T27" s="1372">
        <v>5.910590005019161</v>
      </c>
      <c r="U27" s="1372">
        <v>6.193634820546727</v>
      </c>
      <c r="V27" s="1372">
        <v>6.715254624075821</v>
      </c>
      <c r="W27" s="1372">
        <v>7.560419692709162</v>
      </c>
      <c r="X27" s="1372">
        <v>9.215042167890525</v>
      </c>
      <c r="Y27" s="1372">
        <v>10.24995388150444</v>
      </c>
      <c r="Z27" s="1372">
        <v>10.650833844352405</v>
      </c>
      <c r="AA27" s="1372">
        <v>13.642078961141971</v>
      </c>
      <c r="AB27" s="1372">
        <v>12.012592427340103</v>
      </c>
      <c r="AC27" s="1372">
        <v>13.579697636894796</v>
      </c>
      <c r="AD27" s="1372">
        <v>14.460276471477432</v>
      </c>
      <c r="AE27" s="1372">
        <v>15.335194442123464</v>
      </c>
      <c r="AF27" s="1372">
        <v>16.195306108650875</v>
      </c>
      <c r="AG27" s="1372">
        <v>17.03104794462667</v>
      </c>
      <c r="AH27" s="1372">
        <v>17.86466243774726</v>
      </c>
      <c r="AI27" s="1372">
        <v>18.707895559634622</v>
      </c>
      <c r="AJ27" s="1372">
        <v>19.504750859818177</v>
      </c>
      <c r="AK27" s="1372">
        <v>20.244940894210906</v>
      </c>
      <c r="AL27" s="1372">
        <v>20.822289121037233</v>
      </c>
      <c r="AM27" s="1372">
        <v>21.41695779466835</v>
      </c>
      <c r="AN27" s="1372">
        <v>22.0294665285084</v>
      </c>
      <c r="AO27" s="1372">
        <v>22.660350524363654</v>
      </c>
      <c r="AP27" s="1372">
        <v>23.310161040094563</v>
      </c>
      <c r="AQ27" s="1372">
        <v>23.9794658712974</v>
      </c>
      <c r="AR27" s="1372">
        <v>24.668849847436324</v>
      </c>
      <c r="AS27" s="287" t="s">
        <v>640</v>
      </c>
    </row>
    <row r="28" ht="17.5" customHeight="1" spans="4:45" x14ac:dyDescent="0.25">
      <c r="D28" s="1335">
        <v>21</v>
      </c>
      <c r="E28" s="1719">
        <v>40561</v>
      </c>
      <c r="F28" s="1349" t="s">
        <v>390</v>
      </c>
      <c r="G28" s="26" t="s">
        <v>866</v>
      </c>
      <c r="H28" s="1458" t="s">
        <v>1051</v>
      </c>
      <c r="I28" s="1458"/>
      <c r="J28" s="1458"/>
      <c r="K28" s="1458"/>
      <c r="L28" s="1458"/>
      <c r="M28" s="1458"/>
      <c r="N28" s="1371">
        <v>1</v>
      </c>
      <c r="O28" s="1372">
        <v>1.170751567490661</v>
      </c>
      <c r="P28" s="1372">
        <v>1.4027022303089887</v>
      </c>
      <c r="Q28" s="1372">
        <v>2.0776657762662096</v>
      </c>
      <c r="R28" s="1372">
        <v>4.894300618534395</v>
      </c>
      <c r="S28" s="1372">
        <v>5.141611399445178</v>
      </c>
      <c r="T28" s="1372">
        <v>5.343385559062673</v>
      </c>
      <c r="U28" s="1372">
        <v>5.696540648389543</v>
      </c>
      <c r="V28" s="1372">
        <v>5.788123461724907</v>
      </c>
      <c r="W28" s="1372">
        <v>5.617164966343534</v>
      </c>
      <c r="X28" s="1372">
        <v>5.933656338117279</v>
      </c>
      <c r="Y28" s="1372">
        <v>5.949475526803211</v>
      </c>
      <c r="Z28" s="1372">
        <v>5.972486590341231</v>
      </c>
      <c r="AA28" s="1372">
        <v>6.618063458613962</v>
      </c>
      <c r="AB28" s="1372">
        <v>8.311711701702665</v>
      </c>
      <c r="AC28" s="1372">
        <v>9.86986808534427</v>
      </c>
      <c r="AD28" s="1372">
        <v>11.303371958294548</v>
      </c>
      <c r="AE28" s="1372">
        <v>12.622195521408804</v>
      </c>
      <c r="AF28" s="1372">
        <v>13.795306108650873</v>
      </c>
      <c r="AG28" s="1372">
        <v>14.63104794462667</v>
      </c>
      <c r="AH28" s="1372">
        <v>15.46466243774726</v>
      </c>
      <c r="AI28" s="1372">
        <v>16.307895559634623</v>
      </c>
      <c r="AJ28" s="1372">
        <v>17.10475085981818</v>
      </c>
      <c r="AK28" s="1372">
        <v>17.844940894210907</v>
      </c>
      <c r="AL28" s="1372">
        <v>18.422289121037235</v>
      </c>
      <c r="AM28" s="1372">
        <v>19.01695779466835</v>
      </c>
      <c r="AN28" s="1372">
        <v>19.629466528508402</v>
      </c>
      <c r="AO28" s="1372">
        <v>20.260350524363655</v>
      </c>
      <c r="AP28" s="1372">
        <v>20.910161040094565</v>
      </c>
      <c r="AQ28" s="1372">
        <v>21.5794658712974</v>
      </c>
      <c r="AR28" s="1372">
        <v>22.268849847436325</v>
      </c>
      <c r="AS28" s="287" t="s">
        <v>390</v>
      </c>
    </row>
    <row r="29" ht="17.5" customHeight="1" spans="4:45" x14ac:dyDescent="0.25">
      <c r="D29" s="1335">
        <v>22</v>
      </c>
      <c r="E29" s="1719">
        <v>40561</v>
      </c>
      <c r="F29" s="1349" t="s">
        <v>644</v>
      </c>
      <c r="G29" s="26" t="s">
        <v>866</v>
      </c>
      <c r="H29" s="1458" t="s">
        <v>1591</v>
      </c>
      <c r="I29" s="1458"/>
      <c r="J29" s="1458"/>
      <c r="K29" s="1458"/>
      <c r="L29" s="1458"/>
      <c r="M29" s="1458"/>
      <c r="N29" s="1371">
        <v>1</v>
      </c>
      <c r="O29" s="1372">
        <v>1.7194377618988257</v>
      </c>
      <c r="P29" s="1372">
        <v>1.9680277801214479</v>
      </c>
      <c r="Q29" s="1372">
        <v>2.2270348811115843</v>
      </c>
      <c r="R29" s="1372">
        <v>3.493098424873765</v>
      </c>
      <c r="S29" s="1372">
        <v>5.171262749607017</v>
      </c>
      <c r="T29" s="1372">
        <v>6.070726846853921</v>
      </c>
      <c r="U29" s="1372">
        <v>6.916750986271129</v>
      </c>
      <c r="V29" s="1372">
        <v>7.627368919343924</v>
      </c>
      <c r="W29" s="1372">
        <v>8.790413317796471</v>
      </c>
      <c r="X29" s="1372">
        <v>9.990624552690374</v>
      </c>
      <c r="Y29" s="1372">
        <v>11.213557335183449</v>
      </c>
      <c r="Z29" s="1372">
        <v>12.976654669654488</v>
      </c>
      <c r="AA29" s="1372">
        <v>15.438804338129833</v>
      </c>
      <c r="AB29" s="1372">
        <v>16.637405826995906</v>
      </c>
      <c r="AC29" s="1372">
        <v>17.71614716697537</v>
      </c>
      <c r="AD29" s="1372">
        <v>18.68701437295689</v>
      </c>
      <c r="AE29" s="1372">
        <v>19.56079485834026</v>
      </c>
      <c r="AF29" s="1372">
        <v>20.34719729518529</v>
      </c>
      <c r="AG29" s="1372">
        <v>21.054959488345816</v>
      </c>
      <c r="AH29" s="1372">
        <v>21.69194546219029</v>
      </c>
      <c r="AI29" s="1372">
        <v>22.265232838650316</v>
      </c>
      <c r="AJ29" s="1372">
        <v>22.78119147746434</v>
      </c>
      <c r="AK29" s="1372">
        <v>23.24555425239696</v>
      </c>
      <c r="AL29" s="1372">
        <v>23.663480749836317</v>
      </c>
      <c r="AM29" s="1372">
        <v>24.039614597531738</v>
      </c>
      <c r="AN29" s="1372">
        <v>24.378135060457616</v>
      </c>
      <c r="AO29" s="1372">
        <v>24.682803477090907</v>
      </c>
      <c r="AP29" s="1372">
        <v>24.957005052060868</v>
      </c>
      <c r="AQ29" s="1372">
        <v>25.20378646953383</v>
      </c>
      <c r="AR29" s="1372">
        <v>25.425889745259497</v>
      </c>
      <c r="AS29" s="287" t="s">
        <v>644</v>
      </c>
    </row>
    <row r="30" ht="17.5" customHeight="1" spans="4:45" x14ac:dyDescent="0.25">
      <c r="D30" s="1335">
        <v>23</v>
      </c>
      <c r="E30" s="1719">
        <v>40561</v>
      </c>
      <c r="F30" s="1349" t="s">
        <v>646</v>
      </c>
      <c r="G30" s="26" t="s">
        <v>866</v>
      </c>
      <c r="H30" s="1458" t="s">
        <v>1047</v>
      </c>
      <c r="I30" s="1458"/>
      <c r="J30" s="1458"/>
      <c r="K30" s="1458"/>
      <c r="L30" s="1458"/>
      <c r="M30" s="1458"/>
      <c r="N30" s="1371">
        <v>1</v>
      </c>
      <c r="O30" s="1372">
        <v>2.4612360876966988</v>
      </c>
      <c r="P30" s="1372">
        <v>2.506515561924533</v>
      </c>
      <c r="Q30" s="1372">
        <v>2.67289852966332</v>
      </c>
      <c r="R30" s="1372">
        <v>2.695748504761602</v>
      </c>
      <c r="S30" s="1372">
        <v>3.27499329586519</v>
      </c>
      <c r="T30" s="1372">
        <v>3.7996202149562324</v>
      </c>
      <c r="U30" s="1372">
        <v>4.558821882942158</v>
      </c>
      <c r="V30" s="1372">
        <v>5.642646351296694</v>
      </c>
      <c r="W30" s="1372">
        <v>6.469054494837223</v>
      </c>
      <c r="X30" s="1372">
        <v>7.674390130675848</v>
      </c>
      <c r="Y30" s="1372">
        <v>8.74028958961553</v>
      </c>
      <c r="Z30" s="1372">
        <v>11.03942136036908</v>
      </c>
      <c r="AA30" s="1372">
        <v>13.547565078944649</v>
      </c>
      <c r="AB30" s="1372">
        <v>15.554080053805105</v>
      </c>
      <c r="AC30" s="1372">
        <v>17.259617782436493</v>
      </c>
      <c r="AD30" s="1372">
        <v>18.70932485177317</v>
      </c>
      <c r="AE30" s="1372">
        <v>19.94157586070935</v>
      </c>
      <c r="AF30" s="1372">
        <v>20.9889892183051</v>
      </c>
      <c r="AG30" s="1372">
        <v>21.87929057226149</v>
      </c>
      <c r="AH30" s="1372">
        <v>22.63604672312442</v>
      </c>
      <c r="AI30" s="1372">
        <v>23.27928945135791</v>
      </c>
      <c r="AJ30" s="1372">
        <v>23.82604577035638</v>
      </c>
      <c r="AK30" s="1372">
        <v>24.290788641505078</v>
      </c>
      <c r="AL30" s="1372">
        <v>24.685820081981472</v>
      </c>
      <c r="AM30" s="1372">
        <v>25.021596806386405</v>
      </c>
      <c r="AN30" s="1372">
        <v>25.3070070221306</v>
      </c>
      <c r="AO30" s="1372">
        <v>25.549605705513162</v>
      </c>
      <c r="AP30" s="1372">
        <v>25.755814586388343</v>
      </c>
      <c r="AQ30" s="1372">
        <v>25.931092135132246</v>
      </c>
      <c r="AR30" s="1372">
        <v>26.080078051564563</v>
      </c>
      <c r="AS30" s="287" t="s">
        <v>646</v>
      </c>
    </row>
    <row r="31" ht="17.5" customHeight="1" spans="4:45" x14ac:dyDescent="0.25">
      <c r="D31" s="1335">
        <v>24</v>
      </c>
      <c r="E31" s="1719">
        <v>40561</v>
      </c>
      <c r="F31" s="1349" t="s">
        <v>648</v>
      </c>
      <c r="G31" s="26" t="s">
        <v>866</v>
      </c>
      <c r="H31" s="1458" t="s">
        <v>1268</v>
      </c>
      <c r="I31" s="1458"/>
      <c r="J31" s="1458"/>
      <c r="K31" s="1458"/>
      <c r="L31" s="1458"/>
      <c r="M31" s="1458"/>
      <c r="N31" s="1371">
        <v>1</v>
      </c>
      <c r="O31" s="1372">
        <v>1.7144124132724636</v>
      </c>
      <c r="P31" s="1372">
        <v>1.9638351146300819</v>
      </c>
      <c r="Q31" s="1372">
        <v>2.5625046646764296</v>
      </c>
      <c r="R31" s="1372">
        <v>3.369302388245967</v>
      </c>
      <c r="S31" s="1372">
        <v>3.802840152757647</v>
      </c>
      <c r="T31" s="1372">
        <v>4.23849537435618</v>
      </c>
      <c r="U31" s="1372">
        <v>5.676376124037981</v>
      </c>
      <c r="V31" s="1372">
        <v>5.692609809593385</v>
      </c>
      <c r="W31" s="1372">
        <v>5.530495209220584</v>
      </c>
      <c r="X31" s="1372">
        <v>7.437084325200716</v>
      </c>
      <c r="Y31" s="1372">
        <v>7.077629869789265</v>
      </c>
      <c r="Z31" s="1372">
        <v>7.657181348399533</v>
      </c>
      <c r="AA31" s="1372">
        <v>8.981271815042422</v>
      </c>
      <c r="AB31" s="1372">
        <v>10.00337880037632</v>
      </c>
      <c r="AC31" s="1372">
        <v>10.987667827252862</v>
      </c>
      <c r="AD31" s="1372">
        <v>11.935538160134971</v>
      </c>
      <c r="AE31" s="1372">
        <v>12.848337290700442</v>
      </c>
      <c r="AF31" s="1372">
        <v>13.727362853434991</v>
      </c>
      <c r="AG31" s="1372">
        <v>14.573864470348362</v>
      </c>
      <c r="AH31" s="1372">
        <v>15.389045527435936</v>
      </c>
      <c r="AI31" s="1372">
        <v>16.17406488541127</v>
      </c>
      <c r="AJ31" s="1372">
        <v>16.930038527141516</v>
      </c>
      <c r="AK31" s="1372">
        <v>17.658041144127743</v>
      </c>
      <c r="AL31" s="1372">
        <v>18.35910766428548</v>
      </c>
      <c r="AM31" s="1372">
        <v>19.034234723197383</v>
      </c>
      <c r="AN31" s="1372">
        <v>19.68438208092954</v>
      </c>
      <c r="AO31" s="1372">
        <v>20.31047398642561</v>
      </c>
      <c r="AP31" s="1372">
        <v>20.913400491418322</v>
      </c>
      <c r="AQ31" s="1372">
        <v>21.494018715726305</v>
      </c>
      <c r="AR31" s="1372">
        <v>22.053154065734894</v>
      </c>
      <c r="AS31" s="287" t="s">
        <v>648</v>
      </c>
    </row>
    <row r="32" ht="17.5" customHeight="1" spans="4:45" x14ac:dyDescent="0.25">
      <c r="D32" s="1335">
        <v>25</v>
      </c>
      <c r="E32" s="1722">
        <v>40577</v>
      </c>
      <c r="F32" s="1349" t="s">
        <v>547</v>
      </c>
      <c r="G32" s="26" t="s">
        <v>866</v>
      </c>
      <c r="H32" s="1458" t="s">
        <v>1592</v>
      </c>
      <c r="I32" s="1458"/>
      <c r="J32" s="1458"/>
      <c r="K32" s="1458"/>
      <c r="L32" s="1458"/>
      <c r="M32" s="1458"/>
      <c r="N32" s="1362">
        <v>0.2881831064229305</v>
      </c>
      <c r="O32" s="419">
        <v>0.3100454259300008</v>
      </c>
      <c r="P32" s="419">
        <v>0.3071293062362513</v>
      </c>
      <c r="Q32" s="419">
        <v>0.26369933638084325</v>
      </c>
      <c r="R32" s="419">
        <v>0.21873673866584462</v>
      </c>
      <c r="S32" s="419">
        <v>0.27132080380921914</v>
      </c>
      <c r="T32" s="419">
        <v>0.30292093163244305</v>
      </c>
      <c r="U32" s="419">
        <v>0.32885341933947443</v>
      </c>
      <c r="V32" s="419">
        <v>0.3594387721311328</v>
      </c>
      <c r="W32" s="419">
        <v>0.40197101231710847</v>
      </c>
      <c r="X32" s="419">
        <v>0.4278914490682255</v>
      </c>
      <c r="Y32" s="419">
        <v>0.4665430852526859</v>
      </c>
      <c r="Z32" s="419">
        <v>0.5159887934950119</v>
      </c>
      <c r="AA32" s="419">
        <v>0.5416240914368341</v>
      </c>
      <c r="AB32" s="419">
        <v>0.41092020640257404</v>
      </c>
      <c r="AC32" s="419">
        <v>0.45047677299643485</v>
      </c>
      <c r="AD32" s="419">
        <v>0.49</v>
      </c>
      <c r="AE32" s="419">
        <v>0.5097616135017826</v>
      </c>
      <c r="AF32" s="419">
        <v>0.5196424202526739</v>
      </c>
      <c r="AG32" s="419">
        <v>0.5245828236281196</v>
      </c>
      <c r="AH32" s="419">
        <v>0.5270530253158424</v>
      </c>
      <c r="AI32" s="419">
        <v>0.525</v>
      </c>
      <c r="AJ32" s="419">
        <v>0.5225363696209891</v>
      </c>
      <c r="AK32" s="419">
        <v>0.5195800131661761</v>
      </c>
      <c r="AL32" s="419">
        <v>0.5160323854204004</v>
      </c>
      <c r="AM32" s="419">
        <v>0.5117752321254696</v>
      </c>
      <c r="AN32" s="419">
        <v>0.5066666481715526</v>
      </c>
      <c r="AO32" s="419">
        <v>0.5005363474268522</v>
      </c>
      <c r="AP32" s="419">
        <v>0.4931799865332116</v>
      </c>
      <c r="AQ32" s="419">
        <v>0.48435235346084293</v>
      </c>
      <c r="AR32" s="419">
        <v>0.47375919377400055</v>
      </c>
      <c r="AS32" s="287" t="s">
        <v>547</v>
      </c>
    </row>
    <row r="33" ht="17.5" customHeight="1" spans="4:45" x14ac:dyDescent="0.25">
      <c r="D33" s="1335">
        <v>26</v>
      </c>
      <c r="E33" s="1719">
        <v>40569</v>
      </c>
      <c r="F33" s="1349" t="s">
        <v>601</v>
      </c>
      <c r="G33" s="26" t="s">
        <v>866</v>
      </c>
      <c r="H33" s="1458" t="s">
        <v>1593</v>
      </c>
      <c r="I33" s="1458"/>
      <c r="J33" s="1458"/>
      <c r="K33" s="1458"/>
      <c r="L33" s="1458"/>
      <c r="M33" s="1458"/>
      <c r="N33" s="1376">
        <v>1.543501104635368</v>
      </c>
      <c r="O33" s="419">
        <v>1.2939136919709255</v>
      </c>
      <c r="P33" s="419">
        <v>1.2544152740054975</v>
      </c>
      <c r="Q33" s="419">
        <v>1.1446539375300164</v>
      </c>
      <c r="R33" s="419">
        <v>1.1489733863508846</v>
      </c>
      <c r="S33" s="419">
        <v>1.0846823095766545</v>
      </c>
      <c r="T33" s="419">
        <v>1.005315311314948</v>
      </c>
      <c r="U33" s="419">
        <v>0.9577980908542785</v>
      </c>
      <c r="V33" s="419">
        <v>0.9731775428037672</v>
      </c>
      <c r="W33" s="419">
        <v>0.9801412461512</v>
      </c>
      <c r="X33" s="419">
        <v>0.9763300301299698</v>
      </c>
      <c r="Y33" s="419">
        <v>0.9922403234027761</v>
      </c>
      <c r="Z33" s="419">
        <v>0.9841365480835654</v>
      </c>
      <c r="AA33" s="419">
        <v>0.953058551828295</v>
      </c>
      <c r="AB33" s="419">
        <v>0.924</v>
      </c>
      <c r="AC33" s="419">
        <v>0.906564868903023</v>
      </c>
      <c r="AD33" s="419">
        <v>0.8961037902448368</v>
      </c>
      <c r="AE33" s="419">
        <v>0.889827143049925</v>
      </c>
      <c r="AF33" s="419">
        <v>0.886061154732978</v>
      </c>
      <c r="AG33" s="419">
        <v>0.8838015617428098</v>
      </c>
      <c r="AH33" s="419">
        <v>0.8824458059487088</v>
      </c>
      <c r="AI33" s="419">
        <v>0.8816323524722482</v>
      </c>
      <c r="AJ33" s="419">
        <v>0.8811442803863719</v>
      </c>
      <c r="AK33" s="419">
        <v>0.8808514371348461</v>
      </c>
      <c r="AL33" s="419">
        <v>0.8806757311839307</v>
      </c>
      <c r="AM33" s="419">
        <v>0.8805703076133815</v>
      </c>
      <c r="AN33" s="419">
        <v>0.880507053471052</v>
      </c>
      <c r="AO33" s="419">
        <v>0.8804691009856542</v>
      </c>
      <c r="AP33" s="419">
        <v>0.8804463294944156</v>
      </c>
      <c r="AQ33" s="419">
        <v>0.8804326665996725</v>
      </c>
      <c r="AR33" s="419">
        <v>0.8804244688628265</v>
      </c>
      <c r="AS33" s="287" t="s">
        <v>601</v>
      </c>
    </row>
    <row r="34" ht="17.5" customHeight="1" spans="4:45" x14ac:dyDescent="0.25">
      <c r="D34" s="1335">
        <v>27</v>
      </c>
      <c r="E34" s="1719">
        <v>40559</v>
      </c>
      <c r="F34" s="1349" t="s">
        <v>480</v>
      </c>
      <c r="G34" s="26" t="s">
        <v>866</v>
      </c>
      <c r="H34" s="1458" t="s">
        <v>1594</v>
      </c>
      <c r="I34" s="1458"/>
      <c r="J34" s="1458"/>
      <c r="K34" s="1458"/>
      <c r="L34" s="1458"/>
      <c r="M34" s="1458"/>
      <c r="N34" s="1362">
        <v>0.039346290432521365</v>
      </c>
      <c r="O34" s="419">
        <v>0.04727824241680851</v>
      </c>
      <c r="P34" s="419">
        <v>0.04958825251627314</v>
      </c>
      <c r="Q34" s="419">
        <v>0.053861945523556415</v>
      </c>
      <c r="R34" s="419">
        <v>0.05965893639586271</v>
      </c>
      <c r="S34" s="419">
        <v>0.06639845630395663</v>
      </c>
      <c r="T34" s="419">
        <v>0.06892569944409233</v>
      </c>
      <c r="U34" s="419">
        <v>0.06584386483806699</v>
      </c>
      <c r="V34" s="419">
        <v>0.06825479702641113</v>
      </c>
      <c r="W34" s="419">
        <v>0.07352845782238589</v>
      </c>
      <c r="X34" s="419">
        <v>0.08352376333588525</v>
      </c>
      <c r="Y34" s="419">
        <v>0.08518759459466681</v>
      </c>
      <c r="Z34" s="419">
        <v>0.08247387228514894</v>
      </c>
      <c r="AA34" s="419">
        <v>0.08456231323797198</v>
      </c>
      <c r="AB34" s="419">
        <v>0.07091592153691206</v>
      </c>
      <c r="AC34" s="419">
        <v>0.07895905825650135</v>
      </c>
      <c r="AD34" s="419">
        <v>0.08445047279176754</v>
      </c>
      <c r="AE34" s="419">
        <v>0.0866598325891201</v>
      </c>
      <c r="AF34" s="419">
        <v>0.08882082484866086</v>
      </c>
      <c r="AG34" s="419">
        <v>0.09033351943033938</v>
      </c>
      <c r="AH34" s="419">
        <v>0.09139240563751434</v>
      </c>
      <c r="AI34" s="419">
        <v>0.09213362598253683</v>
      </c>
      <c r="AJ34" s="419">
        <v>0.09265248022405256</v>
      </c>
      <c r="AK34" s="419">
        <v>0.09301567819311359</v>
      </c>
      <c r="AL34" s="419">
        <v>0.0932699167714563</v>
      </c>
      <c r="AM34" s="419">
        <v>0.09344788377629619</v>
      </c>
      <c r="AN34" s="419">
        <v>0.09357246067968411</v>
      </c>
      <c r="AO34" s="419">
        <v>0.09365966451205565</v>
      </c>
      <c r="AP34" s="419">
        <v>0.09372070719471573</v>
      </c>
      <c r="AQ34" s="419">
        <v>0.09376343707257778</v>
      </c>
      <c r="AR34" s="419">
        <v>0.09379334798708122</v>
      </c>
      <c r="AS34" s="287" t="s">
        <v>480</v>
      </c>
    </row>
    <row r="35" ht="17.5" customHeight="1" spans="4:45" x14ac:dyDescent="0.25">
      <c r="D35" s="1335">
        <v>28</v>
      </c>
      <c r="E35" s="1719">
        <v>40559</v>
      </c>
      <c r="F35" s="1349" t="s">
        <v>483</v>
      </c>
      <c r="G35" s="26" t="s">
        <v>866</v>
      </c>
      <c r="H35" s="1458" t="s">
        <v>1595</v>
      </c>
      <c r="I35" s="1458"/>
      <c r="J35" s="1458"/>
      <c r="K35" s="1458"/>
      <c r="L35" s="1458"/>
      <c r="M35" s="1458"/>
      <c r="N35" s="1362">
        <v>0.05413642837764514</v>
      </c>
      <c r="O35" s="419">
        <v>0.06744382725080347</v>
      </c>
      <c r="P35" s="419">
        <v>0.07337842274391265</v>
      </c>
      <c r="Q35" s="419">
        <v>0.08044425149690274</v>
      </c>
      <c r="R35" s="419">
        <v>0.0792547653553883</v>
      </c>
      <c r="S35" s="419">
        <v>0.08725766032131918</v>
      </c>
      <c r="T35" s="419">
        <v>0.0775390856929812</v>
      </c>
      <c r="U35" s="419">
        <v>0.08544188057752926</v>
      </c>
      <c r="V35" s="419">
        <v>0.07993808753736403</v>
      </c>
      <c r="W35" s="419">
        <v>0.08644196204397055</v>
      </c>
      <c r="X35" s="419">
        <v>0.10195514871018198</v>
      </c>
      <c r="Y35" s="419">
        <v>0.10383564125667144</v>
      </c>
      <c r="Z35" s="419">
        <v>0.09757961920258694</v>
      </c>
      <c r="AA35" s="419">
        <v>0.10133409582628937</v>
      </c>
      <c r="AB35" s="419">
        <v>0.08341536383400193</v>
      </c>
      <c r="AC35" s="419">
        <v>0.09259529212606195</v>
      </c>
      <c r="AD35" s="419">
        <v>0.09934207516959845</v>
      </c>
      <c r="AE35" s="419">
        <v>0.10175458984726128</v>
      </c>
      <c r="AF35" s="419">
        <v>0.10461442517360398</v>
      </c>
      <c r="AG35" s="419">
        <v>0.10661630990204386</v>
      </c>
      <c r="AH35" s="419">
        <v>0.10801762921195178</v>
      </c>
      <c r="AI35" s="419">
        <v>0.10899855272888732</v>
      </c>
      <c r="AJ35" s="419">
        <v>0.10968519919074221</v>
      </c>
      <c r="AK35" s="419">
        <v>0.11016585171404063</v>
      </c>
      <c r="AL35" s="419">
        <v>0.11050230848034952</v>
      </c>
      <c r="AM35" s="419">
        <v>0.11073782821676574</v>
      </c>
      <c r="AN35" s="419">
        <v>0.1109026920322571</v>
      </c>
      <c r="AO35" s="419">
        <v>0.11101809670310105</v>
      </c>
      <c r="AP35" s="419">
        <v>0.11109887997269181</v>
      </c>
      <c r="AQ35" s="419">
        <v>0.11115542826140536</v>
      </c>
      <c r="AR35" s="419">
        <v>0.11119501206350484</v>
      </c>
      <c r="AS35" s="287" t="s">
        <v>483</v>
      </c>
    </row>
    <row r="36" ht="17.5" customHeight="1" spans="4:45" x14ac:dyDescent="0.25">
      <c r="D36" s="1335">
        <v>29</v>
      </c>
      <c r="E36" s="1719">
        <v>40559</v>
      </c>
      <c r="F36" s="1349" t="s">
        <v>1596</v>
      </c>
      <c r="G36" s="26" t="s">
        <v>866</v>
      </c>
      <c r="H36" s="1458" t="s">
        <v>1597</v>
      </c>
      <c r="I36" s="1458"/>
      <c r="J36" s="1458"/>
      <c r="K36" s="1458"/>
      <c r="L36" s="1458"/>
      <c r="M36" s="1458"/>
      <c r="N36" s="1362">
        <v>0.34814482345900655</v>
      </c>
      <c r="O36" s="419">
        <v>0.37225193107546045</v>
      </c>
      <c r="P36" s="419">
        <v>0.24807644576818072</v>
      </c>
      <c r="Q36" s="419">
        <v>0.21669287800494275</v>
      </c>
      <c r="R36" s="419">
        <v>0.13888277985484934</v>
      </c>
      <c r="S36" s="419">
        <v>0.1469046607168154</v>
      </c>
      <c r="T36" s="419">
        <v>0.1785941475826972</v>
      </c>
      <c r="U36" s="419">
        <v>0.24370430544272947</v>
      </c>
      <c r="V36" s="419">
        <v>0.2884040119655112</v>
      </c>
      <c r="W36" s="419">
        <v>0.3324675324675324</v>
      </c>
      <c r="X36" s="419">
        <v>0.3513824884792627</v>
      </c>
      <c r="Y36" s="419">
        <v>0.3484696939387878</v>
      </c>
      <c r="Z36" s="419">
        <v>0.36575600565237865</v>
      </c>
      <c r="AA36" s="419">
        <v>0.28776706371714883</v>
      </c>
      <c r="AB36" s="419">
        <v>0.3484032195248604</v>
      </c>
      <c r="AC36" s="419">
        <v>0.378</v>
      </c>
      <c r="AD36" s="419">
        <v>0.38</v>
      </c>
      <c r="AE36" s="419">
        <v>0.368</v>
      </c>
      <c r="AF36" s="419">
        <v>0.3584</v>
      </c>
      <c r="AG36" s="419">
        <v>0.35072</v>
      </c>
      <c r="AH36" s="419">
        <v>0.34457599999999994</v>
      </c>
      <c r="AI36" s="419">
        <v>0.33966079999999993</v>
      </c>
      <c r="AJ36" s="419">
        <v>0.3357286399999999</v>
      </c>
      <c r="AK36" s="419">
        <v>0.3325829119999999</v>
      </c>
      <c r="AL36" s="419">
        <v>0.3300663295999999</v>
      </c>
      <c r="AM36" s="419">
        <v>0.32805306367999987</v>
      </c>
      <c r="AN36" s="419">
        <v>0.3264424509439999</v>
      </c>
      <c r="AO36" s="419">
        <v>0.32515396075519987</v>
      </c>
      <c r="AP36" s="419">
        <v>0.32412316860415985</v>
      </c>
      <c r="AQ36" s="419">
        <v>0.3232985348833278</v>
      </c>
      <c r="AR36" s="419">
        <v>0.3226388279066622</v>
      </c>
      <c r="AS36" s="287" t="s">
        <v>1596</v>
      </c>
    </row>
    <row r="37" ht="17.5" customHeight="1" spans="4:45" x14ac:dyDescent="0.25">
      <c r="D37" s="1335">
        <v>30</v>
      </c>
      <c r="E37" s="1719">
        <v>40558</v>
      </c>
      <c r="F37" s="1349" t="s">
        <v>427</v>
      </c>
      <c r="G37" s="26" t="s">
        <v>277</v>
      </c>
      <c r="H37" s="1458" t="s">
        <v>1598</v>
      </c>
      <c r="I37" s="1458"/>
      <c r="J37" s="1458"/>
      <c r="K37" s="1458"/>
      <c r="L37" s="1458"/>
      <c r="M37" s="1458"/>
      <c r="N37" s="1368">
        <v>486.1</v>
      </c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287" t="s">
        <v>427</v>
      </c>
    </row>
    <row r="38" ht="17.5" customHeight="1" spans="4:45" x14ac:dyDescent="0.25">
      <c r="D38" s="1335">
        <v>31</v>
      </c>
      <c r="E38" s="1719">
        <v>40558</v>
      </c>
      <c r="F38" s="1349" t="s">
        <v>424</v>
      </c>
      <c r="G38" s="26" t="s">
        <v>277</v>
      </c>
      <c r="H38" s="1458" t="s">
        <v>1599</v>
      </c>
      <c r="I38" s="1458"/>
      <c r="J38" s="1458"/>
      <c r="K38" s="1458"/>
      <c r="L38" s="1458"/>
      <c r="M38" s="1458"/>
      <c r="N38" s="1368">
        <v>610.792</v>
      </c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287" t="s">
        <v>424</v>
      </c>
    </row>
    <row r="39" ht="17.5" customHeight="1" spans="4:45" x14ac:dyDescent="0.25">
      <c r="D39" s="1335">
        <v>32</v>
      </c>
      <c r="E39" s="1719">
        <v>40558</v>
      </c>
      <c r="F39" s="1349" t="s">
        <v>1076</v>
      </c>
      <c r="G39" s="26" t="s">
        <v>277</v>
      </c>
      <c r="H39" s="1458" t="s">
        <v>1258</v>
      </c>
      <c r="I39" s="1458"/>
      <c r="J39" s="1458"/>
      <c r="K39" s="1458"/>
      <c r="L39" s="1458"/>
      <c r="M39" s="1458"/>
      <c r="N39" s="1371">
        <v>910.9</v>
      </c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287" t="s">
        <v>1076</v>
      </c>
    </row>
    <row r="40" ht="17.5" customHeight="1" spans="4:45" x14ac:dyDescent="0.25">
      <c r="D40" s="1335">
        <v>33</v>
      </c>
      <c r="E40" s="1719">
        <v>40558</v>
      </c>
      <c r="F40" s="1349" t="s">
        <v>281</v>
      </c>
      <c r="G40" s="26" t="s">
        <v>277</v>
      </c>
      <c r="H40" s="1458" t="s">
        <v>1600</v>
      </c>
      <c r="I40" s="1458"/>
      <c r="J40" s="1458"/>
      <c r="K40" s="1458"/>
      <c r="L40" s="1458"/>
      <c r="M40" s="1458"/>
      <c r="N40" s="1368">
        <v>2767.6205</v>
      </c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287" t="s">
        <v>281</v>
      </c>
    </row>
    <row r="41" ht="17.5" customHeight="1" spans="4:45" x14ac:dyDescent="0.25">
      <c r="D41" s="1335">
        <v>34</v>
      </c>
      <c r="E41" s="1719">
        <v>40558</v>
      </c>
      <c r="F41" s="1349" t="s">
        <v>316</v>
      </c>
      <c r="G41" s="26" t="s">
        <v>277</v>
      </c>
      <c r="H41" s="1458" t="s">
        <v>1601</v>
      </c>
      <c r="I41" s="1458"/>
      <c r="J41" s="1458"/>
      <c r="K41" s="1458"/>
      <c r="L41" s="1458"/>
      <c r="M41" s="1458"/>
      <c r="N41" s="1368">
        <v>108.89559999999999</v>
      </c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287" t="s">
        <v>316</v>
      </c>
    </row>
    <row r="42" ht="17.5" customHeight="1" spans="4:45" x14ac:dyDescent="0.25">
      <c r="D42" s="1335">
        <v>35</v>
      </c>
      <c r="E42" s="1719">
        <v>40558</v>
      </c>
      <c r="F42" s="1349" t="s">
        <v>1602</v>
      </c>
      <c r="G42" s="26" t="s">
        <v>277</v>
      </c>
      <c r="H42" s="1458" t="s">
        <v>1603</v>
      </c>
      <c r="I42" s="1458"/>
      <c r="J42" s="1458"/>
      <c r="K42" s="1458"/>
      <c r="L42" s="1458"/>
      <c r="M42" s="1458"/>
      <c r="N42" s="1371">
        <v>2876.5161000000003</v>
      </c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287" t="s">
        <v>1602</v>
      </c>
    </row>
    <row r="43" ht="17.5" customHeight="1" spans="4:45" x14ac:dyDescent="0.25">
      <c r="D43" s="1335">
        <v>36</v>
      </c>
      <c r="E43" s="1719">
        <v>40569</v>
      </c>
      <c r="F43" s="1349" t="s">
        <v>1604</v>
      </c>
      <c r="G43" s="26" t="s">
        <v>866</v>
      </c>
      <c r="H43" s="1458" t="s">
        <v>1605</v>
      </c>
      <c r="I43" s="1458"/>
      <c r="J43" s="1458"/>
      <c r="K43" s="1458"/>
      <c r="L43" s="1458"/>
      <c r="M43" s="1458"/>
      <c r="N43" s="1362">
        <v>0.683305248806873</v>
      </c>
      <c r="O43" s="419">
        <v>0.776555210525589</v>
      </c>
      <c r="P43" s="419">
        <v>0.8071713032263155</v>
      </c>
      <c r="Q43" s="419">
        <v>0.8739585652326259</v>
      </c>
      <c r="R43" s="419">
        <v>0.9248532480883009</v>
      </c>
      <c r="S43" s="419">
        <v>1.034422041677154</v>
      </c>
      <c r="T43" s="419">
        <v>1.1090558577234368</v>
      </c>
      <c r="U43" s="419">
        <v>1.1359730880008065</v>
      </c>
      <c r="V43" s="419">
        <v>1.1539329950945498</v>
      </c>
      <c r="W43" s="419">
        <v>1.1467396221612893</v>
      </c>
      <c r="X43" s="419">
        <v>1.1411128525118628</v>
      </c>
      <c r="Y43" s="419">
        <v>1.1484117630115258</v>
      </c>
      <c r="Z43" s="419">
        <v>1.1621660110973329</v>
      </c>
      <c r="AA43" s="419">
        <v>1.1761384153208247</v>
      </c>
      <c r="AB43" s="419">
        <v>1.1</v>
      </c>
      <c r="AC43" s="419">
        <v>1.12</v>
      </c>
      <c r="AD43" s="419">
        <v>1.1340000000000001</v>
      </c>
      <c r="AE43" s="419">
        <v>1.1438000000000001</v>
      </c>
      <c r="AF43" s="419">
        <v>1.1506600000000002</v>
      </c>
      <c r="AG43" s="419">
        <v>1.1554620000000002</v>
      </c>
      <c r="AH43" s="419">
        <v>1.1514620000000002</v>
      </c>
      <c r="AI43" s="419">
        <v>1.1434620000000002</v>
      </c>
      <c r="AJ43" s="419">
        <v>1.1314620000000002</v>
      </c>
      <c r="AK43" s="419">
        <v>1.1154620000000002</v>
      </c>
      <c r="AL43" s="419">
        <v>1.0954620000000002</v>
      </c>
      <c r="AM43" s="419">
        <v>1.0714620000000001</v>
      </c>
      <c r="AN43" s="419">
        <v>1.0434620000000001</v>
      </c>
      <c r="AO43" s="419">
        <v>1.011462</v>
      </c>
      <c r="AP43" s="419">
        <v>0.975462</v>
      </c>
      <c r="AQ43" s="419">
        <v>0.935462</v>
      </c>
      <c r="AR43" s="419">
        <v>0.891462</v>
      </c>
      <c r="AS43" s="287" t="s">
        <v>1604</v>
      </c>
    </row>
    <row r="44" ht="17.5" customHeight="1" spans="4:45" x14ac:dyDescent="0.25">
      <c r="D44" s="1335">
        <v>37</v>
      </c>
      <c r="E44" s="1719">
        <v>40570</v>
      </c>
      <c r="F44" s="1349" t="s">
        <v>540</v>
      </c>
      <c r="G44" s="26" t="s">
        <v>866</v>
      </c>
      <c r="H44" s="1458" t="s">
        <v>1606</v>
      </c>
      <c r="I44" s="1458"/>
      <c r="J44" s="1458"/>
      <c r="K44" s="1458"/>
      <c r="L44" s="1458"/>
      <c r="M44" s="1458"/>
      <c r="N44" s="1362">
        <v>0.04</v>
      </c>
      <c r="O44" s="419">
        <v>0.03356120995099898</v>
      </c>
      <c r="P44" s="419">
        <v>0.033800349104344485</v>
      </c>
      <c r="Q44" s="419">
        <v>0.035519854995165856</v>
      </c>
      <c r="R44" s="419">
        <v>0.03754522720369069</v>
      </c>
      <c r="S44" s="419">
        <v>0.03713361368656343</v>
      </c>
      <c r="T44" s="419">
        <v>0.04584762853067037</v>
      </c>
      <c r="U44" s="419">
        <v>0.04357130596075032</v>
      </c>
      <c r="V44" s="419">
        <v>0.04645884552673385</v>
      </c>
      <c r="W44" s="419">
        <v>0.04962190453987003</v>
      </c>
      <c r="X44" s="419">
        <v>0.052693222479582635</v>
      </c>
      <c r="Y44" s="419">
        <v>0.05768383836976976</v>
      </c>
      <c r="Z44" s="419">
        <v>0.06639840493114146</v>
      </c>
      <c r="AA44" s="419">
        <v>0.0716956174796326</v>
      </c>
      <c r="AB44" s="419">
        <v>0.07619824814585006</v>
      </c>
      <c r="AC44" s="419">
        <v>0.08002548421213491</v>
      </c>
      <c r="AD44" s="419">
        <v>0.08327863486847703</v>
      </c>
      <c r="AE44" s="419">
        <v>0.08604381292636783</v>
      </c>
      <c r="AF44" s="419">
        <v>0.088394214275575</v>
      </c>
      <c r="AG44" s="419">
        <v>0.09039205542240111</v>
      </c>
      <c r="AH44" s="419">
        <v>0.0920902203972033</v>
      </c>
      <c r="AI44" s="419">
        <v>0.09353366062578515</v>
      </c>
      <c r="AJ44" s="419">
        <v>0.09476058482007972</v>
      </c>
      <c r="AK44" s="419">
        <v>0.0958034703852301</v>
      </c>
      <c r="AL44" s="419">
        <v>0.09668992311560792</v>
      </c>
      <c r="AM44" s="419">
        <v>0.09744340793642907</v>
      </c>
      <c r="AN44" s="419">
        <v>0.09808387003412704</v>
      </c>
      <c r="AO44" s="419">
        <v>0.09862826281717031</v>
      </c>
      <c r="AP44" s="419">
        <v>0.09909099668275709</v>
      </c>
      <c r="AQ44" s="419">
        <v>0.09948432046850585</v>
      </c>
      <c r="AR44" s="419">
        <v>0.09981864568639229</v>
      </c>
      <c r="AS44" s="287" t="s">
        <v>540</v>
      </c>
    </row>
    <row r="45" ht="17.5" customHeight="1" spans="4:45" x14ac:dyDescent="0.25">
      <c r="D45" s="1335">
        <v>38</v>
      </c>
      <c r="E45" s="1719">
        <v>40559</v>
      </c>
      <c r="F45" s="1349" t="s">
        <v>459</v>
      </c>
      <c r="G45" s="26" t="s">
        <v>866</v>
      </c>
      <c r="H45" s="1458" t="s">
        <v>1607</v>
      </c>
      <c r="I45" s="1458"/>
      <c r="J45" s="1458"/>
      <c r="K45" s="1458"/>
      <c r="L45" s="1458"/>
      <c r="M45" s="1458"/>
      <c r="N45" s="1362">
        <v>0.5605873277103477</v>
      </c>
      <c r="O45" s="419">
        <v>0.5996342883407384</v>
      </c>
      <c r="P45" s="419">
        <v>0.5879374627754617</v>
      </c>
      <c r="Q45" s="419">
        <v>0.5849906186913668</v>
      </c>
      <c r="R45" s="419">
        <v>0.558989745627981</v>
      </c>
      <c r="S45" s="419">
        <v>0.5624698229682159</v>
      </c>
      <c r="T45" s="419">
        <v>0.6075711333388443</v>
      </c>
      <c r="U45" s="419">
        <v>0.5675837302398972</v>
      </c>
      <c r="V45" s="419">
        <v>0.5968293525687911</v>
      </c>
      <c r="W45" s="419">
        <v>0.6188437158703985</v>
      </c>
      <c r="X45" s="419">
        <v>0.5345451279946046</v>
      </c>
      <c r="Y45" s="419">
        <v>0.5588415440825294</v>
      </c>
      <c r="Z45" s="419">
        <v>0.5054202818665039</v>
      </c>
      <c r="AA45" s="419">
        <v>0.5142104211413152</v>
      </c>
      <c r="AB45" s="419">
        <v>0.4904746359427478</v>
      </c>
      <c r="AC45" s="419">
        <v>0.4854202818665039</v>
      </c>
      <c r="AD45" s="419">
        <v>0.4804202818665039</v>
      </c>
      <c r="AE45" s="419">
        <v>0.47542028186650387</v>
      </c>
      <c r="AF45" s="419">
        <v>0.47342028186650387</v>
      </c>
      <c r="AG45" s="419">
        <v>0.46842028186650386</v>
      </c>
      <c r="AH45" s="419">
        <v>0.46592028186650386</v>
      </c>
      <c r="AI45" s="419">
        <v>0.46467028186650383</v>
      </c>
      <c r="AJ45" s="419">
        <v>0.46404528186650384</v>
      </c>
      <c r="AK45" s="419">
        <v>0.46373278186650385</v>
      </c>
      <c r="AL45" s="419">
        <v>0.4635765318665038</v>
      </c>
      <c r="AM45" s="419">
        <v>0.4634984068665038</v>
      </c>
      <c r="AN45" s="419">
        <v>0.46345934436650377</v>
      </c>
      <c r="AO45" s="419">
        <v>0.46343981311650373</v>
      </c>
      <c r="AP45" s="419">
        <v>0.46343004749150374</v>
      </c>
      <c r="AQ45" s="419">
        <v>0.46342516467900374</v>
      </c>
      <c r="AR45" s="419">
        <v>0.46342272327275374</v>
      </c>
      <c r="AS45" s="287" t="s">
        <v>459</v>
      </c>
    </row>
    <row r="46" ht="17.5" customHeight="1" spans="4:45" x14ac:dyDescent="0.25">
      <c r="D46" s="1335">
        <v>39</v>
      </c>
      <c r="E46" s="1719">
        <v>40559</v>
      </c>
      <c r="F46" s="1349" t="s">
        <v>462</v>
      </c>
      <c r="G46" s="26" t="s">
        <v>866</v>
      </c>
      <c r="H46" s="1458" t="s">
        <v>1608</v>
      </c>
      <c r="I46" s="1458"/>
      <c r="J46" s="1458"/>
      <c r="K46" s="1458"/>
      <c r="L46" s="1458"/>
      <c r="M46" s="1458"/>
      <c r="N46" s="1362">
        <v>0.20650529520674757</v>
      </c>
      <c r="O46" s="419">
        <v>0.18662538991879885</v>
      </c>
      <c r="P46" s="419">
        <v>0.14559893150684933</v>
      </c>
      <c r="Q46" s="419">
        <v>0.13535694098088116</v>
      </c>
      <c r="R46" s="419">
        <v>0.14655860492845788</v>
      </c>
      <c r="S46" s="419">
        <v>0.16883141472373858</v>
      </c>
      <c r="T46" s="419">
        <v>0.1679213854674713</v>
      </c>
      <c r="U46" s="419">
        <v>0.12822885194167666</v>
      </c>
      <c r="V46" s="419">
        <v>0.13951403566294232</v>
      </c>
      <c r="W46" s="419">
        <v>0.13006831273957645</v>
      </c>
      <c r="X46" s="419">
        <v>0.11965349089522916</v>
      </c>
      <c r="Y46" s="419">
        <v>0.1225534912599102</v>
      </c>
      <c r="Z46" s="419">
        <v>0.1251333043549027</v>
      </c>
      <c r="AA46" s="419">
        <v>0.12991843501345215</v>
      </c>
      <c r="AB46" s="419">
        <v>0.10130116585557349</v>
      </c>
      <c r="AC46" s="419">
        <v>0.131</v>
      </c>
      <c r="AD46" s="419">
        <v>0.13</v>
      </c>
      <c r="AE46" s="419">
        <v>0.13</v>
      </c>
      <c r="AF46" s="419">
        <v>0.13</v>
      </c>
      <c r="AG46" s="419">
        <v>0.13</v>
      </c>
      <c r="AH46" s="419">
        <v>0.13</v>
      </c>
      <c r="AI46" s="419">
        <v>0.13</v>
      </c>
      <c r="AJ46" s="419">
        <v>0.13</v>
      </c>
      <c r="AK46" s="419">
        <v>0.13</v>
      </c>
      <c r="AL46" s="419">
        <v>0.13</v>
      </c>
      <c r="AM46" s="419">
        <v>0.13</v>
      </c>
      <c r="AN46" s="419">
        <v>0.13</v>
      </c>
      <c r="AO46" s="419">
        <v>0.13</v>
      </c>
      <c r="AP46" s="419">
        <v>0.13</v>
      </c>
      <c r="AQ46" s="419">
        <v>0.13</v>
      </c>
      <c r="AR46" s="419">
        <v>0.13</v>
      </c>
      <c r="AS46" s="287" t="s">
        <v>462</v>
      </c>
    </row>
    <row r="47" ht="17.5" customHeight="1" spans="4:45" x14ac:dyDescent="0.25">
      <c r="D47" s="1335">
        <v>40</v>
      </c>
      <c r="E47" s="1719">
        <v>40559</v>
      </c>
      <c r="F47" s="1349" t="s">
        <v>465</v>
      </c>
      <c r="G47" s="26" t="s">
        <v>866</v>
      </c>
      <c r="H47" s="1458" t="s">
        <v>1609</v>
      </c>
      <c r="I47" s="1458"/>
      <c r="J47" s="1458"/>
      <c r="K47" s="1458"/>
      <c r="L47" s="1458"/>
      <c r="M47" s="1458"/>
      <c r="N47" s="1362">
        <v>0.18412751259012028</v>
      </c>
      <c r="O47" s="419">
        <v>0.16657824595487686</v>
      </c>
      <c r="P47" s="419">
        <v>0.19359545261144048</v>
      </c>
      <c r="Q47" s="419">
        <v>0.19506713300983194</v>
      </c>
      <c r="R47" s="419">
        <v>0.20204166379774025</v>
      </c>
      <c r="S47" s="419">
        <v>0.14326863278604252</v>
      </c>
      <c r="T47" s="419">
        <v>0.16519107231144708</v>
      </c>
      <c r="U47" s="419">
        <v>0.16321890642630238</v>
      </c>
      <c r="V47" s="419">
        <v>0.202079478635516</v>
      </c>
      <c r="W47" s="419">
        <v>0.1838978031308734</v>
      </c>
      <c r="X47" s="419">
        <v>0.20105419468804508</v>
      </c>
      <c r="Y47" s="419">
        <v>0.1970524320555851</v>
      </c>
      <c r="Z47" s="419">
        <v>0.17402460344011533</v>
      </c>
      <c r="AA47" s="419">
        <v>0.13714816452350348</v>
      </c>
      <c r="AB47" s="419">
        <v>0.2115644908107519</v>
      </c>
      <c r="AC47" s="419">
        <v>0.165</v>
      </c>
      <c r="AD47" s="419">
        <v>0.165</v>
      </c>
      <c r="AE47" s="419">
        <v>0.165</v>
      </c>
      <c r="AF47" s="419">
        <v>0.165</v>
      </c>
      <c r="AG47" s="419">
        <v>0.165</v>
      </c>
      <c r="AH47" s="419">
        <v>0.165</v>
      </c>
      <c r="AI47" s="419">
        <v>0.165</v>
      </c>
      <c r="AJ47" s="419">
        <v>0.165</v>
      </c>
      <c r="AK47" s="419">
        <v>0.165</v>
      </c>
      <c r="AL47" s="419">
        <v>0.165</v>
      </c>
      <c r="AM47" s="419">
        <v>0.165</v>
      </c>
      <c r="AN47" s="419">
        <v>0.165</v>
      </c>
      <c r="AO47" s="419">
        <v>0.165</v>
      </c>
      <c r="AP47" s="419">
        <v>0.165</v>
      </c>
      <c r="AQ47" s="419">
        <v>0.165</v>
      </c>
      <c r="AR47" s="419">
        <v>0.165</v>
      </c>
      <c r="AS47" s="287" t="s">
        <v>465</v>
      </c>
    </row>
    <row r="48" ht="17.5" customHeight="1" spans="4:45" x14ac:dyDescent="0.25">
      <c r="D48" s="1335">
        <v>41</v>
      </c>
      <c r="E48" s="1719">
        <v>40559</v>
      </c>
      <c r="F48" s="1349" t="s">
        <v>468</v>
      </c>
      <c r="G48" s="26" t="s">
        <v>866</v>
      </c>
      <c r="H48" s="1458" t="s">
        <v>1610</v>
      </c>
      <c r="I48" s="1458"/>
      <c r="J48" s="1458"/>
      <c r="K48" s="1458"/>
      <c r="L48" s="1458"/>
      <c r="M48" s="1458"/>
      <c r="N48" s="1362">
        <v>0.7902003513009112</v>
      </c>
      <c r="O48" s="419">
        <v>0.742632819983789</v>
      </c>
      <c r="P48" s="419">
        <v>0.745721866698865</v>
      </c>
      <c r="Q48" s="419">
        <v>0.8233581081081082</v>
      </c>
      <c r="R48" s="419">
        <v>0.8686661050170215</v>
      </c>
      <c r="S48" s="419">
        <v>0.8271385576947212</v>
      </c>
      <c r="T48" s="419">
        <v>0.8107929512937024</v>
      </c>
      <c r="U48" s="419">
        <v>0.7918544429805299</v>
      </c>
      <c r="V48" s="419">
        <v>0.7344982304364923</v>
      </c>
      <c r="W48" s="419">
        <v>0.7687913140129188</v>
      </c>
      <c r="X48" s="419">
        <v>0.7708848541862653</v>
      </c>
      <c r="Y48" s="419">
        <v>0.750418935801041</v>
      </c>
      <c r="Z48" s="419">
        <v>0.7522400431681682</v>
      </c>
      <c r="AA48" s="419">
        <v>0.7929951020408164</v>
      </c>
      <c r="AB48" s="419">
        <v>0.739813774471967</v>
      </c>
      <c r="AC48" s="419">
        <v>0.76</v>
      </c>
      <c r="AD48" s="419">
        <v>0.759</v>
      </c>
      <c r="AE48" s="419">
        <v>0.758</v>
      </c>
      <c r="AF48" s="419">
        <v>0.757</v>
      </c>
      <c r="AG48" s="419">
        <v>0.756</v>
      </c>
      <c r="AH48" s="419">
        <v>0.755</v>
      </c>
      <c r="AI48" s="419">
        <v>0.754</v>
      </c>
      <c r="AJ48" s="419">
        <v>0.753</v>
      </c>
      <c r="AK48" s="419">
        <v>0.752</v>
      </c>
      <c r="AL48" s="419">
        <v>0.751</v>
      </c>
      <c r="AM48" s="419">
        <v>0.75</v>
      </c>
      <c r="AN48" s="419">
        <v>0.749</v>
      </c>
      <c r="AO48" s="419">
        <v>0.748</v>
      </c>
      <c r="AP48" s="419">
        <v>0.747</v>
      </c>
      <c r="AQ48" s="419">
        <v>0.746</v>
      </c>
      <c r="AR48" s="419">
        <v>0.745</v>
      </c>
      <c r="AS48" s="287" t="s">
        <v>468</v>
      </c>
    </row>
    <row r="49" ht="17.5" customHeight="1" spans="4:45" x14ac:dyDescent="0.25">
      <c r="D49" s="1335">
        <v>42</v>
      </c>
      <c r="E49" s="1719">
        <v>40559</v>
      </c>
      <c r="F49" s="1349" t="s">
        <v>471</v>
      </c>
      <c r="G49" s="26" t="s">
        <v>866</v>
      </c>
      <c r="H49" s="1458" t="s">
        <v>1611</v>
      </c>
      <c r="I49" s="1458"/>
      <c r="J49" s="1458"/>
      <c r="K49" s="1458"/>
      <c r="L49" s="1458"/>
      <c r="M49" s="1458"/>
      <c r="N49" s="1362">
        <v>0.13540672741244922</v>
      </c>
      <c r="O49" s="419">
        <v>0.13435975978188786</v>
      </c>
      <c r="P49" s="419">
        <v>0.10612334581019077</v>
      </c>
      <c r="Q49" s="419">
        <v>0.07999606644144144</v>
      </c>
      <c r="R49" s="419">
        <v>0.08460888999690519</v>
      </c>
      <c r="S49" s="419">
        <v>0.08160352569090587</v>
      </c>
      <c r="T49" s="419">
        <v>0.061309080325960406</v>
      </c>
      <c r="U49" s="419">
        <v>0.04824605475040258</v>
      </c>
      <c r="V49" s="419">
        <v>0.04298859614628392</v>
      </c>
      <c r="W49" s="419">
        <v>0.04071863925002048</v>
      </c>
      <c r="X49" s="419">
        <v>0.033970837253057384</v>
      </c>
      <c r="Y49" s="419">
        <v>0.03364893001735106</v>
      </c>
      <c r="Z49" s="419">
        <v>0.03277435660660659</v>
      </c>
      <c r="AA49" s="419">
        <v>0.03479928670497325</v>
      </c>
      <c r="AB49" s="419">
        <v>0.02782366149743878</v>
      </c>
      <c r="AC49" s="419">
        <v>0.032</v>
      </c>
      <c r="AD49" s="419">
        <v>0.032</v>
      </c>
      <c r="AE49" s="419">
        <v>0.032</v>
      </c>
      <c r="AF49" s="419">
        <v>0.032</v>
      </c>
      <c r="AG49" s="419">
        <v>0.032</v>
      </c>
      <c r="AH49" s="419">
        <v>0.032</v>
      </c>
      <c r="AI49" s="419">
        <v>0.032</v>
      </c>
      <c r="AJ49" s="419">
        <v>0.032</v>
      </c>
      <c r="AK49" s="419">
        <v>0.032</v>
      </c>
      <c r="AL49" s="419">
        <v>0.032</v>
      </c>
      <c r="AM49" s="419">
        <v>0.032</v>
      </c>
      <c r="AN49" s="419">
        <v>0.032</v>
      </c>
      <c r="AO49" s="419">
        <v>0.032</v>
      </c>
      <c r="AP49" s="419">
        <v>0.032</v>
      </c>
      <c r="AQ49" s="419">
        <v>0.032</v>
      </c>
      <c r="AR49" s="419">
        <v>0.032</v>
      </c>
      <c r="AS49" s="287" t="s">
        <v>471</v>
      </c>
    </row>
    <row r="50" ht="17.5" customHeight="1" spans="4:45" x14ac:dyDescent="0.25">
      <c r="D50" s="1335">
        <v>43</v>
      </c>
      <c r="E50" s="1719">
        <v>40559</v>
      </c>
      <c r="F50" s="1349" t="s">
        <v>474</v>
      </c>
      <c r="G50" s="26" t="s">
        <v>866</v>
      </c>
      <c r="H50" s="1458" t="s">
        <v>1612</v>
      </c>
      <c r="I50" s="1458"/>
      <c r="J50" s="1458"/>
      <c r="K50" s="1458"/>
      <c r="L50" s="1458"/>
      <c r="M50" s="1458"/>
      <c r="N50" s="1362">
        <v>0.05900779643479286</v>
      </c>
      <c r="O50" s="419">
        <v>0.08654860466679155</v>
      </c>
      <c r="P50" s="419">
        <v>0.1189844457803133</v>
      </c>
      <c r="Q50" s="419">
        <v>0.12986318623952717</v>
      </c>
      <c r="R50" s="419">
        <v>0.07706152379444844</v>
      </c>
      <c r="S50" s="419">
        <v>0.11204415839266259</v>
      </c>
      <c r="T50" s="419">
        <v>0.14995650491818585</v>
      </c>
      <c r="U50" s="419">
        <v>0.18991438128737345</v>
      </c>
      <c r="V50" s="419">
        <v>0.18563368759464693</v>
      </c>
      <c r="W50" s="419">
        <v>0.21169378862685434</v>
      </c>
      <c r="X50" s="419">
        <v>0.2060309723953909</v>
      </c>
      <c r="Y50" s="419">
        <v>0.23589083916415302</v>
      </c>
      <c r="Z50" s="419">
        <v>0.30906078059544245</v>
      </c>
      <c r="AA50" s="419">
        <v>0.34816895368916795</v>
      </c>
      <c r="AB50" s="419">
        <v>0.35380105448926585</v>
      </c>
      <c r="AC50" s="419">
        <v>0.365</v>
      </c>
      <c r="AD50" s="419">
        <v>0.3739591564085873</v>
      </c>
      <c r="AE50" s="419">
        <v>0.38112648153545714</v>
      </c>
      <c r="AF50" s="419">
        <v>0.38686034163695304</v>
      </c>
      <c r="AG50" s="419">
        <v>0.3914474297181498</v>
      </c>
      <c r="AH50" s="419">
        <v>0.39511710018310714</v>
      </c>
      <c r="AI50" s="419">
        <v>0.398052836555073</v>
      </c>
      <c r="AJ50" s="419">
        <v>0.4004014256526457</v>
      </c>
      <c r="AK50" s="419">
        <v>0.40228029693070383</v>
      </c>
      <c r="AL50" s="419">
        <v>0.4037833939531503</v>
      </c>
      <c r="AM50" s="419">
        <v>0.40498587157110755</v>
      </c>
      <c r="AN50" s="419">
        <v>0.4059478536654733</v>
      </c>
      <c r="AO50" s="419">
        <v>0.40671743934096594</v>
      </c>
      <c r="AP50" s="419">
        <v>0.40733310788136</v>
      </c>
      <c r="AQ50" s="419">
        <v>0.4078256427136753</v>
      </c>
      <c r="AR50" s="419">
        <v>0.40821967057952746</v>
      </c>
      <c r="AS50" s="287" t="s">
        <v>474</v>
      </c>
    </row>
    <row r="51" ht="17.5" customHeight="1" spans="4:45" x14ac:dyDescent="0.25">
      <c r="D51" s="1335">
        <v>44</v>
      </c>
      <c r="E51" s="1719">
        <v>40559</v>
      </c>
      <c r="F51" s="1349" t="s">
        <v>477</v>
      </c>
      <c r="G51" s="26" t="s">
        <v>866</v>
      </c>
      <c r="H51" s="1458" t="s">
        <v>1613</v>
      </c>
      <c r="I51" s="1458"/>
      <c r="J51" s="1458"/>
      <c r="K51" s="1458"/>
      <c r="L51" s="1458"/>
      <c r="M51" s="1458"/>
      <c r="N51" s="1362">
        <v>0.027000000000000024</v>
      </c>
      <c r="O51" s="419">
        <v>0.03</v>
      </c>
      <c r="P51" s="419">
        <v>0.04300000000000004</v>
      </c>
      <c r="Q51" s="419">
        <v>0.06899999999999995</v>
      </c>
      <c r="R51" s="419">
        <v>0.11299999999999999</v>
      </c>
      <c r="S51" s="419">
        <v>0.137</v>
      </c>
      <c r="T51" s="419">
        <v>0.145</v>
      </c>
      <c r="U51" s="419">
        <v>0.14300000000000002</v>
      </c>
      <c r="V51" s="419">
        <v>0.15900000000000003</v>
      </c>
      <c r="W51" s="419">
        <v>0.16600000000000004</v>
      </c>
      <c r="X51" s="419">
        <v>0.19399999999999995</v>
      </c>
      <c r="Y51" s="419">
        <v>0.18400000000000005</v>
      </c>
      <c r="Z51" s="419">
        <v>0.16</v>
      </c>
      <c r="AA51" s="419">
        <v>0.15</v>
      </c>
      <c r="AB51" s="419">
        <v>0.14</v>
      </c>
      <c r="AC51" s="419">
        <v>0.14</v>
      </c>
      <c r="AD51" s="419">
        <v>0.145</v>
      </c>
      <c r="AE51" s="419">
        <v>0.155</v>
      </c>
      <c r="AF51" s="419">
        <v>0.17</v>
      </c>
      <c r="AG51" s="419">
        <v>0.18</v>
      </c>
      <c r="AH51" s="419">
        <v>0.18699999999999997</v>
      </c>
      <c r="AI51" s="419">
        <v>0.19189999999999996</v>
      </c>
      <c r="AJ51" s="419">
        <v>0.19532999999999995</v>
      </c>
      <c r="AK51" s="419">
        <v>0.19773099999999993</v>
      </c>
      <c r="AL51" s="419">
        <v>0.19941169999999991</v>
      </c>
      <c r="AM51" s="419">
        <v>0.2005881899999999</v>
      </c>
      <c r="AN51" s="419">
        <v>0.20141173299999987</v>
      </c>
      <c r="AO51" s="419">
        <v>0.20198821309999987</v>
      </c>
      <c r="AP51" s="419">
        <v>0.20239174916999986</v>
      </c>
      <c r="AQ51" s="419">
        <v>0.20267422441899985</v>
      </c>
      <c r="AR51" s="419">
        <v>0.20287195709329983</v>
      </c>
      <c r="AS51" s="287" t="s">
        <v>477</v>
      </c>
    </row>
    <row r="52" ht="17.5" customHeight="1" spans="4:45" x14ac:dyDescent="0.25">
      <c r="D52" s="1335">
        <v>45</v>
      </c>
      <c r="E52" s="1719">
        <v>40559</v>
      </c>
      <c r="F52" s="1349" t="s">
        <v>1614</v>
      </c>
      <c r="G52" s="26" t="s">
        <v>866</v>
      </c>
      <c r="H52" s="1458" t="s">
        <v>1615</v>
      </c>
      <c r="I52" s="1458"/>
      <c r="J52" s="1458"/>
      <c r="K52" s="1458"/>
      <c r="L52" s="1458"/>
      <c r="M52" s="1458"/>
      <c r="N52" s="1362">
        <v>0.049988274017691826</v>
      </c>
      <c r="O52" s="419">
        <v>0.05616899034778611</v>
      </c>
      <c r="P52" s="419">
        <v>0.05640309708159619</v>
      </c>
      <c r="Q52" s="419">
        <v>0.058051894074337966</v>
      </c>
      <c r="R52" s="419">
        <v>0.04475445151033386</v>
      </c>
      <c r="S52" s="419">
        <v>0.040363501862149896</v>
      </c>
      <c r="T52" s="419">
        <v>0.04082908985698933</v>
      </c>
      <c r="U52" s="419">
        <v>0.038721327762031375</v>
      </c>
      <c r="V52" s="419">
        <v>0.03907220863073469</v>
      </c>
      <c r="W52" s="419">
        <v>0.03202582607019723</v>
      </c>
      <c r="X52" s="419">
        <v>0.0204341113685013</v>
      </c>
      <c r="Y52" s="419">
        <v>0.018457780112713727</v>
      </c>
      <c r="Z52" s="419">
        <v>0.01633557374216708</v>
      </c>
      <c r="AA52" s="419">
        <v>0.015488549426277757</v>
      </c>
      <c r="AB52" s="419">
        <v>0.014541010574328746</v>
      </c>
      <c r="AC52" s="419">
        <v>0.014488549426277756</v>
      </c>
      <c r="AD52" s="419">
        <v>0.013988549426277756</v>
      </c>
      <c r="AE52" s="419">
        <v>0.013488549426277755</v>
      </c>
      <c r="AF52" s="419">
        <v>0.012988549426277755</v>
      </c>
      <c r="AG52" s="419">
        <v>0.012488549426277754</v>
      </c>
      <c r="AH52" s="419">
        <v>0.011988549426277754</v>
      </c>
      <c r="AI52" s="419">
        <v>0.011488549426277753</v>
      </c>
      <c r="AJ52" s="419">
        <v>0.010988549426277753</v>
      </c>
      <c r="AK52" s="419">
        <v>0.010488549426277752</v>
      </c>
      <c r="AL52" s="419">
        <v>0.009988549426277752</v>
      </c>
      <c r="AM52" s="419">
        <v>0.009488549426277752</v>
      </c>
      <c r="AN52" s="419">
        <v>0.008988549426277751</v>
      </c>
      <c r="AO52" s="419">
        <v>0.00848854942627775</v>
      </c>
      <c r="AP52" s="419">
        <v>0.00798854942627775</v>
      </c>
      <c r="AQ52" s="419">
        <v>0.00748854942627775</v>
      </c>
      <c r="AR52" s="419">
        <v>0.006988549426277749</v>
      </c>
      <c r="AS52" s="287" t="s">
        <v>1614</v>
      </c>
    </row>
    <row r="53" ht="17.5" customHeight="1" spans="4:45" x14ac:dyDescent="0.25">
      <c r="D53" s="1335">
        <v>46</v>
      </c>
      <c r="E53" s="1719">
        <v>40560</v>
      </c>
      <c r="F53" s="1349" t="s">
        <v>1616</v>
      </c>
      <c r="G53" s="26" t="s">
        <v>866</v>
      </c>
      <c r="H53" s="1458" t="s">
        <v>1617</v>
      </c>
      <c r="I53" s="1458"/>
      <c r="J53" s="1458"/>
      <c r="K53" s="1458"/>
      <c r="L53" s="1458"/>
      <c r="M53" s="1458"/>
      <c r="N53" s="1362">
        <v>0.34028203577560534</v>
      </c>
      <c r="O53" s="419">
        <v>0.3250780994281772</v>
      </c>
      <c r="P53" s="419">
        <v>0.35837570555083637</v>
      </c>
      <c r="Q53" s="419">
        <v>0.32023603080122254</v>
      </c>
      <c r="R53" s="419">
        <v>0.26082091121911194</v>
      </c>
      <c r="S53" s="419">
        <v>0.26829931795496376</v>
      </c>
      <c r="T53" s="419">
        <v>0.27051799130250104</v>
      </c>
      <c r="U53" s="419">
        <v>0.31631692817415186</v>
      </c>
      <c r="V53" s="419">
        <v>0.3001839655503373</v>
      </c>
      <c r="W53" s="419">
        <v>0.27424958276588063</v>
      </c>
      <c r="X53" s="419">
        <v>0.3156258220386519</v>
      </c>
      <c r="Y53" s="419">
        <v>0.3111467598559485</v>
      </c>
      <c r="Z53" s="419">
        <v>0.34223846853003126</v>
      </c>
      <c r="AA53" s="419">
        <v>0.3377328988086262</v>
      </c>
      <c r="AB53" s="419">
        <v>0.41043560275290336</v>
      </c>
      <c r="AC53" s="419">
        <v>0.39</v>
      </c>
      <c r="AD53" s="419">
        <v>0.41000000000000003</v>
      </c>
      <c r="AE53" s="419">
        <v>0.42200000000000004</v>
      </c>
      <c r="AF53" s="419">
        <v>0.4292</v>
      </c>
      <c r="AG53" s="419">
        <v>0.43352</v>
      </c>
      <c r="AH53" s="419">
        <v>0.436112</v>
      </c>
      <c r="AI53" s="419">
        <v>0.4376672</v>
      </c>
      <c r="AJ53" s="419">
        <v>0.43860032</v>
      </c>
      <c r="AK53" s="419">
        <v>0.439160192</v>
      </c>
      <c r="AL53" s="419">
        <v>0.43949611520000004</v>
      </c>
      <c r="AM53" s="419">
        <v>0.4396976691200001</v>
      </c>
      <c r="AN53" s="419">
        <v>0.4398186014720001</v>
      </c>
      <c r="AO53" s="419">
        <v>0.43989116088320007</v>
      </c>
      <c r="AP53" s="419">
        <v>0.43993469652992007</v>
      </c>
      <c r="AQ53" s="419">
        <v>0.43996081791795205</v>
      </c>
      <c r="AR53" s="419">
        <v>0.4399764907507712</v>
      </c>
      <c r="AS53" s="287" t="s">
        <v>1616</v>
      </c>
    </row>
    <row r="54" ht="17.5" customHeight="1" spans="4:45" x14ac:dyDescent="0.25">
      <c r="D54" s="1335">
        <v>47</v>
      </c>
      <c r="E54" s="1719">
        <v>40560</v>
      </c>
      <c r="F54" s="1349" t="s">
        <v>553</v>
      </c>
      <c r="G54" s="26" t="s">
        <v>866</v>
      </c>
      <c r="H54" s="1458" t="s">
        <v>1618</v>
      </c>
      <c r="I54" s="1458"/>
      <c r="J54" s="1458"/>
      <c r="K54" s="1458"/>
      <c r="L54" s="1458"/>
      <c r="M54" s="1458"/>
      <c r="N54" s="1362">
        <v>0.3059108200657057</v>
      </c>
      <c r="O54" s="419">
        <v>0.2781616646708089</v>
      </c>
      <c r="P54" s="419">
        <v>0.30377623832039924</v>
      </c>
      <c r="Q54" s="419">
        <v>0.26117813318403943</v>
      </c>
      <c r="R54" s="419">
        <v>0.25161546729373147</v>
      </c>
      <c r="S54" s="419">
        <v>0.28713406421821713</v>
      </c>
      <c r="T54" s="419">
        <v>0.3000699071085897</v>
      </c>
      <c r="U54" s="419">
        <v>0.3252732179033034</v>
      </c>
      <c r="V54" s="419">
        <v>0.31334242432928466</v>
      </c>
      <c r="W54" s="419">
        <v>0.3188958197444065</v>
      </c>
      <c r="X54" s="419">
        <v>0.39702420648664605</v>
      </c>
      <c r="Y54" s="419">
        <v>0.3947587210905216</v>
      </c>
      <c r="Z54" s="419">
        <v>0.40208306466662297</v>
      </c>
      <c r="AA54" s="419">
        <v>0.3863001662065936</v>
      </c>
      <c r="AB54" s="419">
        <v>0.3478126073639364</v>
      </c>
      <c r="AC54" s="419">
        <v>0.3778126073639364</v>
      </c>
      <c r="AD54" s="419">
        <v>0.3988126073639364</v>
      </c>
      <c r="AE54" s="419">
        <v>0.4135126073639364</v>
      </c>
      <c r="AF54" s="419">
        <v>0.4238026073639364</v>
      </c>
      <c r="AG54" s="419">
        <v>0.43100560736393634</v>
      </c>
      <c r="AH54" s="419">
        <v>0.43604770736393633</v>
      </c>
      <c r="AI54" s="419">
        <v>0.4395771773639363</v>
      </c>
      <c r="AJ54" s="419">
        <v>0.4420478063639363</v>
      </c>
      <c r="AK54" s="419">
        <v>0.4437772466639363</v>
      </c>
      <c r="AL54" s="419">
        <v>0.44498785487393633</v>
      </c>
      <c r="AM54" s="419">
        <v>0.44583528062093636</v>
      </c>
      <c r="AN54" s="419">
        <v>0.4464284786438364</v>
      </c>
      <c r="AO54" s="419">
        <v>0.44684371725986644</v>
      </c>
      <c r="AP54" s="419">
        <v>0.4471343842910875</v>
      </c>
      <c r="AQ54" s="419">
        <v>0.44733785121294223</v>
      </c>
      <c r="AR54" s="419">
        <v>0.44748027805824053</v>
      </c>
      <c r="AS54" s="287" t="s">
        <v>553</v>
      </c>
    </row>
    <row r="55" ht="17.5" customHeight="1" spans="4:45" x14ac:dyDescent="0.25">
      <c r="D55" s="1335">
        <v>48</v>
      </c>
      <c r="E55" s="1719">
        <v>40558</v>
      </c>
      <c r="F55" s="1349" t="s">
        <v>612</v>
      </c>
      <c r="G55" s="26" t="s">
        <v>866</v>
      </c>
      <c r="H55" s="1458" t="s">
        <v>1619</v>
      </c>
      <c r="I55" s="1458"/>
      <c r="J55" s="1458"/>
      <c r="K55" s="1458"/>
      <c r="L55" s="1458"/>
      <c r="M55" s="1458"/>
      <c r="N55" s="1362">
        <v>0.022490438989016016</v>
      </c>
      <c r="O55" s="419">
        <v>0.02795820438115608</v>
      </c>
      <c r="P55" s="419">
        <v>0.02974721218072888</v>
      </c>
      <c r="Q55" s="419">
        <v>-0.010512157616833476</v>
      </c>
      <c r="R55" s="419">
        <v>-0.018366803715713895</v>
      </c>
      <c r="S55" s="419">
        <v>0.00940334483209172</v>
      </c>
      <c r="T55" s="419">
        <v>0.01543589803541465</v>
      </c>
      <c r="U55" s="419">
        <v>0.01042070684290726</v>
      </c>
      <c r="V55" s="419">
        <v>0.011378312982583544</v>
      </c>
      <c r="W55" s="419">
        <v>0.011495203825421829</v>
      </c>
      <c r="X55" s="419">
        <v>0.011017693783579013</v>
      </c>
      <c r="Y55" s="419">
        <v>0.01165095823940036</v>
      </c>
      <c r="Z55" s="419">
        <v>0.013921150402853136</v>
      </c>
      <c r="AA55" s="419">
        <v>0.01486969617555091</v>
      </c>
      <c r="AB55" s="419">
        <v>-0.01853089052607016</v>
      </c>
      <c r="AC55" s="419">
        <v>0.01042070684290726</v>
      </c>
      <c r="AD55" s="419">
        <v>0.011378312982583544</v>
      </c>
      <c r="AE55" s="419">
        <v>0.011495203825421829</v>
      </c>
      <c r="AF55" s="419">
        <v>0.011017693783579013</v>
      </c>
      <c r="AG55" s="419">
        <v>0.01165095823940036</v>
      </c>
      <c r="AH55" s="419">
        <v>0.011597070197194794</v>
      </c>
      <c r="AI55" s="419">
        <v>0.011687951949467068</v>
      </c>
      <c r="AJ55" s="419">
        <v>0.011721907406724724</v>
      </c>
      <c r="AK55" s="419">
        <v>0.011945326795354073</v>
      </c>
      <c r="AL55" s="419">
        <v>0.011968976517795528</v>
      </c>
      <c r="AM55" s="419">
        <v>0.012085062050515287</v>
      </c>
      <c r="AN55" s="419">
        <v>0.012178736906624776</v>
      </c>
      <c r="AO55" s="419">
        <v>0.012299788454554962</v>
      </c>
      <c r="AP55" s="419">
        <v>0.01237759182497853</v>
      </c>
      <c r="AQ55" s="419">
        <v>0.01248786247056501</v>
      </c>
      <c r="AR55" s="419">
        <v>0.01258537239538609</v>
      </c>
      <c r="AS55" s="287" t="s">
        <v>612</v>
      </c>
    </row>
    <row r="56" ht="17.5" customHeight="1" spans="4:45" x14ac:dyDescent="0.25">
      <c r="D56" s="1335">
        <v>49</v>
      </c>
      <c r="E56" s="1722">
        <v>40554</v>
      </c>
      <c r="F56" s="1349" t="s">
        <v>936</v>
      </c>
      <c r="G56" s="26" t="s">
        <v>866</v>
      </c>
      <c r="H56" s="1458" t="s">
        <v>1620</v>
      </c>
      <c r="I56" s="1458"/>
      <c r="J56" s="1458"/>
      <c r="K56" s="1458"/>
      <c r="L56" s="1458"/>
      <c r="M56" s="1458"/>
      <c r="N56" s="1371">
        <v>1</v>
      </c>
      <c r="O56" s="419">
        <v>1.037</v>
      </c>
      <c r="P56" s="419">
        <v>1.031815</v>
      </c>
      <c r="Q56" s="419">
        <v>1.0514194849999998</v>
      </c>
      <c r="R56" s="419">
        <v>1.1691784673199999</v>
      </c>
      <c r="S56" s="419">
        <v>1.2802504217153998</v>
      </c>
      <c r="T56" s="419">
        <v>1.3340209394274467</v>
      </c>
      <c r="U56" s="419">
        <v>1.4714250961884736</v>
      </c>
      <c r="V56" s="419">
        <v>1.6568246583082211</v>
      </c>
      <c r="W56" s="419">
        <v>1.8523299679885914</v>
      </c>
      <c r="X56" s="419">
        <v>1.9727314159078497</v>
      </c>
      <c r="Y56" s="419">
        <v>2.1167408092691224</v>
      </c>
      <c r="Z56" s="419">
        <v>2.2500954802530773</v>
      </c>
      <c r="AA56" s="419">
        <v>2.2635960531345956</v>
      </c>
      <c r="AB56" s="419">
        <v>2.1572070386372695</v>
      </c>
      <c r="AC56" s="419">
        <v>2.301216431998542</v>
      </c>
      <c r="AD56" s="419">
        <v>2.445225825359815</v>
      </c>
      <c r="AE56" s="419">
        <v>2.5748342793849606</v>
      </c>
      <c r="AF56" s="419">
        <v>2.6914818880075915</v>
      </c>
      <c r="AG56" s="419">
        <v>2.7964647357679593</v>
      </c>
      <c r="AH56" s="419">
        <v>2.8909492987522905</v>
      </c>
      <c r="AI56" s="419">
        <v>2.9759854054381885</v>
      </c>
      <c r="AJ56" s="419">
        <v>3.052517901455497</v>
      </c>
      <c r="AK56" s="419">
        <v>3.1213971478710745</v>
      </c>
      <c r="AL56" s="419">
        <v>3.1833884696450943</v>
      </c>
      <c r="AM56" s="419">
        <v>3.239180659241712</v>
      </c>
      <c r="AN56" s="419">
        <v>3.289393629878668</v>
      </c>
      <c r="AO56" s="419">
        <v>3.334585303451928</v>
      </c>
      <c r="AP56" s="419">
        <v>3.3752578096678625</v>
      </c>
      <c r="AQ56" s="419">
        <v>3.4118630652622035</v>
      </c>
      <c r="AR56" s="419">
        <v>3.4448077952971103</v>
      </c>
      <c r="AS56" s="287" t="s">
        <v>936</v>
      </c>
    </row>
    <row r="57" ht="17.5" customHeight="1" spans="4:45" x14ac:dyDescent="0.25">
      <c r="D57" s="1335">
        <v>50</v>
      </c>
      <c r="E57" s="1724"/>
      <c r="F57" s="1349" t="s">
        <v>1621</v>
      </c>
      <c r="G57" s="26" t="s">
        <v>277</v>
      </c>
      <c r="H57" s="1458" t="s">
        <v>928</v>
      </c>
      <c r="I57" s="1458"/>
      <c r="J57" s="1458"/>
      <c r="K57" s="1458"/>
      <c r="L57" s="1458"/>
      <c r="M57" s="1458"/>
      <c r="N57" s="1368">
        <v>418.4685</v>
      </c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287" t="s">
        <v>1621</v>
      </c>
    </row>
    <row r="58" ht="17.5" customHeight="1" spans="4:45" x14ac:dyDescent="0.25">
      <c r="D58" s="1335">
        <v>51</v>
      </c>
      <c r="E58" s="1724"/>
      <c r="F58" s="1349" t="s">
        <v>24</v>
      </c>
      <c r="G58" s="26" t="s">
        <v>277</v>
      </c>
      <c r="H58" s="1458" t="s">
        <v>952</v>
      </c>
      <c r="I58" s="1458"/>
      <c r="J58" s="1458"/>
      <c r="K58" s="1458"/>
      <c r="L58" s="1725">
        <v>392.2955639834661</v>
      </c>
      <c r="M58" s="1453">
        <v>296.96774193548384</v>
      </c>
      <c r="N58" s="1726">
        <v>266.974</v>
      </c>
      <c r="O58" s="1351">
        <v>218.651706</v>
      </c>
      <c r="P58" s="1351">
        <v>207.71912069999996</v>
      </c>
      <c r="Q58" s="1351">
        <v>182.79282621599998</v>
      </c>
      <c r="R58" s="1351">
        <v>191.93246752679997</v>
      </c>
      <c r="S58" s="1351">
        <v>225.32871687646315</v>
      </c>
      <c r="T58" s="1351">
        <v>247.86158856410947</v>
      </c>
      <c r="U58" s="1351">
        <v>254.80171304390456</v>
      </c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287" t="s">
        <v>24</v>
      </c>
    </row>
    <row r="59" ht="17.5" customHeight="1" spans="4:45" x14ac:dyDescent="0.25">
      <c r="D59" s="1335">
        <v>52</v>
      </c>
      <c r="E59" s="1724"/>
      <c r="F59" s="1349" t="s">
        <v>116</v>
      </c>
      <c r="G59" s="26" t="s">
        <v>277</v>
      </c>
      <c r="H59" s="1458" t="s">
        <v>1622</v>
      </c>
      <c r="I59" s="1458"/>
      <c r="J59" s="1458"/>
      <c r="K59" s="1458"/>
      <c r="L59" s="1458"/>
      <c r="M59" s="1727">
        <v>610.838</v>
      </c>
      <c r="N59" s="1368">
        <v>1428.5209000000002</v>
      </c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287" t="s">
        <v>116</v>
      </c>
    </row>
    <row r="60" ht="17.5" customHeight="1" spans="4:45" x14ac:dyDescent="0.25">
      <c r="D60" s="1335">
        <v>53</v>
      </c>
      <c r="E60" s="1724"/>
      <c r="F60" s="1349" t="s">
        <v>312</v>
      </c>
      <c r="G60" s="26" t="s">
        <v>277</v>
      </c>
      <c r="H60" s="1458" t="s">
        <v>1623</v>
      </c>
      <c r="I60" s="1458"/>
      <c r="J60" s="1458"/>
      <c r="K60" s="1458"/>
      <c r="L60" s="1458"/>
      <c r="M60" s="1458"/>
      <c r="N60" s="1371">
        <v>0</v>
      </c>
      <c r="O60" s="1351">
        <v>11.9298</v>
      </c>
      <c r="P60" s="1351">
        <v>0</v>
      </c>
      <c r="Q60" s="1351">
        <v>56.9411</v>
      </c>
      <c r="R60" s="1351">
        <v>0</v>
      </c>
      <c r="S60" s="1351">
        <v>0</v>
      </c>
      <c r="T60" s="1351">
        <v>-40.0226</v>
      </c>
      <c r="U60" s="1351">
        <v>-1.707</v>
      </c>
      <c r="V60" s="1351">
        <v>-107.4624</v>
      </c>
      <c r="W60" s="1351">
        <v>-96.1435</v>
      </c>
      <c r="X60" s="1351">
        <v>-126.0953</v>
      </c>
      <c r="Y60" s="1351">
        <v>-17.1794</v>
      </c>
      <c r="Z60" s="1351">
        <v>378.2842</v>
      </c>
      <c r="AA60" s="1351">
        <v>-327.9303</v>
      </c>
      <c r="AB60" s="1351">
        <v>-292.6882</v>
      </c>
      <c r="AC60" s="1351">
        <v>0</v>
      </c>
      <c r="AD60" s="1351">
        <v>0</v>
      </c>
      <c r="AE60" s="1351">
        <v>0</v>
      </c>
      <c r="AF60" s="1351">
        <v>0</v>
      </c>
      <c r="AG60" s="1351">
        <v>0</v>
      </c>
      <c r="AH60" s="1351">
        <v>0</v>
      </c>
      <c r="AI60" s="1351">
        <v>0</v>
      </c>
      <c r="AJ60" s="1351">
        <v>0</v>
      </c>
      <c r="AK60" s="1351">
        <v>0</v>
      </c>
      <c r="AL60" s="1351">
        <v>0</v>
      </c>
      <c r="AM60" s="1351">
        <v>0</v>
      </c>
      <c r="AN60" s="1351">
        <v>0</v>
      </c>
      <c r="AO60" s="1351">
        <v>0</v>
      </c>
      <c r="AP60" s="1351">
        <v>0</v>
      </c>
      <c r="AQ60" s="1351">
        <v>0</v>
      </c>
      <c r="AR60" s="1351">
        <v>0</v>
      </c>
      <c r="AS60" s="287" t="s">
        <v>312</v>
      </c>
    </row>
    <row r="61" ht="17.5" customHeight="1" spans="4:45" x14ac:dyDescent="0.25">
      <c r="D61" s="1707">
        <v>54</v>
      </c>
      <c r="E61" s="1728">
        <v>40552</v>
      </c>
      <c r="F61" s="1729" t="s">
        <v>1624</v>
      </c>
      <c r="G61" s="692" t="s">
        <v>866</v>
      </c>
      <c r="H61" s="1730" t="s">
        <v>1625</v>
      </c>
      <c r="I61" s="1730"/>
      <c r="J61" s="1730"/>
      <c r="K61" s="1730"/>
      <c r="L61" s="1458"/>
      <c r="M61" s="1458"/>
      <c r="N61" s="1662">
        <v>0</v>
      </c>
      <c r="O61" s="419">
        <v>0.011343465719042075</v>
      </c>
      <c r="P61" s="419">
        <v>0.017427192161378825</v>
      </c>
      <c r="Q61" s="419">
        <v>0.025812691747178478</v>
      </c>
      <c r="R61" s="419">
        <v>0.02555405194835375</v>
      </c>
      <c r="S61" s="419">
        <v>0.03436726962448533</v>
      </c>
      <c r="T61" s="419">
        <v>0.0448715823704447</v>
      </c>
      <c r="U61" s="419">
        <v>0.054086981552360254</v>
      </c>
      <c r="V61" s="419">
        <v>0.057340173506267515</v>
      </c>
      <c r="W61" s="419">
        <v>0.06345047858848171</v>
      </c>
      <c r="X61" s="419">
        <v>0.0731175096218607</v>
      </c>
      <c r="Y61" s="419">
        <v>0.09606158055390143</v>
      </c>
      <c r="Z61" s="419">
        <v>0.12889058349208682</v>
      </c>
      <c r="AA61" s="419">
        <v>0.15550492231931867</v>
      </c>
      <c r="AB61" s="419">
        <v>0.06411146360941819</v>
      </c>
      <c r="AC61" s="419">
        <v>0.05</v>
      </c>
      <c r="AD61" s="419">
        <v>0.04576656091717455</v>
      </c>
      <c r="AE61" s="419">
        <v>0.04364984137576182</v>
      </c>
      <c r="AF61" s="419">
        <v>0.04259148160505545</v>
      </c>
      <c r="AG61" s="419">
        <v>0.042062301719702266</v>
      </c>
      <c r="AH61" s="419">
        <v>0.041797711777025674</v>
      </c>
      <c r="AI61" s="419">
        <v>0.041665416805687375</v>
      </c>
      <c r="AJ61" s="419">
        <v>0.04159926932001823</v>
      </c>
      <c r="AK61" s="419">
        <v>0.041566195577183655</v>
      </c>
      <c r="AL61" s="419">
        <v>0.041549658705766365</v>
      </c>
      <c r="AM61" s="419">
        <v>0.041541390270057724</v>
      </c>
      <c r="AN61" s="419">
        <v>0.0415372560522034</v>
      </c>
      <c r="AO61" s="419">
        <v>0.04153518894327624</v>
      </c>
      <c r="AP61" s="419">
        <v>0.041534155388812666</v>
      </c>
      <c r="AQ61" s="419">
        <v>0.04153363861158088</v>
      </c>
      <c r="AR61" s="419">
        <v>0.04153338022296499</v>
      </c>
      <c r="AS61" s="287" t="s">
        <v>1624</v>
      </c>
    </row>
    <row r="62" ht="15.5" customHeight="1" spans="12:45" x14ac:dyDescent="0.25">
      <c r="L62" s="1731">
        <v>1993</v>
      </c>
      <c r="M62" s="1437">
        <v>1994</v>
      </c>
      <c r="N62" s="1436">
        <v>1995</v>
      </c>
      <c r="O62" s="1437">
        <v>1996</v>
      </c>
      <c r="P62" s="1437">
        <v>1997</v>
      </c>
      <c r="Q62" s="1437">
        <v>1998</v>
      </c>
      <c r="R62" s="1437">
        <v>1999</v>
      </c>
      <c r="S62" s="1437">
        <v>2000</v>
      </c>
      <c r="T62" s="1437">
        <v>2001</v>
      </c>
      <c r="U62" s="1437">
        <v>2002</v>
      </c>
      <c r="V62" s="1437">
        <v>2003</v>
      </c>
      <c r="W62" s="1437">
        <v>2004</v>
      </c>
      <c r="X62" s="1437">
        <v>2005</v>
      </c>
      <c r="Y62" s="1437">
        <v>2006</v>
      </c>
      <c r="Z62" s="1437">
        <v>2007</v>
      </c>
      <c r="AA62" s="1437">
        <v>2008</v>
      </c>
      <c r="AB62" s="1437">
        <v>2009</v>
      </c>
      <c r="AC62" s="1437">
        <v>2010</v>
      </c>
      <c r="AD62" s="1437">
        <v>2011</v>
      </c>
      <c r="AE62" s="1437">
        <v>2012</v>
      </c>
      <c r="AF62" s="1437">
        <v>2013</v>
      </c>
      <c r="AG62" s="1437">
        <v>2014</v>
      </c>
      <c r="AH62" s="1437">
        <v>2015</v>
      </c>
      <c r="AI62" s="1437">
        <v>2016</v>
      </c>
      <c r="AJ62" s="1437">
        <v>2017</v>
      </c>
      <c r="AK62" s="1437">
        <v>2018</v>
      </c>
      <c r="AL62" s="1437">
        <v>2019</v>
      </c>
      <c r="AM62" s="1437">
        <v>2020</v>
      </c>
      <c r="AN62" s="1437">
        <v>2021</v>
      </c>
      <c r="AO62" s="1437">
        <v>2022</v>
      </c>
      <c r="AP62" s="1437">
        <v>2023</v>
      </c>
      <c r="AQ62" s="1437">
        <v>2024</v>
      </c>
      <c r="AR62" s="1438">
        <v>2025</v>
      </c>
      <c r="AS62" s="287"/>
    </row>
    <row r="64" ht="15" customHeight="1" x14ac:dyDescent="0.25"/>
    <row r="65" ht="18" customHeight="1" spans="4:50" x14ac:dyDescent="0.25">
      <c r="D65" s="1323" t="s">
        <v>520</v>
      </c>
      <c r="E65" s="1324">
        <v>40588</v>
      </c>
      <c r="F65" s="1325" t="s">
        <v>1626</v>
      </c>
      <c r="G65" s="1326"/>
      <c r="H65" s="1326"/>
      <c r="I65" s="1326"/>
      <c r="J65" s="1326"/>
      <c r="K65" s="1326"/>
      <c r="L65" s="1326"/>
      <c r="M65" s="1327"/>
      <c r="N65" s="1714" t="s">
        <v>1004</v>
      </c>
      <c r="O65" s="1329" t="s">
        <v>1565</v>
      </c>
      <c r="P65" s="1329" t="s">
        <v>1006</v>
      </c>
      <c r="Q65" s="1329" t="s">
        <v>1007</v>
      </c>
      <c r="R65" s="1329" t="s">
        <v>1008</v>
      </c>
      <c r="S65" s="1329" t="s">
        <v>1006</v>
      </c>
      <c r="T65" s="1329"/>
      <c r="U65" s="1329"/>
      <c r="V65" s="1329"/>
      <c r="W65" s="1329"/>
      <c r="X65" s="1329"/>
      <c r="Y65" s="1329"/>
      <c r="Z65" s="1329"/>
      <c r="AA65" s="1329"/>
      <c r="AB65" s="1329"/>
      <c r="AC65" s="1715" t="s">
        <v>1566</v>
      </c>
      <c r="AD65" s="1330" t="s">
        <v>1567</v>
      </c>
      <c r="AE65" s="1330" t="s">
        <v>1565</v>
      </c>
      <c r="AF65" s="1330" t="s">
        <v>1568</v>
      </c>
      <c r="AG65" s="1330" t="s">
        <v>1569</v>
      </c>
      <c r="AH65" s="1330" t="s">
        <v>1565</v>
      </c>
      <c r="AI65" s="1330" t="s">
        <v>1570</v>
      </c>
      <c r="AJ65" s="1330"/>
      <c r="AK65" s="1330"/>
      <c r="AL65" s="1330"/>
      <c r="AM65" s="1330"/>
      <c r="AN65" s="1330"/>
      <c r="AO65" s="1330"/>
      <c r="AP65" s="1330"/>
      <c r="AQ65" s="1330"/>
      <c r="AR65" s="1330"/>
      <c r="AS65" s="1330"/>
      <c r="AT65" s="1330"/>
      <c r="AU65" s="1330"/>
      <c r="AV65" s="1330"/>
      <c r="AW65" s="1330"/>
      <c r="AX65" s="1332"/>
    </row>
    <row r="66" ht="16.25" customHeight="1" spans="4:50" x14ac:dyDescent="0.25">
      <c r="D66" s="1335"/>
      <c r="E66" s="1336" t="s">
        <v>1011</v>
      </c>
      <c r="F66" s="1716"/>
      <c r="G66" s="1393"/>
      <c r="H66" s="1717" t="s">
        <v>1571</v>
      </c>
      <c r="I66" s="1442"/>
      <c r="J66" s="1442"/>
      <c r="K66" s="1442"/>
      <c r="L66" s="1442"/>
      <c r="M66" s="1100"/>
      <c r="N66" s="1718">
        <v>1995</v>
      </c>
      <c r="O66" s="1437">
        <v>1996</v>
      </c>
      <c r="P66" s="1437">
        <v>1997</v>
      </c>
      <c r="Q66" s="1437">
        <v>1998</v>
      </c>
      <c r="R66" s="1437">
        <v>1999</v>
      </c>
      <c r="S66" s="1437">
        <v>2000</v>
      </c>
      <c r="T66" s="1437">
        <v>2001</v>
      </c>
      <c r="U66" s="1437">
        <v>2002</v>
      </c>
      <c r="V66" s="1437">
        <v>2003</v>
      </c>
      <c r="W66" s="1437">
        <v>2004</v>
      </c>
      <c r="X66" s="1437">
        <v>2005</v>
      </c>
      <c r="Y66" s="1437">
        <v>2006</v>
      </c>
      <c r="Z66" s="1437">
        <v>2007</v>
      </c>
      <c r="AA66" s="1437">
        <v>2008</v>
      </c>
      <c r="AB66" s="1437">
        <v>2009</v>
      </c>
      <c r="AC66" s="1437">
        <v>2010</v>
      </c>
      <c r="AD66" s="1437">
        <v>2011</v>
      </c>
      <c r="AE66" s="1437">
        <v>2012</v>
      </c>
      <c r="AF66" s="1437">
        <v>2013</v>
      </c>
      <c r="AG66" s="1437">
        <v>2014</v>
      </c>
      <c r="AH66" s="1437">
        <v>2015</v>
      </c>
      <c r="AI66" s="1437">
        <v>2016</v>
      </c>
      <c r="AJ66" s="1437">
        <v>2017</v>
      </c>
      <c r="AK66" s="1437">
        <v>2018</v>
      </c>
      <c r="AL66" s="1437">
        <v>2019</v>
      </c>
      <c r="AM66" s="1437">
        <v>2020</v>
      </c>
      <c r="AN66" s="1437">
        <v>2021</v>
      </c>
      <c r="AO66" s="1437">
        <v>2022</v>
      </c>
      <c r="AP66" s="1437">
        <v>2023</v>
      </c>
      <c r="AQ66" s="1437">
        <v>2024</v>
      </c>
      <c r="AR66" s="1437">
        <v>2025</v>
      </c>
      <c r="AS66" s="1437">
        <v>2026</v>
      </c>
      <c r="AT66" s="1437">
        <v>2027</v>
      </c>
      <c r="AU66" s="1437">
        <v>2028</v>
      </c>
      <c r="AV66" s="1437">
        <v>2029</v>
      </c>
      <c r="AW66" s="1437">
        <v>2030</v>
      </c>
      <c r="AX66" s="1344"/>
    </row>
    <row r="67" ht="17.5" customHeight="1" spans="4:50" x14ac:dyDescent="0.25">
      <c r="D67" s="1335">
        <v>1</v>
      </c>
      <c r="E67" s="1719">
        <v>40588</v>
      </c>
      <c r="F67" s="1349" t="s">
        <v>361</v>
      </c>
      <c r="G67" s="26" t="s">
        <v>1015</v>
      </c>
      <c r="H67" s="1458" t="s">
        <v>1538</v>
      </c>
      <c r="I67" s="1458"/>
      <c r="J67" s="1458"/>
      <c r="K67" s="1458"/>
      <c r="L67" s="1458"/>
      <c r="M67" s="1458"/>
      <c r="N67" s="1581">
        <v>148.3</v>
      </c>
      <c r="O67" s="1372">
        <f>СЧЁТ!P6</f>
        <v>148.291638</v>
      </c>
      <c r="P67" s="1372">
        <f>СЧЁТ!Q6</f>
        <v>148.028613</v>
      </c>
      <c r="Q67" s="1372">
        <f>СЧЁТ!R6</f>
        <v>147.802133</v>
      </c>
      <c r="R67" s="1372">
        <f>СЧЁТ!S6</f>
        <v>147.539426</v>
      </c>
      <c r="S67" s="1372">
        <f>СЧЁТ!T6</f>
        <v>146.890128</v>
      </c>
      <c r="T67" s="1372">
        <f>СЧЁТ!U6</f>
        <v>146.303611</v>
      </c>
      <c r="U67" s="1372">
        <f>СЧЁТ!V6</f>
        <v>145.166731</v>
      </c>
      <c r="V67" s="1372">
        <f>СЧЁТ!W6</f>
        <v>144.96365</v>
      </c>
      <c r="W67" s="1372">
        <f>СЧЁТ!X6</f>
        <v>144.168205</v>
      </c>
      <c r="X67" s="1372">
        <f>СЧЁТ!Y6</f>
        <v>143.474219</v>
      </c>
      <c r="Y67" s="1372">
        <f>СЧЁТ!Z6</f>
        <v>142.753551</v>
      </c>
      <c r="Z67" s="1372">
        <f>СЧЁТ!AA6</f>
        <v>142.220968</v>
      </c>
      <c r="AA67" s="1372">
        <f>СЧЁТ!AB6</f>
        <v>142.008838</v>
      </c>
      <c r="AB67" s="1372">
        <f>СЧЁТ!AC6</f>
        <v>141.903979</v>
      </c>
      <c r="AC67" s="1372">
        <f>СЧЁТ!AD6</f>
        <v>142.856536</v>
      </c>
      <c r="AD67" s="1372">
        <f>СЧЁТ!AE6</f>
        <v>142.865433</v>
      </c>
      <c r="AE67" s="1372">
        <f>СЧЁТ!AF6</f>
        <v>143.056383</v>
      </c>
      <c r="AF67" s="1372">
        <f>СЧЁТ!AG6</f>
        <v>143.347059</v>
      </c>
      <c r="AG67" s="1372">
        <f>СЧЁТ!AH6</f>
        <v>143.666931</v>
      </c>
      <c r="AH67" s="1372">
        <f>СЧЁТ!AI6</f>
        <v>146.267288</v>
      </c>
      <c r="AI67" s="1372">
        <f>СЧЁТ!AJ6</f>
        <v>146.54471</v>
      </c>
      <c r="AJ67" s="1372">
        <f>СЧЁТ!AK6</f>
        <v>146.804372</v>
      </c>
      <c r="AK67" s="1372">
        <f>СЧЁТ!AL6</f>
        <v>146.880432</v>
      </c>
      <c r="AL67" s="1372">
        <f>СЧЁТ!AM6</f>
        <v>146.745098</v>
      </c>
      <c r="AM67" s="1372">
        <f>СЧЁТ!AN6</f>
        <v>146.7</v>
      </c>
      <c r="AN67" s="1372">
        <f>СЧЁТ!AO6</f>
        <v>146.64</v>
      </c>
      <c r="AO67" s="1372">
        <f>СЧЁТ!AP6</f>
        <v>146.55999999999997</v>
      </c>
      <c r="AP67" s="1372">
        <f>СЧЁТ!AQ6</f>
        <v>146.43999999999997</v>
      </c>
      <c r="AQ67" s="1372">
        <f>СЧЁТ!AR6</f>
        <v>146.31999999999996</v>
      </c>
      <c r="AR67" s="1372">
        <f>СЧЁТ!AS6</f>
        <v>146.15999999999997</v>
      </c>
      <c r="AS67" s="279">
        <v>146.20217980604284</v>
      </c>
      <c r="AT67" s="279">
        <v>146.62969068893696</v>
      </c>
      <c r="AU67" s="279">
        <v>147.0669410603574</v>
      </c>
      <c r="AV67" s="279">
        <v>147.5130962967848</v>
      </c>
      <c r="AW67" s="279">
        <v>147.96741480595435</v>
      </c>
      <c r="AX67" s="287" t="s">
        <v>361</v>
      </c>
    </row>
    <row r="68" ht="17.5" customHeight="1" spans="4:50" x14ac:dyDescent="0.25">
      <c r="D68" s="1335">
        <v>2</v>
      </c>
      <c r="E68" s="1719">
        <v>40588</v>
      </c>
      <c r="F68" s="1349" t="s">
        <v>1018</v>
      </c>
      <c r="G68" s="26" t="s">
        <v>866</v>
      </c>
      <c r="H68" s="1458" t="s">
        <v>1572</v>
      </c>
      <c r="I68" s="1458"/>
      <c r="J68" s="1458"/>
      <c r="K68" s="1458"/>
      <c r="L68" s="1458"/>
      <c r="M68" s="1458"/>
      <c r="N68" s="1362">
        <v>0.4770060687795009</v>
      </c>
      <c r="O68" s="1372">
        <f>СЧЁТ!P7</f>
        <v>0.4697235333782872</v>
      </c>
      <c r="P68" s="1372">
        <f>СЧЁТ!Q7</f>
        <v>0.4599932432432432</v>
      </c>
      <c r="Q68" s="1372">
        <f>СЧЁТ!R7</f>
        <v>0.45560893098782135</v>
      </c>
      <c r="R68" s="1372">
        <f>СЧЁТ!S7</f>
        <v>0.4893220338983051</v>
      </c>
      <c r="S68" s="1372">
        <f>СЧЁТ!T7</f>
        <v>0.49740259740259735</v>
      </c>
      <c r="T68" s="1372">
        <f>СЧЁТ!U7</f>
        <v>0.48901602143482065</v>
      </c>
      <c r="U68" s="1372">
        <f>СЧЁТ!V7</f>
        <v>0.49842942756767933</v>
      </c>
      <c r="V68" s="1372">
        <f>СЧЁТ!W7</f>
        <v>0.5011997226074896</v>
      </c>
      <c r="W68" s="1372">
        <f>СЧЁТ!X7</f>
        <v>0.5086062717770035</v>
      </c>
      <c r="X68" s="1372">
        <f>СЧЁТ!Y7</f>
        <v>0.5152731092436975</v>
      </c>
      <c r="Y68" s="1372">
        <f>СЧЁТ!Z7</f>
        <v>0.5233403656821378</v>
      </c>
      <c r="Z68" s="1372">
        <f>СЧЁТ!AA7</f>
        <v>0.5302042253521126</v>
      </c>
      <c r="AA68" s="1372">
        <f>СЧЁТ!AB7</f>
        <v>0.5334742776603242</v>
      </c>
      <c r="AB68" s="1372">
        <f>СЧЁТ!AC7</f>
        <v>0.5334319943622269</v>
      </c>
      <c r="AC68" s="1372">
        <f>СЧЁТ!AD7</f>
        <v>0.5283482444233423</v>
      </c>
      <c r="AD68" s="1372">
        <f>СЧЁТ!AE7</f>
        <v>0.5304222190682052</v>
      </c>
      <c r="AE68" s="1372">
        <f>СЧЁТ!AF7</f>
        <v>0.5282951967267339</v>
      </c>
      <c r="AF68" s="1372">
        <f>СЧЁТ!AG7</f>
        <v>0.526896055816534</v>
      </c>
      <c r="AG68" s="1372">
        <f>СЧЁТ!AH7</f>
        <v>0.5250199156826145</v>
      </c>
      <c r="AH68" s="1372">
        <f>СЧЁТ!AI7</f>
        <v>0.5236167365050208</v>
      </c>
      <c r="AI68" s="1372">
        <f>СЧЁТ!AJ7</f>
        <v>0.5229530291472138</v>
      </c>
      <c r="AJ68" s="1372">
        <f>СЧЁТ!AK7</f>
        <v>0.5184382383380244</v>
      </c>
      <c r="AK68" s="1372">
        <f>СЧЁТ!AL7</f>
        <v>0.5194701497065313</v>
      </c>
      <c r="AL68" s="1372">
        <f>СЧЁТ!AM7</f>
        <v>0.5172234100794291</v>
      </c>
      <c r="AM68" s="1372">
        <f>СЧЁТ!AN7</f>
        <v>0.5167234100794291</v>
      </c>
      <c r="AN68" s="1372">
        <f>СЧЁТ!AO7</f>
        <v>0.5162234100794292</v>
      </c>
      <c r="AO68" s="1372">
        <f>СЧЁТ!AP7</f>
        <v>0.5157234100794292</v>
      </c>
      <c r="AP68" s="1372">
        <f>СЧЁТ!AQ7</f>
        <v>0.5152234100794293</v>
      </c>
      <c r="AQ68" s="1372">
        <f>СЧЁТ!AR7</f>
        <v>0.5147234100794293</v>
      </c>
      <c r="AR68" s="1372">
        <f>СЧЁТ!AS7</f>
        <v>0.5142234100794294</v>
      </c>
      <c r="AS68" s="271">
        <v>0.5730022649021764</v>
      </c>
      <c r="AT68" s="271">
        <v>0.5738182482256529</v>
      </c>
      <c r="AU68" s="271">
        <v>0.5745526332167816</v>
      </c>
      <c r="AV68" s="271">
        <v>0.5752135797087975</v>
      </c>
      <c r="AW68" s="271">
        <v>0.5758084315516118</v>
      </c>
      <c r="AX68" s="287" t="s">
        <v>1018</v>
      </c>
    </row>
    <row r="69" ht="17.5" customHeight="1" spans="4:50" x14ac:dyDescent="0.25">
      <c r="D69" s="1335">
        <v>3</v>
      </c>
      <c r="E69" s="1719"/>
      <c r="F69" s="1349" t="s">
        <v>401</v>
      </c>
      <c r="G69" s="26" t="s">
        <v>1015</v>
      </c>
      <c r="H69" s="1458" t="s">
        <v>1573</v>
      </c>
      <c r="I69" s="1458"/>
      <c r="J69" s="1458"/>
      <c r="K69" s="1458"/>
      <c r="L69" s="1458"/>
      <c r="M69" s="1458"/>
      <c r="N69" s="1720">
        <v>6.684</v>
      </c>
      <c r="O69" s="1372">
        <f>СЧЁТ!P8</f>
        <v>69.66</v>
      </c>
      <c r="P69" s="1372">
        <f>СЧЁТ!Q8</f>
        <v>68.079</v>
      </c>
      <c r="Q69" s="1372">
        <f>СЧЁТ!R8</f>
        <v>67.339</v>
      </c>
      <c r="R69" s="1372">
        <f>СЧЁТ!S8</f>
        <v>72.175</v>
      </c>
      <c r="S69" s="1372">
        <f>СЧЁТ!T8</f>
        <v>72.77</v>
      </c>
      <c r="T69" s="1372">
        <f>СЧЁТ!U8</f>
        <v>71.545</v>
      </c>
      <c r="U69" s="1372">
        <f>СЧЁТ!V8</f>
        <v>72.357</v>
      </c>
      <c r="V69" s="1372">
        <f>СЧЁТ!W8</f>
        <v>72.273</v>
      </c>
      <c r="W69" s="1372">
        <f>СЧЁТ!X8</f>
        <v>72.985</v>
      </c>
      <c r="X69" s="1372">
        <f>СЧЁТ!Y8</f>
        <v>73.581</v>
      </c>
      <c r="Y69" s="1372">
        <f>СЧЁТ!Z8</f>
        <v>74.419</v>
      </c>
      <c r="Z69" s="1372">
        <f>СЧЁТ!AA8</f>
        <v>75.289</v>
      </c>
      <c r="AA69" s="1372">
        <f>СЧЁТ!AB8</f>
        <v>75.7</v>
      </c>
      <c r="AB69" s="1372">
        <f>СЧЁТ!AC8</f>
        <v>75.694</v>
      </c>
      <c r="AC69" s="1372">
        <f>СЧЁТ!AD8</f>
        <v>75.478</v>
      </c>
      <c r="AD69" s="1372">
        <f>СЧЁТ!AE8</f>
        <v>75.779</v>
      </c>
      <c r="AE69" s="1372">
        <f>СЧЁТ!AF8</f>
        <v>75.576</v>
      </c>
      <c r="AF69" s="1372">
        <f>СЧЁТ!AG8</f>
        <v>75.529</v>
      </c>
      <c r="AG69" s="1372">
        <f>СЧЁТ!AH8</f>
        <v>75.428</v>
      </c>
      <c r="AH69" s="1372">
        <f>СЧЁТ!AI8</f>
        <v>76.588</v>
      </c>
      <c r="AI69" s="1372">
        <f>СЧЁТ!AJ8</f>
        <v>76.636</v>
      </c>
      <c r="AJ69" s="1372">
        <f>СЧЁТ!AK8</f>
        <v>76.109</v>
      </c>
      <c r="AK69" s="1372">
        <f>СЧЁТ!AL8</f>
        <v>76.3</v>
      </c>
      <c r="AL69" s="1372">
        <f>СЧЁТ!AM8</f>
        <v>75.9</v>
      </c>
      <c r="AM69" s="1372">
        <f>СЧЁТ!AN8</f>
        <v>77.751</v>
      </c>
      <c r="AN69" s="1372">
        <f>СЧЁТ!AO8</f>
        <v>77.7192</v>
      </c>
      <c r="AO69" s="1372">
        <f>СЧЁТ!AP8</f>
        <v>77.67679999999999</v>
      </c>
      <c r="AP69" s="1372">
        <f>СЧЁТ!AQ8</f>
        <v>77.61319999999999</v>
      </c>
      <c r="AQ69" s="1372">
        <f>СЧЁТ!AR8</f>
        <v>77.54959999999998</v>
      </c>
      <c r="AR69" s="1372">
        <f>СЧЁТ!AS8</f>
        <v>77.46479999999998</v>
      </c>
      <c r="AS69" s="1369"/>
      <c r="AT69" s="1369"/>
      <c r="AU69" s="1369"/>
      <c r="AV69" s="1369"/>
      <c r="AW69" s="1369"/>
      <c r="AX69" s="287" t="s">
        <v>401</v>
      </c>
    </row>
    <row r="70" ht="17.5" customHeight="1" spans="4:50" x14ac:dyDescent="0.25">
      <c r="D70" s="1335">
        <v>4</v>
      </c>
      <c r="E70" s="1719">
        <v>40559</v>
      </c>
      <c r="F70" s="1349" t="s">
        <v>438</v>
      </c>
      <c r="G70" s="26" t="s">
        <v>1015</v>
      </c>
      <c r="H70" s="1458" t="s">
        <v>1574</v>
      </c>
      <c r="I70" s="1458"/>
      <c r="J70" s="1458"/>
      <c r="K70" s="1458"/>
      <c r="L70" s="1458"/>
      <c r="M70" s="1458"/>
      <c r="N70" s="1371">
        <v>2</v>
      </c>
      <c r="O70" s="1372">
        <f>СЧЁТ!P9</f>
        <v>11.9298</v>
      </c>
      <c r="P70" s="1372">
        <f>СЧЁТ!Q9</f>
        <v>0</v>
      </c>
      <c r="Q70" s="1372">
        <f>СЧЁТ!R9</f>
        <v>56.9411</v>
      </c>
      <c r="R70" s="1372">
        <f>СЧЁТ!S9</f>
        <v>0</v>
      </c>
      <c r="S70" s="1372">
        <f>СЧЁТ!T9</f>
        <v>0</v>
      </c>
      <c r="T70" s="1372">
        <f>СЧЁТ!U9</f>
        <v>-40.0226</v>
      </c>
      <c r="U70" s="1372">
        <f>СЧЁТ!V9</f>
        <v>-1.707</v>
      </c>
      <c r="V70" s="1372">
        <f>СЧЁТ!W9</f>
        <v>-107.4624</v>
      </c>
      <c r="W70" s="1372">
        <f>СЧЁТ!X9</f>
        <v>-96.1435</v>
      </c>
      <c r="X70" s="1372">
        <f>СЧЁТ!Y9</f>
        <v>-126.0953</v>
      </c>
      <c r="Y70" s="1372">
        <f>СЧЁТ!Z9</f>
        <v>-17.1794</v>
      </c>
      <c r="Z70" s="1372">
        <f>СЧЁТ!AA9</f>
        <v>378.2842</v>
      </c>
      <c r="AA70" s="1372">
        <f>СЧЁТ!AB9</f>
        <v>-605.3455</v>
      </c>
      <c r="AB70" s="1372">
        <f>СЧЁТ!AC9</f>
        <v>-694.862</v>
      </c>
      <c r="AC70" s="1372">
        <f>СЧЁТ!AD9</f>
        <v>-418.459</v>
      </c>
      <c r="AD70" s="1372">
        <f>СЧЁТ!AE9</f>
        <v>0</v>
      </c>
      <c r="AE70" s="1372">
        <f>СЧЁТ!AF9</f>
        <v>0</v>
      </c>
      <c r="AF70" s="1372">
        <f>СЧЁТ!AG9</f>
        <v>0</v>
      </c>
      <c r="AG70" s="1372">
        <f>СЧЁТ!AH9</f>
        <v>-317.8</v>
      </c>
      <c r="AH70" s="1372">
        <f>СЧЁТ!AI9</f>
        <v>-450.2</v>
      </c>
      <c r="AI70" s="1372">
        <f>СЧЁТ!AJ9</f>
        <v>-67.02</v>
      </c>
      <c r="AJ70" s="1372">
        <f>СЧЁТ!AK9</f>
        <v>0</v>
      </c>
      <c r="AK70" s="1372">
        <f>СЧЁТ!AL9</f>
        <v>0</v>
      </c>
      <c r="AL70" s="1372">
        <f>СЧЁТ!AM9</f>
        <v>0</v>
      </c>
      <c r="AM70" s="1372">
        <f>СЧЁТ!AN9</f>
        <v>0</v>
      </c>
      <c r="AN70" s="1372">
        <f>СЧЁТ!AO9</f>
        <v>0</v>
      </c>
      <c r="AO70" s="1372">
        <f>СЧЁТ!AP9</f>
        <v>0</v>
      </c>
      <c r="AP70" s="1372">
        <f>СЧЁТ!AQ9</f>
        <v>0</v>
      </c>
      <c r="AQ70" s="1372">
        <f>СЧЁТ!AR9</f>
        <v>0</v>
      </c>
      <c r="AR70" s="1372">
        <f>СЧЁТ!AS9</f>
        <v>0</v>
      </c>
      <c r="AX70" s="287" t="s">
        <v>438</v>
      </c>
    </row>
    <row r="71" ht="17.5" customHeight="1" spans="4:50" x14ac:dyDescent="0.25">
      <c r="D71" s="1335">
        <v>5</v>
      </c>
      <c r="E71" s="1719">
        <v>40558</v>
      </c>
      <c r="F71" s="1349" t="s">
        <v>1575</v>
      </c>
      <c r="G71" s="26" t="s">
        <v>277</v>
      </c>
      <c r="H71" s="1458" t="s">
        <v>1576</v>
      </c>
      <c r="I71" s="1458"/>
      <c r="J71" s="1458"/>
      <c r="K71" s="1458"/>
      <c r="L71" s="1458"/>
      <c r="M71" s="1458"/>
      <c r="N71" s="1386">
        <v>5182.04</v>
      </c>
      <c r="O71" s="1372" t="e">
        <f>СЧЁТ!#REF!</f>
        <v>#REF!</v>
      </c>
      <c r="P71" s="1372" t="e">
        <f>СЧЁТ!#REF!</f>
        <v>#REF!</v>
      </c>
      <c r="Q71" s="1372" t="e">
        <f>СЧЁТ!#REF!</f>
        <v>#REF!</v>
      </c>
      <c r="R71" s="1372" t="e">
        <f>СЧЁТ!#REF!</f>
        <v>#REF!</v>
      </c>
      <c r="S71" s="1372" t="e">
        <f>СЧЁТ!#REF!</f>
        <v>#REF!</v>
      </c>
      <c r="T71" s="1372" t="e">
        <f>СЧЁТ!#REF!</f>
        <v>#REF!</v>
      </c>
      <c r="U71" s="1372" t="e">
        <f>СЧЁТ!#REF!</f>
        <v>#REF!</v>
      </c>
      <c r="V71" s="1372" t="e">
        <f>СЧЁТ!#REF!</f>
        <v>#REF!</v>
      </c>
      <c r="W71" s="1372" t="e">
        <f>СЧЁТ!#REF!</f>
        <v>#REF!</v>
      </c>
      <c r="X71" s="1372" t="e">
        <f>СЧЁТ!#REF!</f>
        <v>#REF!</v>
      </c>
      <c r="Y71" s="1372" t="e">
        <f>СЧЁТ!#REF!</f>
        <v>#REF!</v>
      </c>
      <c r="Z71" s="1372" t="e">
        <f>СЧЁТ!#REF!</f>
        <v>#REF!</v>
      </c>
      <c r="AA71" s="1372" t="e">
        <f>СЧЁТ!#REF!</f>
        <v>#REF!</v>
      </c>
      <c r="AB71" s="1372" t="e">
        <f>СЧЁТ!#REF!</f>
        <v>#REF!</v>
      </c>
      <c r="AC71" s="1372" t="e">
        <f>СЧЁТ!#REF!</f>
        <v>#REF!</v>
      </c>
      <c r="AD71" s="1372" t="e">
        <f>СЧЁТ!#REF!</f>
        <v>#REF!</v>
      </c>
      <c r="AE71" s="1372" t="e">
        <f>СЧЁТ!#REF!</f>
        <v>#REF!</v>
      </c>
      <c r="AF71" s="1372" t="e">
        <f>СЧЁТ!#REF!</f>
        <v>#REF!</v>
      </c>
      <c r="AG71" s="1372" t="e">
        <f>СЧЁТ!#REF!</f>
        <v>#REF!</v>
      </c>
      <c r="AH71" s="1372" t="e">
        <f>СЧЁТ!#REF!</f>
        <v>#REF!</v>
      </c>
      <c r="AI71" s="1372" t="e">
        <f>СЧЁТ!#REF!</f>
        <v>#REF!</v>
      </c>
      <c r="AJ71" s="1372" t="e">
        <f>СЧЁТ!#REF!</f>
        <v>#REF!</v>
      </c>
      <c r="AK71" s="1372" t="e">
        <f>СЧЁТ!#REF!</f>
        <v>#REF!</v>
      </c>
      <c r="AL71" s="1372" t="e">
        <f>СЧЁТ!#REF!</f>
        <v>#REF!</v>
      </c>
      <c r="AM71" s="1372" t="e">
        <f>СЧЁТ!#REF!</f>
        <v>#REF!</v>
      </c>
      <c r="AN71" s="1372" t="e">
        <f>СЧЁТ!#REF!</f>
        <v>#REF!</v>
      </c>
      <c r="AO71" s="1372" t="e">
        <f>СЧЁТ!#REF!</f>
        <v>#REF!</v>
      </c>
      <c r="AP71" s="1372" t="e">
        <f>СЧЁТ!#REF!</f>
        <v>#REF!</v>
      </c>
      <c r="AQ71" s="1372" t="e">
        <f>СЧЁТ!#REF!</f>
        <v>#REF!</v>
      </c>
      <c r="AR71" s="1372" t="e">
        <f>СЧЁТ!#REF!</f>
        <v>#REF!</v>
      </c>
      <c r="AX71" s="287" t="s">
        <v>1575</v>
      </c>
    </row>
    <row r="72" ht="17.5" customHeight="1" spans="4:50" x14ac:dyDescent="0.25">
      <c r="D72" s="1335">
        <v>6</v>
      </c>
      <c r="E72" s="1722">
        <v>40585</v>
      </c>
      <c r="F72" s="1349" t="s">
        <v>989</v>
      </c>
      <c r="G72" s="26" t="s">
        <v>866</v>
      </c>
      <c r="H72" s="1458" t="s">
        <v>1577</v>
      </c>
      <c r="I72" s="1458"/>
      <c r="J72" s="1458"/>
      <c r="K72" s="1458"/>
      <c r="L72" s="1458"/>
      <c r="M72" s="1458"/>
      <c r="N72" s="1362">
        <v>0.5033850497134363</v>
      </c>
      <c r="O72" s="1372" t="e">
        <f>СЧЁТ!#REF!</f>
        <v>#REF!</v>
      </c>
      <c r="P72" s="1372" t="e">
        <f>СЧЁТ!#REF!</f>
        <v>#REF!</v>
      </c>
      <c r="Q72" s="1372" t="e">
        <f>СЧЁТ!#REF!</f>
        <v>#REF!</v>
      </c>
      <c r="R72" s="1372" t="e">
        <f>СЧЁТ!#REF!</f>
        <v>#REF!</v>
      </c>
      <c r="S72" s="1372" t="e">
        <f>СЧЁТ!#REF!</f>
        <v>#REF!</v>
      </c>
      <c r="T72" s="1372" t="e">
        <f>СЧЁТ!#REF!</f>
        <v>#REF!</v>
      </c>
      <c r="U72" s="1372" t="e">
        <f>СЧЁТ!#REF!</f>
        <v>#REF!</v>
      </c>
      <c r="V72" s="1372" t="e">
        <f>СЧЁТ!#REF!</f>
        <v>#REF!</v>
      </c>
      <c r="W72" s="1372" t="e">
        <f>СЧЁТ!#REF!</f>
        <v>#REF!</v>
      </c>
      <c r="X72" s="1372" t="e">
        <f>СЧЁТ!#REF!</f>
        <v>#REF!</v>
      </c>
      <c r="Y72" s="1372" t="e">
        <f>СЧЁТ!#REF!</f>
        <v>#REF!</v>
      </c>
      <c r="Z72" s="1372" t="e">
        <f>СЧЁТ!#REF!</f>
        <v>#REF!</v>
      </c>
      <c r="AA72" s="1372" t="e">
        <f>СЧЁТ!#REF!</f>
        <v>#REF!</v>
      </c>
      <c r="AB72" s="1372" t="e">
        <f>СЧЁТ!#REF!</f>
        <v>#REF!</v>
      </c>
      <c r="AC72" s="1372" t="e">
        <f>СЧЁТ!#REF!</f>
        <v>#REF!</v>
      </c>
      <c r="AD72" s="1372" t="e">
        <f>СЧЁТ!#REF!</f>
        <v>#REF!</v>
      </c>
      <c r="AE72" s="1372" t="e">
        <f>СЧЁТ!#REF!</f>
        <v>#REF!</v>
      </c>
      <c r="AF72" s="1372" t="e">
        <f>СЧЁТ!#REF!</f>
        <v>#REF!</v>
      </c>
      <c r="AG72" s="1372" t="e">
        <f>СЧЁТ!#REF!</f>
        <v>#REF!</v>
      </c>
      <c r="AH72" s="1372" t="e">
        <f>СЧЁТ!#REF!</f>
        <v>#REF!</v>
      </c>
      <c r="AI72" s="1372" t="e">
        <f>СЧЁТ!#REF!</f>
        <v>#REF!</v>
      </c>
      <c r="AJ72" s="1372" t="e">
        <f>СЧЁТ!#REF!</f>
        <v>#REF!</v>
      </c>
      <c r="AK72" s="1372" t="e">
        <f>СЧЁТ!#REF!</f>
        <v>#REF!</v>
      </c>
      <c r="AL72" s="1372" t="e">
        <f>СЧЁТ!#REF!</f>
        <v>#REF!</v>
      </c>
      <c r="AM72" s="1372" t="e">
        <f>СЧЁТ!#REF!</f>
        <v>#REF!</v>
      </c>
      <c r="AN72" s="1372" t="e">
        <f>СЧЁТ!#REF!</f>
        <v>#REF!</v>
      </c>
      <c r="AO72" s="1372" t="e">
        <f>СЧЁТ!#REF!</f>
        <v>#REF!</v>
      </c>
      <c r="AP72" s="1372" t="e">
        <f>СЧЁТ!#REF!</f>
        <v>#REF!</v>
      </c>
      <c r="AQ72" s="1372" t="e">
        <f>СЧЁТ!#REF!</f>
        <v>#REF!</v>
      </c>
      <c r="AR72" s="1372" t="e">
        <f>СЧЁТ!#REF!</f>
        <v>#REF!</v>
      </c>
      <c r="AS72" s="419">
        <v>0.47158495077192053</v>
      </c>
      <c r="AT72" s="419">
        <v>0.46853245689896555</v>
      </c>
      <c r="AU72" s="419">
        <v>0.4715148751550023</v>
      </c>
      <c r="AV72" s="419">
        <v>0.4727860056249466</v>
      </c>
      <c r="AW72" s="419">
        <v>0.4723485883842585</v>
      </c>
      <c r="AX72" s="287" t="s">
        <v>989</v>
      </c>
    </row>
    <row r="73" ht="17.5" customHeight="1" spans="4:50" x14ac:dyDescent="0.25">
      <c r="D73" s="1335">
        <v>7</v>
      </c>
      <c r="E73" s="1722">
        <v>40585</v>
      </c>
      <c r="F73" s="1349" t="s">
        <v>355</v>
      </c>
      <c r="G73" s="26" t="s">
        <v>866</v>
      </c>
      <c r="H73" s="1458" t="s">
        <v>1578</v>
      </c>
      <c r="I73" s="1458"/>
      <c r="J73" s="1458"/>
      <c r="K73" s="1458"/>
      <c r="L73" s="1458"/>
      <c r="M73" s="1458"/>
      <c r="N73" s="1362">
        <v>0.5033850497134363</v>
      </c>
      <c r="O73" s="1372">
        <f>СЧЁТ!P10</f>
        <v>0.5074724155594162</v>
      </c>
      <c r="P73" s="1372">
        <f>СЧЁТ!Q10</f>
        <v>0.5074724155594164</v>
      </c>
      <c r="Q73" s="1372">
        <f>СЧЁТ!R10</f>
        <v>0.5085104083611879</v>
      </c>
      <c r="R73" s="1372">
        <f>СЧЁТ!S10</f>
        <v>0.5057231327942381</v>
      </c>
      <c r="S73" s="1372">
        <f>СЧЁТ!T10</f>
        <v>0.5030122907437494</v>
      </c>
      <c r="T73" s="1372">
        <f>СЧЁТ!U10</f>
        <v>0.5020647450635659</v>
      </c>
      <c r="U73" s="1372">
        <f>СЧЁТ!V10</f>
        <v>0.5006338966298406</v>
      </c>
      <c r="V73" s="1372">
        <f>СЧЁТ!W10</f>
        <v>0.5020261813046646</v>
      </c>
      <c r="W73" s="1372">
        <f>СЧЁТ!X10</f>
        <v>0.5057148762579633</v>
      </c>
      <c r="X73" s="1372">
        <f>СЧЁТ!Y10</f>
        <v>0.502441464842453</v>
      </c>
      <c r="Y73" s="1372">
        <f>СЧЁТ!Z10</f>
        <v>0.5056397290721157</v>
      </c>
      <c r="Z73" s="1372">
        <f>СЧЁТ!AA10</f>
        <v>0.5070028548191596</v>
      </c>
      <c r="AA73" s="1372">
        <f>СЧЁТ!AB10</f>
        <v>0.5060638126378627</v>
      </c>
      <c r="AB73" s="1372">
        <f>СЧЁТ!AC10</f>
        <v>0.5087308546862543</v>
      </c>
      <c r="AC73" s="1372">
        <f>СЧЁТ!AD10</f>
        <v>0.5110702315687009</v>
      </c>
      <c r="AD73" s="1372">
        <f>СЧЁТ!AE10</f>
        <v>0.5110702315687009</v>
      </c>
      <c r="AE73" s="1372">
        <f>СЧЁТ!AF10</f>
        <v>0.5122189032468178</v>
      </c>
      <c r="AF73" s="1372">
        <f>СЧЁТ!AG10</f>
        <v>0.5137221170238432</v>
      </c>
      <c r="AG73" s="1372">
        <f>СЧЁТ!AH10</f>
        <v>0.5140183182736008</v>
      </c>
      <c r="AH73" s="1372">
        <f>СЧЁТ!AI10</f>
        <v>0.5189421448361783</v>
      </c>
      <c r="AI73" s="1372">
        <f>СЧЁТ!AJ10</f>
        <v>0.523220327342576</v>
      </c>
      <c r="AJ73" s="1372">
        <f>СЧЁТ!AK10</f>
        <v>0.5274066854439582</v>
      </c>
      <c r="AK73" s="1372">
        <f>СЧЁТ!AL10</f>
        <v>0.5283288187406529</v>
      </c>
      <c r="AL73" s="1372">
        <f>СЧЁТ!AM10</f>
        <v>0.5293288187406529</v>
      </c>
      <c r="AM73" s="1372">
        <f>СЧЁТ!AN10</f>
        <v>0.5303288187406529</v>
      </c>
      <c r="AN73" s="1372">
        <f>СЧЁТ!AO10</f>
        <v>0.5313288187406529</v>
      </c>
      <c r="AO73" s="1372">
        <f>СЧЁТ!AP10</f>
        <v>0.5323288187406529</v>
      </c>
      <c r="AP73" s="1372">
        <f>СЧЁТ!AQ10</f>
        <v>0.5333288187406529</v>
      </c>
      <c r="AQ73" s="1372">
        <f>СЧЁТ!AR10</f>
        <v>0.5343288187406529</v>
      </c>
      <c r="AR73" s="1372">
        <f>СЧЁТ!AS10</f>
        <v>0.5353288187406529</v>
      </c>
      <c r="AS73" s="419">
        <v>0.5057148762579632</v>
      </c>
      <c r="AT73" s="419">
        <v>0.502441464842453</v>
      </c>
      <c r="AU73" s="419">
        <v>0.5056397290721157</v>
      </c>
      <c r="AV73" s="419">
        <v>0.5070028548191596</v>
      </c>
      <c r="AW73" s="419">
        <v>0.5065337804659904</v>
      </c>
      <c r="AX73" s="287" t="s">
        <v>355</v>
      </c>
    </row>
    <row r="74" ht="17.5" customHeight="1" spans="4:50" x14ac:dyDescent="0.25">
      <c r="D74" s="1335">
        <v>8</v>
      </c>
      <c r="E74" s="1722">
        <v>40585</v>
      </c>
      <c r="F74" s="1349" t="s">
        <v>358</v>
      </c>
      <c r="G74" s="26" t="s">
        <v>866</v>
      </c>
      <c r="H74" s="1458" t="s">
        <v>1579</v>
      </c>
      <c r="I74" s="1458"/>
      <c r="J74" s="1458"/>
      <c r="K74" s="1458"/>
      <c r="L74" s="1458"/>
      <c r="M74" s="1458"/>
      <c r="N74" s="1362">
        <v>1.0000000000000002</v>
      </c>
      <c r="O74" s="1372">
        <f>СЧЁТ!P13</f>
        <v>0.13929134853086492</v>
      </c>
      <c r="P74" s="1372">
        <f>СЧЁТ!Q13</f>
        <v>0.1379176665926907</v>
      </c>
      <c r="Q74" s="1372">
        <f>СЧЁТ!R13</f>
        <v>0.12004214183937038</v>
      </c>
      <c r="R74" s="1372">
        <f>СЧЁТ!S13</f>
        <v>0.09417294681160435</v>
      </c>
      <c r="S74" s="1372">
        <f>СЧЁТ!T13</f>
        <v>0.11397164678113725</v>
      </c>
      <c r="T74" s="1372">
        <f>СЧЁТ!U13</f>
        <v>0.12896505693918964</v>
      </c>
      <c r="U74" s="1372">
        <f>СЧЁТ!V13</f>
        <v>0.14156509123784608</v>
      </c>
      <c r="V74" s="1372">
        <f>СЧЁТ!W13</f>
        <v>0.15432700002044</v>
      </c>
      <c r="W74" s="1372">
        <f>СЧЁТ!X13</f>
        <v>0.17618999169000235</v>
      </c>
      <c r="X74" s="1372">
        <f>СЧЁТ!Y13</f>
        <v>0.19435906368074052</v>
      </c>
      <c r="Y74" s="1372">
        <f>СЧЁТ!Z13</f>
        <v>0.2164899396186761</v>
      </c>
      <c r="Z74" s="1372">
        <f>СЧЁТ!AA13</f>
        <v>0.2511124115797511</v>
      </c>
      <c r="AA74" s="1372">
        <f>СЧЁТ!AB13</f>
        <v>0.27454956999386115</v>
      </c>
      <c r="AB74" s="1372">
        <f>СЧЁТ!AC13</f>
        <v>0.20635691222000796</v>
      </c>
      <c r="AC74" s="1372">
        <f>СЧЁТ!AD13</f>
        <v>0.2472352338788286</v>
      </c>
      <c r="AD74" s="1372">
        <f>СЧЁТ!AE13</f>
        <v>0.2851620195169998</v>
      </c>
      <c r="AE74" s="1372">
        <f>СЧЁТ!AF13</f>
        <v>0.3010805923100566</v>
      </c>
      <c r="AF74" s="1372">
        <f>СЧЁТ!AG13</f>
        <v>0.3052090235464335</v>
      </c>
      <c r="AG74" s="1372">
        <f>СЧЁТ!AH13</f>
        <v>0.2806832984400236</v>
      </c>
      <c r="AH74" s="1372">
        <f>СЧЁТ!AI13</f>
        <v>0.21300080094384774</v>
      </c>
      <c r="AI74" s="1372">
        <f>СЧЁТ!AJ13</f>
        <v>0.20289799615599724</v>
      </c>
      <c r="AJ74" s="1372">
        <f>СЧЁТ!AK13</f>
        <v>0.23239243657282024</v>
      </c>
      <c r="AK74" s="1372">
        <f>СЧЁТ!AL13</f>
        <v>0.23284588522954772</v>
      </c>
      <c r="AL74" s="1372">
        <f>СЧЁТ!AM13</f>
        <v>0.23384588522954772</v>
      </c>
      <c r="AM74" s="1372">
        <f>СЧЁТ!AN13</f>
        <v>0.23484588522954772</v>
      </c>
      <c r="AN74" s="1372">
        <f>СЧЁТ!AO13</f>
        <v>0.23584588522954772</v>
      </c>
      <c r="AO74" s="1372">
        <f>СЧЁТ!AP13</f>
        <v>0.23684588522954772</v>
      </c>
      <c r="AP74" s="1372">
        <f>СЧЁТ!AQ13</f>
        <v>0.23784588522954772</v>
      </c>
      <c r="AQ74" s="1372">
        <f>СЧЁТ!AR13</f>
        <v>0.23884588522954772</v>
      </c>
      <c r="AR74" s="1372">
        <f>СЧЁТ!AS13</f>
        <v>0.23984588522954772</v>
      </c>
      <c r="AS74" s="419">
        <v>0.9325115255881199</v>
      </c>
      <c r="AT74" s="419">
        <v>0.9325115255881199</v>
      </c>
      <c r="AU74" s="419">
        <v>0.9325115255881199</v>
      </c>
      <c r="AV74" s="419">
        <v>0.9325115255881199</v>
      </c>
      <c r="AW74" s="419">
        <v>0.9325115255881199</v>
      </c>
      <c r="AX74" s="287" t="s">
        <v>358</v>
      </c>
    </row>
    <row r="75" ht="17.5" customHeight="1" spans="4:50" x14ac:dyDescent="0.25">
      <c r="D75" s="1335">
        <v>9</v>
      </c>
      <c r="E75" s="1722"/>
      <c r="F75" s="1349" t="s">
        <v>358</v>
      </c>
      <c r="G75" s="26" t="s">
        <v>866</v>
      </c>
      <c r="H75" s="1458" t="s">
        <v>1580</v>
      </c>
      <c r="I75" s="1458"/>
      <c r="J75" s="1458"/>
      <c r="K75" s="1458"/>
      <c r="L75" s="1458"/>
      <c r="M75" s="1458"/>
      <c r="N75" s="1362">
        <v>1</v>
      </c>
      <c r="O75" s="1372" t="e">
        <f>СЧЁТ!#REF!</f>
        <v>#REF!</v>
      </c>
      <c r="P75" s="1372" t="e">
        <f>СЧЁТ!#REF!</f>
        <v>#REF!</v>
      </c>
      <c r="Q75" s="1372" t="e">
        <f>СЧЁТ!#REF!</f>
        <v>#REF!</v>
      </c>
      <c r="R75" s="1372" t="e">
        <f>СЧЁТ!#REF!</f>
        <v>#REF!</v>
      </c>
      <c r="S75" s="1372" t="e">
        <f>СЧЁТ!#REF!</f>
        <v>#REF!</v>
      </c>
      <c r="T75" s="1372" t="e">
        <f>СЧЁТ!#REF!</f>
        <v>#REF!</v>
      </c>
      <c r="U75" s="1372" t="e">
        <f>СЧЁТ!#REF!</f>
        <v>#REF!</v>
      </c>
      <c r="V75" s="1372" t="e">
        <f>СЧЁТ!#REF!</f>
        <v>#REF!</v>
      </c>
      <c r="W75" s="1372" t="e">
        <f>СЧЁТ!#REF!</f>
        <v>#REF!</v>
      </c>
      <c r="X75" s="1372" t="e">
        <f>СЧЁТ!#REF!</f>
        <v>#REF!</v>
      </c>
      <c r="Y75" s="1372" t="e">
        <f>СЧЁТ!#REF!</f>
        <v>#REF!</v>
      </c>
      <c r="Z75" s="1372" t="e">
        <f>СЧЁТ!#REF!</f>
        <v>#REF!</v>
      </c>
      <c r="AA75" s="1372" t="e">
        <f>СЧЁТ!#REF!</f>
        <v>#REF!</v>
      </c>
      <c r="AB75" s="1372" t="e">
        <f>СЧЁТ!#REF!</f>
        <v>#REF!</v>
      </c>
      <c r="AC75" s="1372" t="e">
        <f>СЧЁТ!#REF!</f>
        <v>#REF!</v>
      </c>
      <c r="AD75" s="1372" t="e">
        <f>СЧЁТ!#REF!</f>
        <v>#REF!</v>
      </c>
      <c r="AE75" s="1372" t="e">
        <f>СЧЁТ!#REF!</f>
        <v>#REF!</v>
      </c>
      <c r="AF75" s="1372" t="e">
        <f>СЧЁТ!#REF!</f>
        <v>#REF!</v>
      </c>
      <c r="AG75" s="1372" t="e">
        <f>СЧЁТ!#REF!</f>
        <v>#REF!</v>
      </c>
      <c r="AH75" s="1372" t="e">
        <f>СЧЁТ!#REF!</f>
        <v>#REF!</v>
      </c>
      <c r="AI75" s="1372" t="e">
        <f>СЧЁТ!#REF!</f>
        <v>#REF!</v>
      </c>
      <c r="AJ75" s="1372" t="e">
        <f>СЧЁТ!#REF!</f>
        <v>#REF!</v>
      </c>
      <c r="AK75" s="1372" t="e">
        <f>СЧЁТ!#REF!</f>
        <v>#REF!</v>
      </c>
      <c r="AL75" s="1372" t="e">
        <f>СЧЁТ!#REF!</f>
        <v>#REF!</v>
      </c>
      <c r="AM75" s="1372" t="e">
        <f>СЧЁТ!#REF!</f>
        <v>#REF!</v>
      </c>
      <c r="AN75" s="1372" t="e">
        <f>СЧЁТ!#REF!</f>
        <v>#REF!</v>
      </c>
      <c r="AO75" s="1372" t="e">
        <f>СЧЁТ!#REF!</f>
        <v>#REF!</v>
      </c>
      <c r="AP75" s="1372" t="e">
        <f>СЧЁТ!#REF!</f>
        <v>#REF!</v>
      </c>
      <c r="AQ75" s="1372" t="e">
        <f>СЧЁТ!#REF!</f>
        <v>#REF!</v>
      </c>
      <c r="AR75" s="1372" t="e">
        <f>СЧЁТ!#REF!</f>
        <v>#REF!</v>
      </c>
      <c r="AX75" s="287" t="s">
        <v>358</v>
      </c>
    </row>
    <row r="76" ht="17.5" customHeight="1" spans="4:50" x14ac:dyDescent="0.25">
      <c r="D76" s="1335">
        <v>10</v>
      </c>
      <c r="E76" s="1719">
        <v>40585</v>
      </c>
      <c r="F76" s="1349" t="s">
        <v>596</v>
      </c>
      <c r="G76" s="26" t="s">
        <v>1627</v>
      </c>
      <c r="H76" s="1458" t="s">
        <v>1582</v>
      </c>
      <c r="I76" s="1458"/>
      <c r="J76" s="1458"/>
      <c r="K76" s="1458"/>
      <c r="L76" s="1458"/>
      <c r="M76" s="1458"/>
      <c r="N76" s="1368">
        <v>41.898728332450226</v>
      </c>
      <c r="O76" s="1372" t="e">
        <f>СЧЁТ!#REF!</f>
        <v>#REF!</v>
      </c>
      <c r="P76" s="1372" t="e">
        <f>СЧЁТ!#REF!</f>
        <v>#REF!</v>
      </c>
      <c r="Q76" s="1372" t="e">
        <f>СЧЁТ!#REF!</f>
        <v>#REF!</v>
      </c>
      <c r="R76" s="1372" t="e">
        <f>СЧЁТ!#REF!</f>
        <v>#REF!</v>
      </c>
      <c r="S76" s="1372" t="e">
        <f>СЧЁТ!#REF!</f>
        <v>#REF!</v>
      </c>
      <c r="T76" s="1372" t="e">
        <f>СЧЁТ!#REF!</f>
        <v>#REF!</v>
      </c>
      <c r="U76" s="1372" t="e">
        <f>СЧЁТ!#REF!</f>
        <v>#REF!</v>
      </c>
      <c r="V76" s="1372" t="e">
        <f>СЧЁТ!#REF!</f>
        <v>#REF!</v>
      </c>
      <c r="W76" s="1372" t="e">
        <f>СЧЁТ!#REF!</f>
        <v>#REF!</v>
      </c>
      <c r="X76" s="1372" t="e">
        <f>СЧЁТ!#REF!</f>
        <v>#REF!</v>
      </c>
      <c r="Y76" s="1372" t="e">
        <f>СЧЁТ!#REF!</f>
        <v>#REF!</v>
      </c>
      <c r="Z76" s="1372" t="e">
        <f>СЧЁТ!#REF!</f>
        <v>#REF!</v>
      </c>
      <c r="AA76" s="1372" t="e">
        <f>СЧЁТ!#REF!</f>
        <v>#REF!</v>
      </c>
      <c r="AB76" s="1372" t="e">
        <f>СЧЁТ!#REF!</f>
        <v>#REF!</v>
      </c>
      <c r="AC76" s="1372" t="e">
        <f>СЧЁТ!#REF!</f>
        <v>#REF!</v>
      </c>
      <c r="AD76" s="1372" t="e">
        <f>СЧЁТ!#REF!</f>
        <v>#REF!</v>
      </c>
      <c r="AE76" s="1372" t="e">
        <f>СЧЁТ!#REF!</f>
        <v>#REF!</v>
      </c>
      <c r="AF76" s="1372" t="e">
        <f>СЧЁТ!#REF!</f>
        <v>#REF!</v>
      </c>
      <c r="AG76" s="1372" t="e">
        <f>СЧЁТ!#REF!</f>
        <v>#REF!</v>
      </c>
      <c r="AH76" s="1372" t="e">
        <f>СЧЁТ!#REF!</f>
        <v>#REF!</v>
      </c>
      <c r="AI76" s="1372" t="e">
        <f>СЧЁТ!#REF!</f>
        <v>#REF!</v>
      </c>
      <c r="AJ76" s="1372" t="e">
        <f>СЧЁТ!#REF!</f>
        <v>#REF!</v>
      </c>
      <c r="AK76" s="1372" t="e">
        <f>СЧЁТ!#REF!</f>
        <v>#REF!</v>
      </c>
      <c r="AL76" s="1372" t="e">
        <f>СЧЁТ!#REF!</f>
        <v>#REF!</v>
      </c>
      <c r="AM76" s="1372" t="e">
        <f>СЧЁТ!#REF!</f>
        <v>#REF!</v>
      </c>
      <c r="AN76" s="1372" t="e">
        <f>СЧЁТ!#REF!</f>
        <v>#REF!</v>
      </c>
      <c r="AO76" s="1372" t="e">
        <f>СЧЁТ!#REF!</f>
        <v>#REF!</v>
      </c>
      <c r="AP76" s="1372" t="e">
        <f>СЧЁТ!#REF!</f>
        <v>#REF!</v>
      </c>
      <c r="AQ76" s="1372" t="e">
        <f>СЧЁТ!#REF!</f>
        <v>#REF!</v>
      </c>
      <c r="AR76" s="1372" t="e">
        <f>СЧЁТ!#REF!</f>
        <v>#REF!</v>
      </c>
      <c r="AS76" s="1351">
        <v>84.01894963298157</v>
      </c>
      <c r="AT76" s="1351">
        <v>84.67743366234303</v>
      </c>
      <c r="AU76" s="1351">
        <v>85.28323896935558</v>
      </c>
      <c r="AV76" s="1351">
        <v>85.84057985180712</v>
      </c>
      <c r="AW76" s="1351">
        <v>86.35333346366254</v>
      </c>
      <c r="AX76" s="287" t="s">
        <v>596</v>
      </c>
    </row>
    <row r="77" ht="17.5" customHeight="1" spans="4:50" x14ac:dyDescent="0.25">
      <c r="D77" s="1335">
        <v>11</v>
      </c>
      <c r="E77" s="1719">
        <v>40586</v>
      </c>
      <c r="F77" s="1349" t="s">
        <v>661</v>
      </c>
      <c r="G77" s="26" t="s">
        <v>919</v>
      </c>
      <c r="H77" s="1458" t="s">
        <v>1583</v>
      </c>
      <c r="I77" s="1458"/>
      <c r="J77" s="1458"/>
      <c r="K77" s="1458"/>
      <c r="L77" s="1458"/>
      <c r="M77" s="1458"/>
      <c r="N77" s="1362">
        <v>0.5216020542781756</v>
      </c>
      <c r="O77" s="1372" t="e">
        <f>СЧЁТ!#REF!</f>
        <v>#REF!</v>
      </c>
      <c r="P77" s="1372" t="e">
        <f>СЧЁТ!#REF!</f>
        <v>#REF!</v>
      </c>
      <c r="Q77" s="1372" t="e">
        <f>СЧЁТ!#REF!</f>
        <v>#REF!</v>
      </c>
      <c r="R77" s="1372" t="e">
        <f>СЧЁТ!#REF!</f>
        <v>#REF!</v>
      </c>
      <c r="S77" s="1372" t="e">
        <f>СЧЁТ!#REF!</f>
        <v>#REF!</v>
      </c>
      <c r="T77" s="1372" t="e">
        <f>СЧЁТ!#REF!</f>
        <v>#REF!</v>
      </c>
      <c r="U77" s="1372" t="e">
        <f>СЧЁТ!#REF!</f>
        <v>#REF!</v>
      </c>
      <c r="V77" s="1372" t="e">
        <f>СЧЁТ!#REF!</f>
        <v>#REF!</v>
      </c>
      <c r="W77" s="1372" t="e">
        <f>СЧЁТ!#REF!</f>
        <v>#REF!</v>
      </c>
      <c r="X77" s="1372" t="e">
        <f>СЧЁТ!#REF!</f>
        <v>#REF!</v>
      </c>
      <c r="Y77" s="1372" t="e">
        <f>СЧЁТ!#REF!</f>
        <v>#REF!</v>
      </c>
      <c r="Z77" s="1372" t="e">
        <f>СЧЁТ!#REF!</f>
        <v>#REF!</v>
      </c>
      <c r="AA77" s="1372" t="e">
        <f>СЧЁТ!#REF!</f>
        <v>#REF!</v>
      </c>
      <c r="AB77" s="1372" t="e">
        <f>СЧЁТ!#REF!</f>
        <v>#REF!</v>
      </c>
      <c r="AC77" s="1372" t="e">
        <f>СЧЁТ!#REF!</f>
        <v>#REF!</v>
      </c>
      <c r="AD77" s="1372" t="e">
        <f>СЧЁТ!#REF!</f>
        <v>#REF!</v>
      </c>
      <c r="AE77" s="1372" t="e">
        <f>СЧЁТ!#REF!</f>
        <v>#REF!</v>
      </c>
      <c r="AF77" s="1372" t="e">
        <f>СЧЁТ!#REF!</f>
        <v>#REF!</v>
      </c>
      <c r="AG77" s="1372" t="e">
        <f>СЧЁТ!#REF!</f>
        <v>#REF!</v>
      </c>
      <c r="AH77" s="1372" t="e">
        <f>СЧЁТ!#REF!</f>
        <v>#REF!</v>
      </c>
      <c r="AI77" s="1372" t="e">
        <f>СЧЁТ!#REF!</f>
        <v>#REF!</v>
      </c>
      <c r="AJ77" s="1372" t="e">
        <f>СЧЁТ!#REF!</f>
        <v>#REF!</v>
      </c>
      <c r="AK77" s="1372" t="e">
        <f>СЧЁТ!#REF!</f>
        <v>#REF!</v>
      </c>
      <c r="AL77" s="1372" t="e">
        <f>СЧЁТ!#REF!</f>
        <v>#REF!</v>
      </c>
      <c r="AM77" s="1372" t="e">
        <f>СЧЁТ!#REF!</f>
        <v>#REF!</v>
      </c>
      <c r="AN77" s="1372" t="e">
        <f>СЧЁТ!#REF!</f>
        <v>#REF!</v>
      </c>
      <c r="AO77" s="1372" t="e">
        <f>СЧЁТ!#REF!</f>
        <v>#REF!</v>
      </c>
      <c r="AP77" s="1372" t="e">
        <f>СЧЁТ!#REF!</f>
        <v>#REF!</v>
      </c>
      <c r="AQ77" s="1372" t="e">
        <f>СЧЁТ!#REF!</f>
        <v>#REF!</v>
      </c>
      <c r="AR77" s="1372" t="e">
        <f>СЧЁТ!#REF!</f>
        <v>#REF!</v>
      </c>
      <c r="AS77" s="419">
        <v>1.099423099443361</v>
      </c>
      <c r="AT77" s="419">
        <v>1.1082745098051545</v>
      </c>
      <c r="AU77" s="419">
        <v>1.1164178073380047</v>
      </c>
      <c r="AV77" s="419">
        <v>1.1239096410682268</v>
      </c>
      <c r="AW77" s="419">
        <v>1.1308021281000311</v>
      </c>
      <c r="AX77" s="287" t="s">
        <v>661</v>
      </c>
    </row>
    <row r="78" ht="17.5" customHeight="1" spans="4:50" x14ac:dyDescent="0.25">
      <c r="D78" s="1335">
        <v>12</v>
      </c>
      <c r="E78" s="1719">
        <v>40585</v>
      </c>
      <c r="F78" s="1349" t="s">
        <v>381</v>
      </c>
      <c r="G78" s="26" t="s">
        <v>866</v>
      </c>
      <c r="H78" s="1458" t="s">
        <v>1584</v>
      </c>
      <c r="I78" s="1458"/>
      <c r="J78" s="1458"/>
      <c r="K78" s="1458"/>
      <c r="L78" s="1458"/>
      <c r="M78" s="1458"/>
      <c r="N78" s="1371">
        <v>1</v>
      </c>
      <c r="O78" s="1372">
        <f>СЧЁТ!P14</f>
        <v>1.218</v>
      </c>
      <c r="P78" s="1372">
        <f>СЧЁТ!Q14</f>
        <v>1.3519800000000002</v>
      </c>
      <c r="Q78" s="1372">
        <f>СЧЁТ!R14</f>
        <v>2.4930511200000005</v>
      </c>
      <c r="R78" s="1372">
        <f>СЧЁТ!S14</f>
        <v>3.4030147788000007</v>
      </c>
      <c r="S78" s="1372">
        <f>СЧЁТ!T14</f>
        <v>4.090423764117601</v>
      </c>
      <c r="T78" s="1372">
        <f>СЧЁТ!U14</f>
        <v>4.851242584243474</v>
      </c>
      <c r="U78" s="1372">
        <f>СЧЁТ!V14</f>
        <v>5.583780214464239</v>
      </c>
      <c r="V78" s="1372">
        <f>СЧЁТ!W14</f>
        <v>6.253833840199949</v>
      </c>
      <c r="W78" s="1372">
        <f>СЧЁТ!X14</f>
        <v>6.9855323995033425</v>
      </c>
      <c r="X78" s="1372">
        <f>СЧЁТ!Y14</f>
        <v>7.746955431049207</v>
      </c>
      <c r="Y78" s="1372">
        <f>СЧЁТ!Z14</f>
        <v>8.444181419843636</v>
      </c>
      <c r="Z78" s="1372">
        <f>СЧЁТ!AA14</f>
        <v>9.446505754379075</v>
      </c>
      <c r="AA78" s="1372">
        <f>СЧЁТ!AB14</f>
        <v>10.701001718560617</v>
      </c>
      <c r="AB78" s="1372">
        <f>СЧЁТ!AC14</f>
        <v>11.642689869793951</v>
      </c>
      <c r="AC78" s="1372">
        <f>СЧЁТ!AD14</f>
        <v>12.664918040361862</v>
      </c>
      <c r="AD78" s="1372">
        <f>СЧЁТ!AE14</f>
        <v>13.437478040823935</v>
      </c>
      <c r="AE78" s="1372">
        <f>СЧЁТ!AF14</f>
        <v>14.321664095910151</v>
      </c>
      <c r="AF78" s="1372">
        <f>СЧЁТ!AG14</f>
        <v>15.245411430096356</v>
      </c>
      <c r="AG78" s="1372">
        <f>СЧЁТ!AH14</f>
        <v>17.31878738458946</v>
      </c>
      <c r="AH78" s="1372">
        <f>СЧЁТ!AI14</f>
        <v>19.5529109572015</v>
      </c>
      <c r="AI78" s="1372">
        <f>СЧЁТ!AJ14</f>
        <v>20.60681285779466</v>
      </c>
      <c r="AJ78" s="1372">
        <f>СЧЁТ!AK14</f>
        <v>21.124043860525305</v>
      </c>
      <c r="AK78" s="1372">
        <f>СЧЁТ!AL14</f>
        <v>22.02392812898368</v>
      </c>
      <c r="AL78" s="1372">
        <f>СЧЁТ!AM14</f>
        <v>22.693455544104783</v>
      </c>
      <c r="AM78" s="1372">
        <f>СЧЁТ!AN14</f>
        <v>23.807704211320324</v>
      </c>
      <c r="AN78" s="1372">
        <f>СЧЁТ!AO14</f>
        <v>24.99808942188634</v>
      </c>
      <c r="AO78" s="1372">
        <f>СЧЁТ!AP14</f>
        <v>26.24799389298066</v>
      </c>
      <c r="AP78" s="1372">
        <f>СЧЁТ!AQ14</f>
        <v>27.560393587629694</v>
      </c>
      <c r="AQ78" s="1372">
        <f>СЧЁТ!AR14</f>
        <v>28.938413267011178</v>
      </c>
      <c r="AR78" s="1372">
        <f>СЧЁТ!AS14</f>
        <v>30.38533393036174</v>
      </c>
      <c r="AS78" s="1372">
        <v>26.729243118692256</v>
      </c>
      <c r="AT78" s="1372">
        <v>27.531120412253024</v>
      </c>
      <c r="AU78" s="1372">
        <v>28.357054024620616</v>
      </c>
      <c r="AV78" s="1372">
        <v>29.207765645359235</v>
      </c>
      <c r="AW78" s="1372">
        <v>30.083998614720013</v>
      </c>
      <c r="AX78" s="287" t="s">
        <v>381</v>
      </c>
    </row>
    <row r="79" ht="17.5" customHeight="1" spans="4:50" x14ac:dyDescent="0.25">
      <c r="D79" s="1335">
        <v>13</v>
      </c>
      <c r="E79" s="1722">
        <v>40586</v>
      </c>
      <c r="F79" s="1349" t="s">
        <v>121</v>
      </c>
      <c r="G79" s="26" t="s">
        <v>866</v>
      </c>
      <c r="H79" s="1458" t="s">
        <v>1585</v>
      </c>
      <c r="I79" s="1458"/>
      <c r="J79" s="1458"/>
      <c r="K79" s="1458"/>
      <c r="L79" s="1458"/>
      <c r="M79" s="1458"/>
      <c r="N79" s="1371">
        <v>2.313</v>
      </c>
      <c r="O79" s="1372">
        <f>СЧЁТ!P15</f>
        <v>1.218</v>
      </c>
      <c r="P79" s="1372">
        <f>СЧЁТ!Q15</f>
        <v>1.11</v>
      </c>
      <c r="Q79" s="1372">
        <f>СЧЁТ!R15</f>
        <v>1.844</v>
      </c>
      <c r="R79" s="1372">
        <f>СЧЁТ!S15</f>
        <v>1.365</v>
      </c>
      <c r="S79" s="1372">
        <f>СЧЁТ!T15</f>
        <v>1.202</v>
      </c>
      <c r="T79" s="1372">
        <f>СЧЁТ!U15</f>
        <v>1.186</v>
      </c>
      <c r="U79" s="1372">
        <f>СЧЁТ!V15</f>
        <v>1.151</v>
      </c>
      <c r="V79" s="1372">
        <f>СЧЁТ!W15</f>
        <v>1.12</v>
      </c>
      <c r="W79" s="1372">
        <f>СЧЁТ!X15</f>
        <v>1.117</v>
      </c>
      <c r="X79" s="1372">
        <f>СЧЁТ!Y15</f>
        <v>1.109</v>
      </c>
      <c r="Y79" s="1372">
        <f>СЧЁТ!Z15</f>
        <v>1.09</v>
      </c>
      <c r="Z79" s="1372">
        <f>СЧЁТ!AA15</f>
        <v>1.1187</v>
      </c>
      <c r="AA79" s="1372">
        <f>СЧЁТ!AB15</f>
        <v>1.1328</v>
      </c>
      <c r="AB79" s="1372">
        <f>СЧЁТ!AC15</f>
        <v>1.088</v>
      </c>
      <c r="AC79" s="1372">
        <f>СЧЁТ!AD15</f>
        <v>1.0878</v>
      </c>
      <c r="AD79" s="1372">
        <f>СЧЁТ!AE15</f>
        <v>1.061</v>
      </c>
      <c r="AE79" s="1372">
        <f>СЧЁТ!AF15</f>
        <v>1.0658</v>
      </c>
      <c r="AF79" s="1372">
        <f>СЧЁТ!AG15</f>
        <v>1.0645</v>
      </c>
      <c r="AG79" s="1372">
        <f>СЧЁТ!AH15</f>
        <v>1.136</v>
      </c>
      <c r="AH79" s="1372">
        <f>СЧЁТ!AI15</f>
        <v>1.129</v>
      </c>
      <c r="AI79" s="1372">
        <f>СЧЁТ!AJ15</f>
        <v>1.0539</v>
      </c>
      <c r="AJ79" s="1372">
        <f>СЧЁТ!AK15</f>
        <v>1.0251</v>
      </c>
      <c r="AK79" s="1372">
        <f>СЧЁТ!AL15</f>
        <v>1.0426</v>
      </c>
      <c r="AL79" s="1372">
        <f>СЧЁТ!AM15</f>
        <v>1.0304</v>
      </c>
      <c r="AM79" s="1372">
        <f>СЧЁТ!AN15</f>
        <v>1.0491</v>
      </c>
      <c r="AN79" s="1372">
        <f>СЧЁТ!AO15</f>
        <v>1.05</v>
      </c>
      <c r="AO79" s="1372">
        <f>СЧЁТ!AP15</f>
        <v>1.05</v>
      </c>
      <c r="AP79" s="1372">
        <f>СЧЁТ!AQ15</f>
        <v>1.05</v>
      </c>
      <c r="AQ79" s="1372">
        <f>СЧЁТ!AR15</f>
        <v>1.05</v>
      </c>
      <c r="AR79" s="1372">
        <f>СЧЁТ!AS15</f>
        <v>1.05</v>
      </c>
      <c r="AS79" s="419">
        <v>1.03</v>
      </c>
      <c r="AT79" s="419">
        <v>1.03</v>
      </c>
      <c r="AU79" s="419">
        <v>1.03</v>
      </c>
      <c r="AV79" s="419">
        <v>1.03</v>
      </c>
      <c r="AW79" s="419">
        <v>1.03</v>
      </c>
      <c r="AX79" s="287" t="s">
        <v>121</v>
      </c>
    </row>
    <row r="80" ht="17.5" customHeight="1" spans="4:50" x14ac:dyDescent="0.25">
      <c r="D80" s="1335">
        <v>14</v>
      </c>
      <c r="E80" s="1719">
        <v>40560</v>
      </c>
      <c r="F80" s="1349" t="s">
        <v>441</v>
      </c>
      <c r="G80" s="26" t="s">
        <v>1627</v>
      </c>
      <c r="H80" s="1458" t="s">
        <v>1628</v>
      </c>
      <c r="I80" s="1458"/>
      <c r="J80" s="1458"/>
      <c r="K80" s="1458"/>
      <c r="L80" s="1458"/>
      <c r="M80" s="1458"/>
      <c r="N80" s="1376">
        <v>9.808038755582468</v>
      </c>
      <c r="O80" s="1372">
        <f>СЧЁТ!P16</f>
        <v>0</v>
      </c>
      <c r="P80" s="1372">
        <f>СЧЁТ!Q16</f>
        <v>0</v>
      </c>
      <c r="Q80" s="1372">
        <f>СЧЁТ!R16</f>
        <v>0</v>
      </c>
      <c r="R80" s="1372">
        <f>СЧЁТ!S16</f>
        <v>0</v>
      </c>
      <c r="S80" s="1372">
        <f>СЧЁТ!T16</f>
        <v>0</v>
      </c>
      <c r="T80" s="1372">
        <f>СЧЁТ!U16</f>
        <v>0</v>
      </c>
      <c r="U80" s="1372">
        <f>СЧЁТ!V16</f>
        <v>0</v>
      </c>
      <c r="V80" s="1372">
        <f>СЧЁТ!W16</f>
        <v>0</v>
      </c>
      <c r="W80" s="1372">
        <f>СЧЁТ!X16</f>
        <v>0</v>
      </c>
      <c r="X80" s="1372">
        <f>СЧЁТ!Y16</f>
        <v>0</v>
      </c>
      <c r="Y80" s="1372">
        <f>СЧЁТ!Z16</f>
        <v>0</v>
      </c>
      <c r="Z80" s="1372">
        <f>СЧЁТ!AA16</f>
        <v>0</v>
      </c>
      <c r="AA80" s="1372">
        <f>СЧЁТ!AB16</f>
        <v>0</v>
      </c>
      <c r="AB80" s="1372">
        <f>СЧЁТ!AC16</f>
        <v>0</v>
      </c>
      <c r="AC80" s="1372">
        <f>СЧЁТ!AD16</f>
        <v>0</v>
      </c>
      <c r="AD80" s="1372">
        <f>СЧЁТ!AE16</f>
        <v>0</v>
      </c>
      <c r="AE80" s="1372">
        <f>СЧЁТ!AF16</f>
        <v>0</v>
      </c>
      <c r="AF80" s="1372">
        <f>СЧЁТ!AG16</f>
        <v>0</v>
      </c>
      <c r="AG80" s="1372">
        <f>СЧЁТ!AH16</f>
        <v>0</v>
      </c>
      <c r="AH80" s="1372">
        <f>СЧЁТ!AI16</f>
        <v>0</v>
      </c>
      <c r="AI80" s="1372">
        <f>СЧЁТ!AJ16</f>
        <v>0</v>
      </c>
      <c r="AJ80" s="1372">
        <f>СЧЁТ!AK16</f>
        <v>0</v>
      </c>
      <c r="AK80" s="1372">
        <f>СЧЁТ!AL16</f>
        <v>0</v>
      </c>
      <c r="AL80" s="1372">
        <f>СЧЁТ!AM16</f>
        <v>0</v>
      </c>
      <c r="AM80" s="1372">
        <f>СЧЁТ!AN16</f>
        <v>0</v>
      </c>
      <c r="AN80" s="1372">
        <f>СЧЁТ!AO16</f>
        <v>0</v>
      </c>
      <c r="AO80" s="1372">
        <f>СЧЁТ!AP16</f>
        <v>0</v>
      </c>
      <c r="AP80" s="1372">
        <f>СЧЁТ!AQ16</f>
        <v>0</v>
      </c>
      <c r="AQ80" s="1372">
        <f>СЧЁТ!AR16</f>
        <v>0</v>
      </c>
      <c r="AR80" s="1372">
        <f>СЧЁТ!AS16</f>
        <v>0</v>
      </c>
      <c r="AX80" s="287" t="s">
        <v>441</v>
      </c>
    </row>
    <row r="81" ht="17.5" customHeight="1" spans="4:50" x14ac:dyDescent="0.25">
      <c r="D81" s="1335">
        <v>15</v>
      </c>
      <c r="E81" s="1719">
        <v>40585</v>
      </c>
      <c r="F81" s="1349" t="s">
        <v>445</v>
      </c>
      <c r="G81" s="26" t="s">
        <v>866</v>
      </c>
      <c r="H81" s="1458" t="s">
        <v>1587</v>
      </c>
      <c r="I81" s="1458"/>
      <c r="J81" s="1458"/>
      <c r="K81" s="1458"/>
      <c r="L81" s="1458"/>
      <c r="M81" s="1458"/>
      <c r="N81" s="1371">
        <v>1</v>
      </c>
      <c r="O81" s="1372">
        <f>СЧЁТ!P11</f>
        <v>20.5</v>
      </c>
      <c r="P81" s="1372">
        <f>СЧЁТ!Q11</f>
        <v>19.1</v>
      </c>
      <c r="Q81" s="1372">
        <f>СЧЁТ!R11</f>
        <v>12.7</v>
      </c>
      <c r="R81" s="1372">
        <f>СЧЁТ!S11</f>
        <v>17.7</v>
      </c>
      <c r="S81" s="1372">
        <f>СЧЁТ!T11</f>
        <v>28.3</v>
      </c>
      <c r="T81" s="1372">
        <f>СЧЁТ!U11</f>
        <v>24.4</v>
      </c>
      <c r="U81" s="1372">
        <f>СЧЁТ!V11</f>
        <v>25</v>
      </c>
      <c r="V81" s="1372">
        <f>СЧЁТ!W11</f>
        <v>28.9</v>
      </c>
      <c r="W81" s="1372">
        <f>СЧЁТ!X11</f>
        <v>38.3</v>
      </c>
      <c r="X81" s="1372">
        <f>СЧЁТ!Y11</f>
        <v>54.4</v>
      </c>
      <c r="Y81" s="1372">
        <f>СЧЁТ!Z11</f>
        <v>65.4</v>
      </c>
      <c r="Z81" s="1372">
        <f>СЧЁТ!AA11</f>
        <v>72.7</v>
      </c>
      <c r="AA81" s="1372">
        <f>СЧЁТ!AB11</f>
        <v>97.7</v>
      </c>
      <c r="AB81" s="1372">
        <f>СЧЁТ!AC11</f>
        <v>61.9</v>
      </c>
      <c r="AC81" s="1372">
        <f>СЧЁТ!AD11</f>
        <v>79.6</v>
      </c>
      <c r="AD81" s="1372">
        <f>СЧЁТ!AE11</f>
        <v>111</v>
      </c>
      <c r="AE81" s="1372">
        <f>СЧЁТ!AF11</f>
        <v>111.4</v>
      </c>
      <c r="AF81" s="1372">
        <f>СЧЁТ!AG11</f>
        <v>108.8</v>
      </c>
      <c r="AG81" s="1372">
        <f>СЧЁТ!AH11</f>
        <v>98.9</v>
      </c>
      <c r="AH81" s="1372">
        <f>СЧЁТ!AI11</f>
        <v>52.4</v>
      </c>
      <c r="AI81" s="1372">
        <f>СЧЁТ!AJ11</f>
        <v>44</v>
      </c>
      <c r="AJ81" s="1372">
        <f>СЧЁТ!AK11</f>
        <v>55</v>
      </c>
      <c r="AK81" s="1372">
        <f>СЧЁТ!AL11</f>
        <v>70</v>
      </c>
      <c r="AL81" s="1372">
        <f>СЧЁТ!AM11</f>
        <v>72</v>
      </c>
      <c r="AM81" s="1372">
        <f>СЧЁТ!AN11</f>
        <v>40</v>
      </c>
      <c r="AN81" s="1372">
        <f>СЧЁТ!AO11</f>
        <v>50</v>
      </c>
      <c r="AO81" s="1372">
        <f>СЧЁТ!AP11</f>
        <v>58</v>
      </c>
      <c r="AP81" s="1372">
        <f>СЧЁТ!AQ11</f>
        <v>64.4</v>
      </c>
      <c r="AQ81" s="1372">
        <f>СЧЁТ!AR11</f>
        <v>69.52000000000001</v>
      </c>
      <c r="AR81" s="1372">
        <f>СЧЁТ!AS11</f>
        <v>73.61600000000001</v>
      </c>
      <c r="AS81" s="1372">
        <v>2.895711234953375</v>
      </c>
      <c r="AT81" s="1372">
        <v>2.895711234953375</v>
      </c>
      <c r="AU81" s="1372">
        <v>2.895711234953375</v>
      </c>
      <c r="AV81" s="1372">
        <v>2.895711234953375</v>
      </c>
      <c r="AW81" s="1372">
        <v>2.89571123495337</v>
      </c>
      <c r="AX81" s="287" t="s">
        <v>445</v>
      </c>
    </row>
    <row r="82" ht="17.5" customHeight="1" spans="4:50" x14ac:dyDescent="0.25">
      <c r="D82" s="1335">
        <v>16</v>
      </c>
      <c r="E82" s="1719">
        <v>40588</v>
      </c>
      <c r="F82" s="1349" t="s">
        <v>631</v>
      </c>
      <c r="G82" s="26" t="s">
        <v>866</v>
      </c>
      <c r="H82" s="1458" t="s">
        <v>1588</v>
      </c>
      <c r="I82" s="1458"/>
      <c r="J82" s="1458"/>
      <c r="K82" s="1458"/>
      <c r="L82" s="1458"/>
      <c r="M82" s="1458"/>
      <c r="N82" s="1371">
        <v>1</v>
      </c>
      <c r="O82" s="1372">
        <f>СЧЁТ!P17</f>
        <v>0.20193696820110807</v>
      </c>
      <c r="P82" s="1372">
        <f>СЧЁТ!Q17</f>
        <v>0.2007703091712705</v>
      </c>
      <c r="Q82" s="1372">
        <f>СЧЁТ!R17</f>
        <v>0.17564649920911823</v>
      </c>
      <c r="R82" s="1372">
        <f>СЧЁТ!S17</f>
        <v>0.1773667752933979</v>
      </c>
      <c r="S82" s="1372">
        <f>СЧЁТ!T17</f>
        <v>0.21045165705943777</v>
      </c>
      <c r="T82" s="1372">
        <f>СЧЁТ!U17</f>
        <v>0.22075386925949722</v>
      </c>
      <c r="U82" s="1372">
        <f>СЧЁТ!V17</f>
        <v>0.23009857341476964</v>
      </c>
      <c r="V82" s="1372">
        <f>СЧЁТ!W17</f>
        <v>0.24253877934926296</v>
      </c>
      <c r="W82" s="1372">
        <f>СЧЁТ!X17</f>
        <v>0.2516082337282352</v>
      </c>
      <c r="X82" s="1372">
        <f>СЧЁТ!Y17</f>
        <v>0.25783555641470957</v>
      </c>
      <c r="Y82" s="1372">
        <f>СЧЁТ!Z17</f>
        <v>0.2668781385379209</v>
      </c>
      <c r="Z82" s="1372">
        <f>СЧЁТ!AA17</f>
        <v>0.2775287129387157</v>
      </c>
      <c r="AA82" s="1372">
        <f>СЧЁТ!AB17</f>
        <v>0.2823324410242868</v>
      </c>
      <c r="AB82" s="1372">
        <f>СЧЁТ!AC17</f>
        <v>0.2058026497269587</v>
      </c>
      <c r="AC82" s="1372">
        <f>СЧЁТ!AD17</f>
        <v>0.24609376472050032</v>
      </c>
      <c r="AD82" s="1372">
        <f>СЧЁТ!AE17</f>
        <v>0.2716712661938327</v>
      </c>
      <c r="AE82" s="1372">
        <f>СЧЁТ!AF17</f>
        <v>0.2711734787480621</v>
      </c>
      <c r="AF82" s="1372">
        <f>СЧЁТ!AG17</f>
        <v>0.2653941333830007</v>
      </c>
      <c r="AG82" s="1372">
        <f>СЧЁТ!AH17</f>
        <v>0.2407479655290886</v>
      </c>
      <c r="AH82" s="1372">
        <f>СЧЁТ!AI17</f>
        <v>0.20957161629151927</v>
      </c>
      <c r="AI82" s="1372">
        <f>СЧЁТ!AJ17</f>
        <v>0.2065780810326533</v>
      </c>
      <c r="AJ82" s="1372">
        <f>СЧЁТ!AK17</f>
        <v>0.22697099503222676</v>
      </c>
      <c r="AK82" s="1372">
        <f>СЧЁТ!AL17</f>
        <v>0.2265787550715769</v>
      </c>
      <c r="AL82" s="1372">
        <f>СЧЁТ!AM17</f>
        <v>0.226343411095187</v>
      </c>
      <c r="AM82" s="1372">
        <f>СЧЁТ!AN17</f>
        <v>0.22620220470935304</v>
      </c>
      <c r="AN82" s="1372">
        <f>СЧЁТ!AO17</f>
        <v>0.22611748087785266</v>
      </c>
      <c r="AO82" s="1372">
        <f>СЧЁТ!AP17</f>
        <v>0.22606664657895242</v>
      </c>
      <c r="AP82" s="1372">
        <f>СЧЁТ!AQ17</f>
        <v>0.22603614599961228</v>
      </c>
      <c r="AQ82" s="1372">
        <f>СЧЁТ!AR17</f>
        <v>0.2260178456520082</v>
      </c>
      <c r="AR82" s="1372">
        <f>СЧЁТ!AS17</f>
        <v>0.22600686544344575</v>
      </c>
      <c r="AS82" s="1372">
        <v>25.9749709170125</v>
      </c>
      <c r="AT82" s="1372">
        <v>25.9749709170125</v>
      </c>
      <c r="AU82" s="1372">
        <v>25.9749709170125</v>
      </c>
      <c r="AV82" s="1372">
        <v>25.9749709170125</v>
      </c>
      <c r="AW82" s="1372">
        <v>26.102463418332505</v>
      </c>
      <c r="AX82" s="287" t="s">
        <v>631</v>
      </c>
    </row>
    <row r="83" ht="17.5" customHeight="1" spans="4:50" x14ac:dyDescent="0.25">
      <c r="D83" s="1335">
        <v>17</v>
      </c>
      <c r="E83" s="1719">
        <v>40588</v>
      </c>
      <c r="F83" s="1349" t="s">
        <v>387</v>
      </c>
      <c r="G83" s="26" t="s">
        <v>866</v>
      </c>
      <c r="H83" s="1458" t="s">
        <v>1036</v>
      </c>
      <c r="I83" s="1458"/>
      <c r="J83" s="1458"/>
      <c r="K83" s="1458"/>
      <c r="L83" s="1458"/>
      <c r="M83" s="1458"/>
      <c r="N83" s="1527">
        <v>1</v>
      </c>
      <c r="O83" s="1372">
        <f>СЧЁТ!P18</f>
        <v>1.4723042021668387</v>
      </c>
      <c r="P83" s="1372">
        <f>СЧЁТ!Q18</f>
        <v>1.718558670886825</v>
      </c>
      <c r="Q83" s="1372">
        <f>СЧЁТ!R18</f>
        <v>2.1060897046594413</v>
      </c>
      <c r="R83" s="1372">
        <f>СЧЁТ!S18</f>
        <v>3.727842297346868</v>
      </c>
      <c r="S83" s="1372">
        <f>СЧЁТ!T18</f>
        <v>4.5918326760987345</v>
      </c>
      <c r="T83" s="1372">
        <f>СЧЁТ!U18</f>
        <v>5.561179540405496</v>
      </c>
      <c r="U83" s="1372">
        <f>СЧЁТ!V18</f>
        <v>6.468238698917706</v>
      </c>
      <c r="V83" s="1372">
        <f>СЧЁТ!W18</f>
        <v>7.258482770625474</v>
      </c>
      <c r="W83" s="1372">
        <f>СЧЁТ!X18</f>
        <v>8.328227993617887</v>
      </c>
      <c r="X83" s="1372">
        <f>СЧЁТ!Y18</f>
        <v>9.370471463956683</v>
      </c>
      <c r="Y83" s="1372">
        <f>СЧЁТ!Z18</f>
        <v>10.171880121895711</v>
      </c>
      <c r="Z83" s="1372">
        <f>СЧЁТ!AA18</f>
        <v>10.996054426330467</v>
      </c>
      <c r="AA83" s="1372">
        <f>СЧЁТ!AB18</f>
        <v>12.382630991276981</v>
      </c>
      <c r="AB83" s="1372">
        <f>СЧЁТ!AC18</f>
        <v>13.714036448863869</v>
      </c>
      <c r="AC83" s="1372">
        <f>СЧЁТ!AD18</f>
        <v>14.629133800462956</v>
      </c>
      <c r="AD83" s="1372">
        <f>СЧЁТ!AE18</f>
        <v>17.36421630879255</v>
      </c>
      <c r="AE83" s="1372">
        <f>СЧЁТ!AF18</f>
        <v>18.5401251106608</v>
      </c>
      <c r="AF83" s="1372">
        <f>СЧЁТ!AG18</f>
        <v>19.653563919076568</v>
      </c>
      <c r="AG83" s="1372">
        <f>СЧЁТ!AH18</f>
        <v>21.01627695270109</v>
      </c>
      <c r="AH83" s="1372">
        <f>СЧЁТ!AI18</f>
        <v>23.908625308988828</v>
      </c>
      <c r="AI83" s="1372">
        <f>СЧЁТ!AJ18</f>
        <v>25.541020349632802</v>
      </c>
      <c r="AJ83" s="1372">
        <f>СЧЁТ!AK18</f>
        <v>26.262932750374507</v>
      </c>
      <c r="AK83" s="1372">
        <f>СЧЁТ!AL18</f>
        <v>27.120680464307846</v>
      </c>
      <c r="AL83" s="1372">
        <f>СЧЁТ!AM18</f>
        <v>28.12440071334408</v>
      </c>
      <c r="AM83" s="1372">
        <f>СЧЁТ!AN18</f>
        <v>28.998911158369268</v>
      </c>
      <c r="AN83" s="1372">
        <f>СЧЁТ!AO18</f>
        <v>31.029391716287734</v>
      </c>
      <c r="AO83" s="1372">
        <f>СЧЁТ!AP18</f>
        <v>32.60489630210212</v>
      </c>
      <c r="AP83" s="1372">
        <f>СЧЁТ!AQ18</f>
        <v>34.259176117207225</v>
      </c>
      <c r="AQ83" s="1372">
        <f>СЧЁТ!AR18</f>
        <v>35.99616992306759</v>
      </c>
      <c r="AR83" s="1372">
        <f>СЧЁТ!AS18</f>
        <v>37.82001341922097</v>
      </c>
      <c r="AS83" s="1372">
        <v>27.980997322168587</v>
      </c>
      <c r="AT83" s="1372">
        <v>28.689762187278227</v>
      </c>
      <c r="AU83" s="1372">
        <v>29.419789998341155</v>
      </c>
      <c r="AV83" s="1372">
        <v>30.17171864373597</v>
      </c>
      <c r="AW83" s="1372">
        <v>30.94620514849263</v>
      </c>
      <c r="AX83" s="287" t="s">
        <v>387</v>
      </c>
    </row>
    <row r="84" ht="17.5" customHeight="1" spans="4:50" x14ac:dyDescent="0.25">
      <c r="D84" s="1335">
        <v>18</v>
      </c>
      <c r="E84" s="1719">
        <v>40588</v>
      </c>
      <c r="F84" s="1349" t="s">
        <v>636</v>
      </c>
      <c r="G84" s="26" t="s">
        <v>866</v>
      </c>
      <c r="H84" s="1458" t="s">
        <v>1038</v>
      </c>
      <c r="I84" s="1458"/>
      <c r="J84" s="1458"/>
      <c r="K84" s="1458"/>
      <c r="L84" s="1458"/>
      <c r="M84" s="1458"/>
      <c r="N84" s="1527">
        <v>1</v>
      </c>
      <c r="O84" s="1372">
        <f>СЧЁТ!P19</f>
        <v>1.3930686182271845</v>
      </c>
      <c r="P84" s="1372">
        <f>СЧЁТ!Q19</f>
        <v>1.8000080782573098</v>
      </c>
      <c r="Q84" s="1372">
        <f>СЧЁТ!R19</f>
        <v>1.7787455021088285</v>
      </c>
      <c r="R84" s="1372">
        <f>СЧЁТ!S19</f>
        <v>2.4627881934761957</v>
      </c>
      <c r="S84" s="1372">
        <f>СЧЁТ!T19</f>
        <v>3.785470488529565</v>
      </c>
      <c r="T84" s="1372">
        <f>СЧЁТ!U19</f>
        <v>5.08786459563914</v>
      </c>
      <c r="U84" s="1372">
        <f>СЧЁТ!V19</f>
        <v>6.552867571558401</v>
      </c>
      <c r="V84" s="1372">
        <f>СЧЁТ!W19</f>
        <v>7.795892317615872</v>
      </c>
      <c r="W84" s="1372">
        <f>СЧЁТ!X19</f>
        <v>9.32454487174126</v>
      </c>
      <c r="X84" s="1372">
        <f>СЧЁТ!Y19</f>
        <v>11.601834838997735</v>
      </c>
      <c r="Y84" s="1372">
        <f>СЧЁТ!Z19</f>
        <v>14.558879763670303</v>
      </c>
      <c r="Z84" s="1372">
        <f>СЧЁТ!AA19</f>
        <v>17.41864233141954</v>
      </c>
      <c r="AA84" s="1372">
        <f>СЧЁТ!AB19</f>
        <v>21.558658204106848</v>
      </c>
      <c r="AB84" s="1372">
        <f>СЧЁТ!AC19</f>
        <v>23.77183065299093</v>
      </c>
      <c r="AC84" s="1372">
        <f>СЧЁТ!AD19</f>
        <v>25.942740710668115</v>
      </c>
      <c r="AD84" s="1372">
        <f>СЧЁТ!AE19</f>
        <v>31.060937552257776</v>
      </c>
      <c r="AE84" s="1372">
        <f>СЧЁТ!AF19</f>
        <v>34.957056458668305</v>
      </c>
      <c r="AF84" s="1372">
        <f>СЧЁТ!AG19</f>
        <v>38.62386007303689</v>
      </c>
      <c r="AG84" s="1372">
        <f>СЧЁТ!AH19</f>
        <v>41.26092184765976</v>
      </c>
      <c r="AH84" s="1372">
        <f>СЧЁТ!AI19</f>
        <v>44.34474977239534</v>
      </c>
      <c r="AI84" s="1372">
        <f>СЧЁТ!AJ19</f>
        <v>46.796704667591264</v>
      </c>
      <c r="AJ84" s="1372">
        <f>СЧЁТ!AK19</f>
        <v>48.3278511972651</v>
      </c>
      <c r="AK84" s="1372">
        <f>СЧЁТ!AL19</f>
        <v>52.23526550148644</v>
      </c>
      <c r="AL84" s="1372">
        <f>СЧЁТ!AM19</f>
        <v>53.174963523769726</v>
      </c>
      <c r="AM84" s="1372">
        <f>СЧЁТ!AN19</f>
        <v>56.05173073278681</v>
      </c>
      <c r="AN84" s="1372">
        <f>СЧЁТ!AO19</f>
        <v>59.12506726942615</v>
      </c>
      <c r="AO84" s="1372">
        <f>СЧЁТ!AP19</f>
        <v>62.35207063289746</v>
      </c>
      <c r="AP84" s="1372">
        <f>СЧЁТ!AQ19</f>
        <v>65.74042416454233</v>
      </c>
      <c r="AQ84" s="1372">
        <f>СЧЁТ!AR19</f>
        <v>69.29819537276946</v>
      </c>
      <c r="AR84" s="1372">
        <f>СЧЁТ!AS19</f>
        <v>73.03385514140793</v>
      </c>
      <c r="AS84" s="1372">
        <v>30.90527386136096</v>
      </c>
      <c r="AT84" s="1372">
        <v>30.98781612098415</v>
      </c>
      <c r="AU84" s="1372">
        <v>31.05797704166386</v>
      </c>
      <c r="AV84" s="1372">
        <v>31.117613824241616</v>
      </c>
      <c r="AW84" s="1372">
        <v>31.168305089432707</v>
      </c>
      <c r="AX84" s="287" t="s">
        <v>636</v>
      </c>
    </row>
    <row r="85" ht="17.5" customHeight="1" spans="4:50" x14ac:dyDescent="0.25">
      <c r="D85" s="1335">
        <v>19</v>
      </c>
      <c r="E85" s="1719">
        <v>40588</v>
      </c>
      <c r="F85" s="1349" t="s">
        <v>638</v>
      </c>
      <c r="G85" s="26" t="s">
        <v>866</v>
      </c>
      <c r="H85" s="1458" t="s">
        <v>1589</v>
      </c>
      <c r="I85" s="1458"/>
      <c r="J85" s="1458"/>
      <c r="K85" s="1458"/>
      <c r="L85" s="1458"/>
      <c r="M85" s="1458"/>
      <c r="N85" s="1527">
        <v>1</v>
      </c>
      <c r="O85" s="1372">
        <f>СЧЁТ!P20</f>
        <v>1.4997486735151189</v>
      </c>
      <c r="P85" s="1372">
        <f>СЧЁТ!Q20</f>
        <v>1.9526312539350381</v>
      </c>
      <c r="Q85" s="1372">
        <f>СЧЁТ!R20</f>
        <v>2.005906030355448</v>
      </c>
      <c r="R85" s="1372">
        <f>СЧЁТ!S20</f>
        <v>2.3429902839701637</v>
      </c>
      <c r="S85" s="1372">
        <f>СЧЁТ!T20</f>
        <v>3.240611479111068</v>
      </c>
      <c r="T85" s="1372">
        <f>СЧЁТ!U20</f>
        <v>3.97066356566005</v>
      </c>
      <c r="U85" s="1372">
        <f>СЧЁТ!V20</f>
        <v>5.284373447678545</v>
      </c>
      <c r="V85" s="1372">
        <f>СЧЁТ!W20</f>
        <v>6.171508131635609</v>
      </c>
      <c r="W85" s="1372">
        <f>СЧЁТ!X20</f>
        <v>6.701602530209906</v>
      </c>
      <c r="X85" s="1372">
        <f>СЧЁТ!Y20</f>
        <v>7.644439100868062</v>
      </c>
      <c r="Y85" s="1372">
        <f>СЧЁТ!Z20</f>
        <v>8.625582341885453</v>
      </c>
      <c r="Z85" s="1372">
        <f>СЧЁТ!AA20</f>
        <v>10.098705571453516</v>
      </c>
      <c r="AA85" s="1372">
        <f>СЧЁТ!AB20</f>
        <v>11.941266045828566</v>
      </c>
      <c r="AB85" s="1372">
        <f>СЧЁТ!AC20</f>
        <v>12.996640727607122</v>
      </c>
      <c r="AC85" s="1372">
        <f>СЧЁТ!AD20</f>
        <v>13.587422805401822</v>
      </c>
      <c r="AD85" s="1372">
        <f>СЧЁТ!AE20</f>
        <v>14.262597604124318</v>
      </c>
      <c r="AE85" s="1372">
        <f>СЧЁТ!AF20</f>
        <v>15.820545673088896</v>
      </c>
      <c r="AF85" s="1372">
        <f>СЧЁТ!AG20</f>
        <v>16.64363718116042</v>
      </c>
      <c r="AG85" s="1372">
        <f>СЧЁТ!AH20</f>
        <v>18.778754615584578</v>
      </c>
      <c r="AH85" s="1372">
        <f>СЧЁТ!AI20</f>
        <v>20.93213752543595</v>
      </c>
      <c r="AI85" s="1372">
        <f>СЧЁТ!AJ20</f>
        <v>22.71379487635589</v>
      </c>
      <c r="AJ85" s="1372">
        <f>СЧЁТ!AK20</f>
        <v>24.993896175246313</v>
      </c>
      <c r="AK85" s="1372">
        <f>СЧЁТ!AL20</f>
        <v>27.181442967904612</v>
      </c>
      <c r="AL85" s="1372">
        <f>СЧЁТ!AM20</f>
        <v>28.30469088773622</v>
      </c>
      <c r="AM85" s="1372">
        <f>СЧЁТ!AN20</f>
        <v>29.498051210324068</v>
      </c>
      <c r="AN85" s="1372">
        <f>СЧЁТ!AO20</f>
        <v>30.77295377084027</v>
      </c>
      <c r="AO85" s="1372">
        <f>СЧЁТ!AP20</f>
        <v>32.111601459382285</v>
      </c>
      <c r="AP85" s="1372">
        <f>СЧЁТ!AQ20</f>
        <v>33.5171815323514</v>
      </c>
      <c r="AQ85" s="1372">
        <f>СЧЁТ!AR20</f>
        <v>34.99304060896897</v>
      </c>
      <c r="AR85" s="1372">
        <f>СЧЁТ!AS20</f>
        <v>36.54269263941742</v>
      </c>
      <c r="AS85" s="1372">
        <v>27.053611238009953</v>
      </c>
      <c r="AT85" s="1372">
        <v>27.78331957515025</v>
      </c>
      <c r="AU85" s="1372">
        <v>28.534919162404762</v>
      </c>
      <c r="AV85" s="1372">
        <v>29.3090667372769</v>
      </c>
      <c r="AW85" s="1372">
        <v>30.106438739395216</v>
      </c>
      <c r="AX85" s="287" t="s">
        <v>638</v>
      </c>
    </row>
    <row r="86" ht="17.5" customHeight="1" spans="4:50" x14ac:dyDescent="0.25">
      <c r="D86" s="1335">
        <v>20</v>
      </c>
      <c r="E86" s="1719">
        <v>40561</v>
      </c>
      <c r="F86" s="1349" t="s">
        <v>640</v>
      </c>
      <c r="G86" s="26" t="s">
        <v>866</v>
      </c>
      <c r="H86" s="1458" t="s">
        <v>1590</v>
      </c>
      <c r="I86" s="1458"/>
      <c r="J86" s="1458"/>
      <c r="K86" s="1458"/>
      <c r="L86" s="1458"/>
      <c r="M86" s="1458"/>
      <c r="N86" s="1371">
        <v>1</v>
      </c>
      <c r="O86" s="1372">
        <f>СЧЁТ!P21</f>
        <v>1.006</v>
      </c>
      <c r="P86" s="1372">
        <f>СЧЁТ!Q21</f>
        <v>0.997952</v>
      </c>
      <c r="Q86" s="1372">
        <f>СЧЁТ!R21</f>
        <v>1.00294176</v>
      </c>
      <c r="R86" s="1372">
        <f>СЧЁТ!S21</f>
        <v>0.9889005753599999</v>
      </c>
      <c r="S86" s="1372">
        <f>СЧЁТ!T21</f>
        <v>1.00472298456576</v>
      </c>
      <c r="T86" s="1372">
        <f>СЧЁТ!U21</f>
        <v>1.0238127212725092</v>
      </c>
      <c r="U86" s="1372">
        <f>СЧЁТ!V21</f>
        <v>1.0320032230426892</v>
      </c>
      <c r="V86" s="1372">
        <f>СЧЁТ!W21</f>
        <v>1.0330352262657319</v>
      </c>
      <c r="W86" s="1372">
        <f>СЧЁТ!X21</f>
        <v>0.9183683161502356</v>
      </c>
      <c r="X86" s="1372">
        <f>СЧЁТ!Y21</f>
        <v>0.7503069142947425</v>
      </c>
      <c r="Y86" s="1372">
        <f>СЧЁТ!Z21</f>
        <v>0.7375516967517318</v>
      </c>
      <c r="Z86" s="1372">
        <f>СЧЁТ!AA21</f>
        <v>0.7574655925640286</v>
      </c>
      <c r="AA86" s="1372">
        <f>СЧЁТ!AB21</f>
        <v>0.7468610742681322</v>
      </c>
      <c r="AB86" s="1372">
        <f>СЧЁТ!AC21</f>
        <v>0.6871121883266816</v>
      </c>
      <c r="AC86" s="1372">
        <f>СЧЁТ!AD21</f>
        <v>0.6836766273850482</v>
      </c>
      <c r="AD86" s="1372">
        <f>СЧЁТ!AE21</f>
        <v>0.6501764726431808</v>
      </c>
      <c r="AE86" s="1372">
        <f>СЧЁТ!AF21</f>
        <v>0.643674707916749</v>
      </c>
      <c r="AF86" s="1372">
        <f>СЧЁТ!AG21</f>
        <v>0.635950611421748</v>
      </c>
      <c r="AG86" s="1372">
        <f>СЧЁТ!AH21</f>
        <v>0.635950611421748</v>
      </c>
      <c r="AH86" s="1372">
        <f>СЧЁТ!AI21</f>
        <v>0.6175080436905173</v>
      </c>
      <c r="AI86" s="1372">
        <f>СЧЁТ!AJ21</f>
        <v>0.6236831241274224</v>
      </c>
      <c r="AJ86" s="1372">
        <f>СЧЁТ!AK21</f>
        <v>0.6268015397480595</v>
      </c>
      <c r="AK86" s="1372">
        <f>СЧЁТ!AL21</f>
        <v>0.6550076090367222</v>
      </c>
      <c r="AL86" s="1372">
        <f>СЧЁТ!AM21</f>
        <v>0.6818033748609517</v>
      </c>
      <c r="AM86" s="1372">
        <f>СЧЁТ!AN21</f>
        <v>0.7072593523939696</v>
      </c>
      <c r="AN86" s="1372">
        <f>СЧЁТ!AO21</f>
        <v>0.7314425310503367</v>
      </c>
      <c r="AO86" s="1372">
        <f>СЧЁТ!AP21</f>
        <v>0.7544165507738855</v>
      </c>
      <c r="AP86" s="1372">
        <f>СЧЁТ!AQ21</f>
        <v>0.7762418695112567</v>
      </c>
      <c r="AQ86" s="1372">
        <f>СЧЁТ!AR21</f>
        <v>0.7969759223117594</v>
      </c>
      <c r="AR86" s="1372">
        <f>СЧЁТ!AS21</f>
        <v>0.816673272472237</v>
      </c>
      <c r="AS86" s="1372">
        <v>27.729243118692256</v>
      </c>
      <c r="AT86" s="1372">
        <v>28.531120412253024</v>
      </c>
      <c r="AU86" s="1372">
        <v>29.357054024620616</v>
      </c>
      <c r="AV86" s="1372">
        <v>30.207765645359235</v>
      </c>
      <c r="AW86" s="1372">
        <v>31.083998614720013</v>
      </c>
      <c r="AX86" s="287" t="s">
        <v>640</v>
      </c>
    </row>
    <row r="87" ht="17.5" customHeight="1" spans="4:50" x14ac:dyDescent="0.25">
      <c r="D87" s="1335">
        <v>21</v>
      </c>
      <c r="E87" s="1719">
        <v>40561</v>
      </c>
      <c r="F87" s="1349" t="s">
        <v>390</v>
      </c>
      <c r="G87" s="26" t="s">
        <v>866</v>
      </c>
      <c r="H87" s="1458" t="s">
        <v>1051</v>
      </c>
      <c r="I87" s="1458"/>
      <c r="J87" s="1458"/>
      <c r="K87" s="1458"/>
      <c r="L87" s="1458"/>
      <c r="M87" s="1458"/>
      <c r="N87" s="1371">
        <v>1</v>
      </c>
      <c r="O87" s="1372">
        <f>СЧЁТ!P22</f>
        <v>1.1463921152743077</v>
      </c>
      <c r="P87" s="1372">
        <f>СЧЁТ!Q22</f>
        <v>1.2513079717780982</v>
      </c>
      <c r="Q87" s="1372">
        <f>СЧЁТ!R22</f>
        <v>1.7757982734232498</v>
      </c>
      <c r="R87" s="1372">
        <f>СЧЁТ!S22</f>
        <v>4.3836468174313525</v>
      </c>
      <c r="S87" s="1372">
        <f>СЧЁТ!T22</f>
        <v>5.422670804728047</v>
      </c>
      <c r="T87" s="1372">
        <f>СЧЁТ!U22</f>
        <v>5.416139427100017</v>
      </c>
      <c r="U87" s="1372">
        <f>СЧЁТ!V22</f>
        <v>5.589991573495779</v>
      </c>
      <c r="V87" s="1372">
        <f>СЧЁТ!W22</f>
        <v>6.100949264694751</v>
      </c>
      <c r="W87" s="1372">
        <f>СЧЁТ!X22</f>
        <v>6.831459964645646</v>
      </c>
      <c r="X87" s="1372">
        <f>СЧЁТ!Y22</f>
        <v>8.02031164551573</v>
      </c>
      <c r="Y87" s="1372">
        <f>СЧЁТ!Z22</f>
        <v>8.577771592643286</v>
      </c>
      <c r="Z87" s="1372">
        <f>СЧЁТ!AA22</f>
        <v>8.561217930593617</v>
      </c>
      <c r="AA87" s="1372">
        <f>СЧЁТ!AB22</f>
        <v>10.360928463828223</v>
      </c>
      <c r="AB87" s="1372">
        <f>СЧЁТ!AC22</f>
        <v>10.685163024983835</v>
      </c>
      <c r="AC87" s="1372">
        <f>СЧЁТ!AD22</f>
        <v>12.376778209553063</v>
      </c>
      <c r="AD87" s="1372">
        <f>СЧЁТ!AE22</f>
        <v>14.886630426588821</v>
      </c>
      <c r="AE87" s="1372">
        <f>СЧЁТ!AF22</f>
        <v>15.682710215951944</v>
      </c>
      <c r="AF87" s="1372">
        <f>СЧЁТ!AG22</f>
        <v>15.596922733834738</v>
      </c>
      <c r="AG87" s="1372">
        <f>СЧЁТ!AH22</f>
        <v>19.408072573294923</v>
      </c>
      <c r="AH87" s="1372">
        <f>СЧЁТ!AI22</f>
        <v>25.392619710313024</v>
      </c>
      <c r="AI87" s="1372">
        <f>СЧЁТ!AJ22</f>
        <v>24.686694352693262</v>
      </c>
      <c r="AJ87" s="1372">
        <f>СЧЁТ!AK22</f>
        <v>23.815961506525245</v>
      </c>
      <c r="AK87" s="1372">
        <f>СЧЁТ!AL22</f>
        <v>28.98429850585516</v>
      </c>
      <c r="AL87" s="1372">
        <f>СЧЁТ!AM22</f>
        <v>28.28794120598946</v>
      </c>
      <c r="AM87" s="1372">
        <f>СЧЁТ!AN22</f>
        <v>30.295292486376674</v>
      </c>
      <c r="AN87" s="1372">
        <f>СЧЁТ!AO22</f>
        <v>32.50839100920102</v>
      </c>
      <c r="AO87" s="1372">
        <f>СЧЁТ!AP22</f>
        <v>34.90839768276339</v>
      </c>
      <c r="AP87" s="1372">
        <f>СЧЁТ!AQ22</f>
        <v>37.51247387012187</v>
      </c>
      <c r="AQ87" s="1372">
        <f>СЧЁТ!AR22</f>
        <v>40.33944013792836</v>
      </c>
      <c r="AR87" s="1372">
        <f>СЧЁТ!AS22</f>
        <v>43.40994133299096</v>
      </c>
      <c r="AS87" s="1372">
        <v>26.102167430561483</v>
      </c>
      <c r="AT87" s="1372">
        <v>26.984232453478327</v>
      </c>
      <c r="AU87" s="1372">
        <v>27.89275942708268</v>
      </c>
      <c r="AV87" s="1372">
        <v>28.82854220989516</v>
      </c>
      <c r="AW87" s="1372">
        <v>29.792398476192016</v>
      </c>
      <c r="AX87" s="287" t="s">
        <v>390</v>
      </c>
    </row>
    <row r="88" ht="17.5" customHeight="1" spans="4:50" x14ac:dyDescent="0.25">
      <c r="D88" s="1335">
        <v>22</v>
      </c>
      <c r="E88" s="1719">
        <v>40588</v>
      </c>
      <c r="F88" s="1349" t="s">
        <v>644</v>
      </c>
      <c r="G88" s="26" t="s">
        <v>866</v>
      </c>
      <c r="H88" s="1458" t="s">
        <v>1591</v>
      </c>
      <c r="I88" s="1458"/>
      <c r="J88" s="1458"/>
      <c r="K88" s="1458"/>
      <c r="L88" s="1458"/>
      <c r="M88" s="1458"/>
      <c r="N88" s="1371">
        <v>1</v>
      </c>
      <c r="O88" s="1372">
        <f>СЧЁТ!P23</f>
        <v>0</v>
      </c>
      <c r="P88" s="1372">
        <f>СЧЁТ!Q23</f>
        <v>0</v>
      </c>
      <c r="Q88" s="1372">
        <f>СЧЁТ!R23</f>
        <v>0</v>
      </c>
      <c r="R88" s="1372">
        <f>СЧЁТ!S23</f>
        <v>0</v>
      </c>
      <c r="S88" s="1372">
        <f>СЧЁТ!T23</f>
        <v>0</v>
      </c>
      <c r="T88" s="1372">
        <f>СЧЁТ!U23</f>
        <v>0</v>
      </c>
      <c r="U88" s="1372">
        <f>СЧЁТ!V23</f>
        <v>0</v>
      </c>
      <c r="V88" s="1372">
        <f>СЧЁТ!W23</f>
        <v>0</v>
      </c>
      <c r="W88" s="1372">
        <f>СЧЁТ!X23</f>
        <v>0</v>
      </c>
      <c r="X88" s="1372">
        <f>СЧЁТ!Y23</f>
        <v>0</v>
      </c>
      <c r="Y88" s="1372">
        <f>СЧЁТ!Z23</f>
        <v>0</v>
      </c>
      <c r="Z88" s="1372">
        <f>СЧЁТ!AA23</f>
        <v>0</v>
      </c>
      <c r="AA88" s="1372">
        <f>СЧЁТ!AB23</f>
        <v>0</v>
      </c>
      <c r="AB88" s="1372">
        <f>СЧЁТ!AC23</f>
        <v>0</v>
      </c>
      <c r="AC88" s="1372">
        <f>СЧЁТ!AD23</f>
        <v>0</v>
      </c>
      <c r="AD88" s="1372">
        <f>СЧЁТ!AE23</f>
        <v>0</v>
      </c>
      <c r="AE88" s="1372">
        <f>СЧЁТ!AF23</f>
        <v>0</v>
      </c>
      <c r="AF88" s="1372">
        <f>СЧЁТ!AG23</f>
        <v>0</v>
      </c>
      <c r="AG88" s="1372">
        <f>СЧЁТ!AH23</f>
        <v>0</v>
      </c>
      <c r="AH88" s="1372">
        <f>СЧЁТ!AI23</f>
        <v>0</v>
      </c>
      <c r="AI88" s="1372">
        <f>СЧЁТ!AJ23</f>
        <v>0</v>
      </c>
      <c r="AJ88" s="1372">
        <f>СЧЁТ!AK23</f>
        <v>0</v>
      </c>
      <c r="AK88" s="1372">
        <f>СЧЁТ!AL23</f>
        <v>0</v>
      </c>
      <c r="AL88" s="1372">
        <f>СЧЁТ!AM23</f>
        <v>0</v>
      </c>
      <c r="AM88" s="1372">
        <f>СЧЁТ!AN23</f>
        <v>0</v>
      </c>
      <c r="AN88" s="1372">
        <f>СЧЁТ!AO23</f>
        <v>0</v>
      </c>
      <c r="AO88" s="1372">
        <f>СЧЁТ!AP23</f>
        <v>0</v>
      </c>
      <c r="AP88" s="1372">
        <f>СЧЁТ!AQ23</f>
        <v>0</v>
      </c>
      <c r="AQ88" s="1372">
        <f>СЧЁТ!AR23</f>
        <v>0</v>
      </c>
      <c r="AR88" s="1372">
        <f>СЧЁТ!AS23</f>
        <v>0</v>
      </c>
      <c r="AS88" s="1372">
        <v>28.85668767547246</v>
      </c>
      <c r="AT88" s="1372">
        <v>29.250216164097985</v>
      </c>
      <c r="AU88" s="1372">
        <v>29.620132943405977</v>
      </c>
      <c r="AV88" s="1372">
        <v>29.96785471595549</v>
      </c>
      <c r="AW88" s="1372">
        <v>30.29471318215203</v>
      </c>
      <c r="AX88" s="287" t="s">
        <v>644</v>
      </c>
    </row>
    <row r="89" ht="17.5" customHeight="1" spans="4:50" x14ac:dyDescent="0.25">
      <c r="D89" s="1335">
        <v>23</v>
      </c>
      <c r="E89" s="1719">
        <v>40588</v>
      </c>
      <c r="F89" s="1349" t="s">
        <v>646</v>
      </c>
      <c r="G89" s="26" t="s">
        <v>866</v>
      </c>
      <c r="H89" s="1458" t="s">
        <v>1047</v>
      </c>
      <c r="I89" s="1458"/>
      <c r="J89" s="1458"/>
      <c r="K89" s="1458"/>
      <c r="L89" s="1458"/>
      <c r="M89" s="1458"/>
      <c r="N89" s="1371">
        <v>1</v>
      </c>
      <c r="O89" s="1372">
        <f>СЧЁТ!P24</f>
        <v>1.7194377618988257</v>
      </c>
      <c r="P89" s="1372">
        <f>СЧЁТ!Q24</f>
        <v>1.9680277801214476</v>
      </c>
      <c r="Q89" s="1372">
        <f>СЧЁТ!R24</f>
        <v>2.2270348811115843</v>
      </c>
      <c r="R89" s="1372">
        <f>СЧЁТ!S24</f>
        <v>3.493098424873764</v>
      </c>
      <c r="S89" s="1372">
        <f>СЧЁТ!T24</f>
        <v>5.171262749607017</v>
      </c>
      <c r="T89" s="1372">
        <f>СЧЁТ!U24</f>
        <v>6.070726846853919</v>
      </c>
      <c r="U89" s="1372">
        <f>СЧЁТ!V24</f>
        <v>6.916750986271128</v>
      </c>
      <c r="V89" s="1372">
        <f>СЧЁТ!W24</f>
        <v>7.6273689193439225</v>
      </c>
      <c r="W89" s="1372">
        <f>СЧЁТ!X24</f>
        <v>8.79041331779647</v>
      </c>
      <c r="X89" s="1372">
        <f>СЧЁТ!Y24</f>
        <v>10.054085870175701</v>
      </c>
      <c r="Y89" s="1372">
        <f>СЧЁТ!Z24</f>
        <v>11.28478682823815</v>
      </c>
      <c r="Z89" s="1372">
        <f>СЧЁТ!AA24</f>
        <v>13.059083510568804</v>
      </c>
      <c r="AA89" s="1372">
        <f>СЧЁТ!AB24</f>
        <v>15.593657080025292</v>
      </c>
      <c r="AB89" s="1372">
        <f>СЧЁТ!AC24</f>
        <v>16.373566297801105</v>
      </c>
      <c r="AC89" s="1372">
        <f>СЧЁТ!AD24</f>
        <v>17.674409856030426</v>
      </c>
      <c r="AD89" s="1372">
        <f>СЧЁТ!AE24</f>
        <v>19.234566440524752</v>
      </c>
      <c r="AE89" s="1372">
        <f>СЧЁТ!AF24</f>
        <v>20.540168341333807</v>
      </c>
      <c r="AF89" s="1372">
        <f>СЧЁТ!AG24</f>
        <v>21.77622501158156</v>
      </c>
      <c r="AG89" s="1372">
        <f>СЧЁТ!AH24</f>
        <v>22.851453644141124</v>
      </c>
      <c r="AH89" s="1372">
        <f>СЧЁТ!AI24</f>
        <v>25.408791247612854</v>
      </c>
      <c r="AI89" s="1372">
        <f>СЧЁТ!AJ24</f>
        <v>27.019844336572895</v>
      </c>
      <c r="AJ89" s="1372">
        <f>СЧЁТ!AK24</f>
        <v>28.017232863734257</v>
      </c>
      <c r="AK89" s="1372">
        <f>СЧЁТ!AL24</f>
        <v>29.48966481725577</v>
      </c>
      <c r="AL89" s="1372">
        <f>СЧЁТ!AM24</f>
        <v>30.56982965875805</v>
      </c>
      <c r="AM89" s="1372">
        <f>СЧЁТ!AN24</f>
        <v>32.000596695003054</v>
      </c>
      <c r="AN89" s="1372">
        <f>СЧЁТ!AO24</f>
        <v>34.39782652975321</v>
      </c>
      <c r="AO89" s="1372">
        <f>СЧЁТ!AP24</f>
        <v>36.473917856240874</v>
      </c>
      <c r="AP89" s="1372">
        <f>СЧЁТ!AQ24</f>
        <v>38.65381374905292</v>
      </c>
      <c r="AQ89" s="1372">
        <f>СЧЁТ!AR24</f>
        <v>40.942704436505565</v>
      </c>
      <c r="AR89" s="1372">
        <f>СЧЁТ!AS24</f>
        <v>43.346039658330845</v>
      </c>
      <c r="AS89" s="1372">
        <v>27.292780962757643</v>
      </c>
      <c r="AT89" s="1372">
        <v>28.054564391640373</v>
      </c>
      <c r="AU89" s="1372">
        <v>28.839201323389585</v>
      </c>
      <c r="AV89" s="1372">
        <v>29.647377363091273</v>
      </c>
      <c r="AW89" s="1372">
        <v>30.479798683984015</v>
      </c>
      <c r="AX89" s="287" t="s">
        <v>646</v>
      </c>
    </row>
    <row r="90" ht="17.5" customHeight="1" spans="4:50" x14ac:dyDescent="0.25">
      <c r="D90" s="1335">
        <v>24</v>
      </c>
      <c r="E90" s="1719">
        <v>40588</v>
      </c>
      <c r="F90" s="1349" t="s">
        <v>648</v>
      </c>
      <c r="G90" s="26" t="s">
        <v>866</v>
      </c>
      <c r="H90" s="1458" t="s">
        <v>1268</v>
      </c>
      <c r="I90" s="1458"/>
      <c r="J90" s="1458"/>
      <c r="K90" s="1458"/>
      <c r="L90" s="1458"/>
      <c r="M90" s="1458"/>
      <c r="N90" s="1371">
        <v>1</v>
      </c>
      <c r="O90" s="1372">
        <f>СЧЁТ!P25</f>
        <v>2.4661634872716665</v>
      </c>
      <c r="P90" s="1372">
        <f>СЧЁТ!Q25</f>
        <v>2.5165818894824628</v>
      </c>
      <c r="Q90" s="1372">
        <f>СЧЁТ!R25</f>
        <v>2.6836249787031963</v>
      </c>
      <c r="R90" s="1372">
        <f>СЧЁТ!S25</f>
        <v>2.701164323022275</v>
      </c>
      <c r="S90" s="1372">
        <f>СЧЁТ!T25</f>
        <v>3.2947518370474893</v>
      </c>
      <c r="T90" s="1372">
        <f>СЧЁТ!U25</f>
        <v>3.7846782806927575</v>
      </c>
      <c r="U90" s="1372">
        <f>СЧЁТ!V25</f>
        <v>4.522803189792793</v>
      </c>
      <c r="V90" s="1372">
        <f>СЧЁТ!W25</f>
        <v>5.542638112686384</v>
      </c>
      <c r="W90" s="1372">
        <f>СЧЁТ!X25</f>
        <v>6.272852216104846</v>
      </c>
      <c r="X90" s="1372">
        <f>СЧЁТ!Y25</f>
        <v>7.324439758120246</v>
      </c>
      <c r="Y90" s="1372">
        <f>СЧЁТ!Z25</f>
        <v>8.186196716537998</v>
      </c>
      <c r="Z90" s="1372">
        <f>СЧЁТ!AA25</f>
        <v>10.097240670067599</v>
      </c>
      <c r="AA90" s="1372">
        <f>СЧЁТ!AB25</f>
        <v>12.014838376677151</v>
      </c>
      <c r="AB90" s="1372">
        <f>СЧЁТ!AC25</f>
        <v>12.870829474853368</v>
      </c>
      <c r="AC90" s="1372">
        <f>СЧЁТ!AD25</f>
        <v>14.148307151553455</v>
      </c>
      <c r="AD90" s="1372">
        <f>СЧЁТ!AE25</f>
        <v>15.766970202222982</v>
      </c>
      <c r="AE90" s="1372">
        <f>СЧЁТ!AF25</f>
        <v>16.974068796381736</v>
      </c>
      <c r="AF90" s="1372">
        <f>СЧЁТ!AG25</f>
        <v>17.95315842273053</v>
      </c>
      <c r="AG90" s="1372">
        <f>СЧЁТ!AH25</f>
        <v>19.115802786548628</v>
      </c>
      <c r="AH90" s="1372">
        <f>СЧЁТ!AI25</f>
        <v>20.193444864834213</v>
      </c>
      <c r="AI90" s="1372">
        <f>СЧЁТ!AJ25</f>
        <v>22.17789046888298</v>
      </c>
      <c r="AJ90" s="1372">
        <f>СЧЁТ!AK25</f>
        <v>22.675989872141365</v>
      </c>
      <c r="AK90" s="1372">
        <f>СЧЁТ!AL25</f>
        <v>23.085153319082956</v>
      </c>
      <c r="AL90" s="1372">
        <f>СЧЁТ!AM25</f>
        <v>24.669713611800503</v>
      </c>
      <c r="AM90" s="1372">
        <f>СЧЁТ!AN25</f>
        <v>25.9000669901399</v>
      </c>
      <c r="AN90" s="1372">
        <f>СЧЁТ!AO25</f>
        <v>27.2144903396469</v>
      </c>
      <c r="AO90" s="1372">
        <f>СЧЁТ!AP25</f>
        <v>28.594634856629245</v>
      </c>
      <c r="AP90" s="1372">
        <f>СЧЁТ!AQ25</f>
        <v>30.04378659946071</v>
      </c>
      <c r="AQ90" s="1372">
        <f>СЧЁТ!AR25</f>
        <v>31.565395929433745</v>
      </c>
      <c r="AR90" s="1372">
        <f>СЧЁТ!AS25</f>
        <v>33.16308572590544</v>
      </c>
      <c r="AS90" s="1372">
        <v>26.07070527462687</v>
      </c>
      <c r="AT90" s="1372">
        <v>26.912676432865677</v>
      </c>
      <c r="AU90" s="1372">
        <v>27.77990672585165</v>
      </c>
      <c r="AV90" s="1372">
        <v>28.673153927627197</v>
      </c>
      <c r="AW90" s="1372">
        <v>29.593198545456016</v>
      </c>
      <c r="AX90" s="287" t="s">
        <v>648</v>
      </c>
    </row>
    <row r="91" ht="17.5" customHeight="1" spans="4:50" x14ac:dyDescent="0.25">
      <c r="D91" s="1335">
        <v>25</v>
      </c>
      <c r="E91" s="1722">
        <v>40585</v>
      </c>
      <c r="F91" s="1349" t="s">
        <v>547</v>
      </c>
      <c r="G91" s="26" t="s">
        <v>866</v>
      </c>
      <c r="H91" s="1458" t="s">
        <v>1592</v>
      </c>
      <c r="I91" s="1458"/>
      <c r="J91" s="1458"/>
      <c r="K91" s="1458"/>
      <c r="L91" s="1458"/>
      <c r="M91" s="1458"/>
      <c r="N91" s="1362">
        <v>0.2881831064229305</v>
      </c>
      <c r="O91" s="1372" t="str">
        <f>СЧЁТ!A31</f>
        <v>экспертный прогноз</v>
      </c>
      <c r="P91" s="1372">
        <f>СЧЁТ!B31</f>
        <v>0</v>
      </c>
      <c r="Q91" s="1372">
        <f>СЧЁТ!C31</f>
        <v>0</v>
      </c>
      <c r="R91" s="1372">
        <f>СЧЁТ!S31</f>
        <v>0.9889005753599999</v>
      </c>
      <c r="S91" s="1372">
        <f>СЧЁТ!T31</f>
        <v>1.00472298456576</v>
      </c>
      <c r="T91" s="1372">
        <f>СЧЁТ!U31</f>
        <v>1.0238127212725092</v>
      </c>
      <c r="U91" s="1372">
        <f>СЧЁТ!V31</f>
        <v>1.0320032230426892</v>
      </c>
      <c r="V91" s="1372">
        <f>СЧЁТ!W31</f>
        <v>1.0330352262657319</v>
      </c>
      <c r="W91" s="1372">
        <f>СЧЁТ!X31</f>
        <v>0.9183683161502356</v>
      </c>
      <c r="X91" s="1372">
        <f>СЧЁТ!Y31</f>
        <v>0.7503069142947425</v>
      </c>
      <c r="Y91" s="1372">
        <f>СЧЁТ!Z31</f>
        <v>0.7375516967517318</v>
      </c>
      <c r="Z91" s="1372">
        <f>СЧЁТ!AA31</f>
        <v>0.7574655925640286</v>
      </c>
      <c r="AA91" s="1372">
        <f>СЧЁТ!AB31</f>
        <v>0.7468610742681322</v>
      </c>
      <c r="AB91" s="1372">
        <f>СЧЁТ!AC31</f>
        <v>0.6871121883266816</v>
      </c>
      <c r="AC91" s="1372">
        <f>СЧЁТ!AD31</f>
        <v>0.6836766273850482</v>
      </c>
      <c r="AD91" s="1372">
        <f>СЧЁТ!AE31</f>
        <v>0.6501764726431808</v>
      </c>
      <c r="AE91" s="1372">
        <f>СЧЁТ!AF31</f>
        <v>0.643674707916749</v>
      </c>
      <c r="AF91" s="1372">
        <f>СЧЁТ!AG31</f>
        <v>0.635950611421748</v>
      </c>
      <c r="AG91" s="1372">
        <f>СЧЁТ!AH31</f>
        <v>0.635950611421748</v>
      </c>
      <c r="AH91" s="1372">
        <f>СЧЁТ!AI31</f>
        <v>0.6175080436905173</v>
      </c>
      <c r="AI91" s="1372">
        <f>СЧЁТ!AJ31</f>
        <v>0.6236831241274224</v>
      </c>
      <c r="AJ91" s="1372">
        <f>СЧЁТ!AK31</f>
        <v>0.6268015397480595</v>
      </c>
      <c r="AK91" s="1372">
        <f>СЧЁТ!AL31</f>
        <v>0.6550076090367222</v>
      </c>
      <c r="AL91" s="1372">
        <f>СЧЁТ!AM31</f>
        <v>0.6818033748609517</v>
      </c>
      <c r="AM91" s="1372">
        <f>СЧЁТ!AN31</f>
        <v>0.7072593523939696</v>
      </c>
      <c r="AN91" s="1372">
        <f>СЧЁТ!AO31</f>
        <v>0.7314425310503367</v>
      </c>
      <c r="AO91" s="1372">
        <f>СЧЁТ!AP31</f>
        <v>0.7544165507738855</v>
      </c>
      <c r="AP91" s="1372">
        <f>СЧЁТ!AQ31</f>
        <v>0.7762418695112567</v>
      </c>
      <c r="AQ91" s="1372">
        <f>СЧЁТ!AR31</f>
        <v>0.7969759223117594</v>
      </c>
      <c r="AR91" s="1372">
        <f>СЧЁТ!AS31</f>
        <v>0.816673272472237</v>
      </c>
      <c r="AS91" s="1372">
        <v>0.5836211371953606</v>
      </c>
      <c r="AT91" s="1372">
        <v>0.5839581277504107</v>
      </c>
      <c r="AU91" s="1372">
        <v>0.5842108706666982</v>
      </c>
      <c r="AV91" s="1372">
        <v>0.5844004278539139</v>
      </c>
      <c r="AW91" s="1372">
        <v>0.5845425957443257</v>
      </c>
      <c r="AX91" s="287" t="s">
        <v>547</v>
      </c>
    </row>
    <row r="92" ht="17.5" customHeight="1" spans="4:50" x14ac:dyDescent="0.25">
      <c r="D92" s="1335">
        <v>26</v>
      </c>
      <c r="E92" s="1719">
        <v>40585</v>
      </c>
      <c r="F92" s="1349" t="s">
        <v>601</v>
      </c>
      <c r="G92" s="26" t="s">
        <v>866</v>
      </c>
      <c r="H92" s="1458" t="s">
        <v>1593</v>
      </c>
      <c r="I92" s="1458"/>
      <c r="J92" s="1458"/>
      <c r="K92" s="1458"/>
      <c r="L92" s="1458"/>
      <c r="M92" s="1458"/>
      <c r="N92" s="1376">
        <v>1.543501104635368</v>
      </c>
      <c r="O92" s="1372">
        <f>СЧЁТ!P32</f>
        <v>1.0551238685898738</v>
      </c>
      <c r="P92" s="1372">
        <f>СЧЁТ!Q32</f>
        <v>1.0637144494078237</v>
      </c>
      <c r="Q92" s="1372">
        <f>СЧЁТ!R32</f>
        <v>0.8831435098620776</v>
      </c>
      <c r="R92" s="1372">
        <f>СЧЁТ!S32</f>
        <v>0.9435169819309864</v>
      </c>
      <c r="S92" s="1372">
        <f>СЧЁТ!T32</f>
        <v>1.2247490822844354</v>
      </c>
      <c r="T92" s="1372">
        <f>СЧЁТ!U32</f>
        <v>1.3476545615734206</v>
      </c>
      <c r="U92" s="1372">
        <f>СЧЁТ!V32</f>
        <v>1.4665088426814834</v>
      </c>
      <c r="V92" s="1372">
        <f>СЧЁТ!W32</f>
        <v>1.6632756085335</v>
      </c>
      <c r="W92" s="1372">
        <f>СЧЁТ!X32</f>
        <v>1.8635096058631688</v>
      </c>
      <c r="X92" s="1372">
        <f>СЧЁТ!Y32</f>
        <v>2.018480610292013</v>
      </c>
      <c r="Y92" s="1372">
        <f>СЧЁТ!Z32</f>
        <v>2.2752161070197054</v>
      </c>
      <c r="Z92" s="1372">
        <f>СЧЁТ!AA32</f>
        <v>2.574224804669774</v>
      </c>
      <c r="AA92" s="1372">
        <f>СЧЁТ!AB32</f>
        <v>2.7497210051148255</v>
      </c>
      <c r="AB92" s="1372">
        <f>СЧЁТ!AC32</f>
        <v>1.8560505362598563</v>
      </c>
      <c r="AC92" s="1372">
        <f>СЧЁТ!AD32</f>
        <v>2.330390730221253</v>
      </c>
      <c r="AD92" s="1372">
        <f>СЧЁТ!AE32</f>
        <v>2.683219177751119</v>
      </c>
      <c r="AE92" s="1372">
        <f>СЧЁТ!AF32</f>
        <v>2.7827564782033063</v>
      </c>
      <c r="AF92" s="1372">
        <f>СЧЁТ!AG32</f>
        <v>2.7806418221752773</v>
      </c>
      <c r="AG92" s="1372">
        <f>СЧЁТ!AH32</f>
        <v>2.5425932511944835</v>
      </c>
      <c r="AH92" s="1372">
        <f>СЧЁТ!AI32</f>
        <v>2.1845595087999583</v>
      </c>
      <c r="AI92" s="1372">
        <f>СЧЁТ!AJ32</f>
        <v>2.1739835580660896</v>
      </c>
      <c r="AJ92" s="1372">
        <f>СЧЁТ!AK32</f>
        <v>2.459327825213312</v>
      </c>
      <c r="AK92" s="1372">
        <f>СЧЁТ!AL32</f>
        <v>2.5430346985333676</v>
      </c>
      <c r="AL92" s="1372">
        <f>СЧЁТ!AM32</f>
        <v>2.593258822525401</v>
      </c>
      <c r="AM92" s="1372">
        <f>СЧЁТ!AN32</f>
        <v>2.6233932969206215</v>
      </c>
      <c r="AN92" s="1372">
        <f>СЧЁТ!AO32</f>
        <v>2.6414739815577537</v>
      </c>
      <c r="AO92" s="1372">
        <f>СЧЁТ!AP32</f>
        <v>2.652322392340033</v>
      </c>
      <c r="AP92" s="1372">
        <f>СЧЁТ!AQ32</f>
        <v>2.658831438809401</v>
      </c>
      <c r="AQ92" s="1372">
        <f>СЧЁТ!AR32</f>
        <v>2.662736866691022</v>
      </c>
      <c r="AR92" s="1372">
        <f>СЧЁТ!AS32</f>
        <v>2.6650801234199943</v>
      </c>
      <c r="AS92" s="1372">
        <v>0.989939108067935</v>
      </c>
      <c r="AT92" s="1372">
        <v>0.9921982418577447</v>
      </c>
      <c r="AU92" s="1372">
        <v>0.9941185055790831</v>
      </c>
      <c r="AV92" s="1372">
        <v>0.9957507297422207</v>
      </c>
      <c r="AW92" s="1372">
        <v>0.9971381202808877</v>
      </c>
      <c r="AX92" s="287" t="s">
        <v>601</v>
      </c>
    </row>
    <row r="93" ht="17.5" customHeight="1" spans="4:50" x14ac:dyDescent="0.25">
      <c r="D93" s="1335">
        <v>27</v>
      </c>
      <c r="E93" s="1719">
        <v>40585</v>
      </c>
      <c r="F93" s="1349" t="s">
        <v>480</v>
      </c>
      <c r="G93" s="26" t="s">
        <v>866</v>
      </c>
      <c r="H93" s="1458" t="s">
        <v>1594</v>
      </c>
      <c r="I93" s="1458"/>
      <c r="J93" s="1458"/>
      <c r="K93" s="1458"/>
      <c r="L93" s="1458"/>
      <c r="M93" s="1458"/>
      <c r="N93" s="1362">
        <v>0.039346290432521365</v>
      </c>
      <c r="O93" s="1372">
        <f>СЧЁТ!P33</f>
        <v>5300.694</v>
      </c>
      <c r="P93" s="1372">
        <f>СЧЁТ!Q33</f>
        <v>5279.491224</v>
      </c>
      <c r="Q93" s="1372">
        <f>СЧЁТ!R33</f>
        <v>5263.652750328</v>
      </c>
      <c r="R93" s="1372">
        <f>СЧЁТ!S33</f>
        <v>5274.180055828657</v>
      </c>
      <c r="S93" s="1372">
        <f>СЧЁТ!T33</f>
        <v>5300.5509561078</v>
      </c>
      <c r="T93" s="1372">
        <f>СЧЁТ!U33</f>
        <v>5348.25591471277</v>
      </c>
      <c r="U93" s="1372">
        <f>СЧЁТ!V33</f>
        <v>5401.7384738598985</v>
      </c>
      <c r="V93" s="1372">
        <f>СЧЁТ!W33</f>
        <v>5471.961074020076</v>
      </c>
      <c r="W93" s="1372">
        <f>СЧЁТ!X33</f>
        <v>5559.512451204397</v>
      </c>
      <c r="X93" s="1372">
        <f>СЧЁТ!Y33</f>
        <v>5665.143187777281</v>
      </c>
      <c r="Y93" s="1372">
        <f>СЧЁТ!Z33</f>
        <v>5801.106624283936</v>
      </c>
      <c r="Z93" s="1372">
        <f>СЧЁТ!AA33</f>
        <v>5980.940929636738</v>
      </c>
      <c r="AA93" s="1372">
        <f>СЧЁТ!AB33</f>
        <v>6196.25480310366</v>
      </c>
      <c r="AB93" s="1372">
        <f>СЧЁТ!AC33</f>
        <v>6394.534956802978</v>
      </c>
      <c r="AC93" s="1372">
        <f>СЧЁТ!AD33</f>
        <v>6586.371005507067</v>
      </c>
      <c r="AD93" s="1372">
        <f>СЧЁТ!AE33</f>
        <v>6849.8258457273505</v>
      </c>
      <c r="AE93" s="1372">
        <f>СЧЁТ!AF33</f>
        <v>7144.3683570936255</v>
      </c>
      <c r="AF93" s="1372">
        <f>СЧЁТ!AG33</f>
        <v>7437.2874597344635</v>
      </c>
      <c r="AG93" s="1372">
        <f>СЧЁТ!AH33</f>
        <v>7712.467095744638</v>
      </c>
      <c r="AH93" s="1372">
        <f>СЧЁТ!AI33</f>
        <v>7959.266042808467</v>
      </c>
      <c r="AI93" s="1372">
        <f>СЧЁТ!AJ33</f>
        <v>8269.677418477997</v>
      </c>
      <c r="AJ93" s="1372">
        <f>СЧЁТ!AK33</f>
        <v>8583.92516038016</v>
      </c>
      <c r="AK93" s="1372">
        <f>СЧЁТ!AL33</f>
        <v>8944.450017116129</v>
      </c>
      <c r="AL93" s="1372">
        <f>СЧЁТ!AM33</f>
        <v>9315.47943646637</v>
      </c>
      <c r="AM93" s="1372">
        <f>СЧЁТ!AN33</f>
        <v>9701.563465887435</v>
      </c>
      <c r="AN93" s="1372">
        <f>СЧЁТ!AO33</f>
        <v>10100.449024754149</v>
      </c>
      <c r="AO93" s="1372">
        <f>СЧЁТ!AP33</f>
        <v>10526.2325363394</v>
      </c>
      <c r="AP93" s="1372">
        <f>СЧЁТ!AQ33</f>
        <v>10976.127338183813</v>
      </c>
      <c r="AQ93" s="1372">
        <f>СЧЁТ!AR33</f>
        <v>11450.376438115263</v>
      </c>
      <c r="AR93" s="1372">
        <f>СЧЁТ!AS33</f>
        <v>11948.374451382973</v>
      </c>
      <c r="AS93" s="1372">
        <v>0.08605604970767063</v>
      </c>
      <c r="AT93" s="1372">
        <v>0.08605605126830342</v>
      </c>
      <c r="AU93" s="1372">
        <v>0.08605605189255654</v>
      </c>
      <c r="AV93" s="1372">
        <v>0.08605605214225778</v>
      </c>
      <c r="AW93" s="1372">
        <v>0.08605605224213828</v>
      </c>
      <c r="AX93" s="287" t="s">
        <v>480</v>
      </c>
    </row>
    <row r="94" ht="17.5" customHeight="1" spans="4:50" x14ac:dyDescent="0.25">
      <c r="D94" s="1335">
        <v>28</v>
      </c>
      <c r="E94" s="1719">
        <v>40585</v>
      </c>
      <c r="F94" s="1349" t="s">
        <v>483</v>
      </c>
      <c r="G94" s="26" t="s">
        <v>866</v>
      </c>
      <c r="H94" s="1458" t="s">
        <v>1595</v>
      </c>
      <c r="I94" s="1458"/>
      <c r="J94" s="1458"/>
      <c r="K94" s="1458"/>
      <c r="L94" s="1458"/>
      <c r="M94" s="1458"/>
      <c r="N94" s="1362">
        <v>0.05413642837764514</v>
      </c>
      <c r="O94" s="1372">
        <f>СЧЁТ!P34</f>
        <v>0</v>
      </c>
      <c r="P94" s="1372">
        <f>СЧЁТ!Q34</f>
        <v>0</v>
      </c>
      <c r="Q94" s="1372">
        <f>СЧЁТ!R34</f>
        <v>0</v>
      </c>
      <c r="R94" s="1372">
        <f>СЧЁТ!S34</f>
        <v>0</v>
      </c>
      <c r="S94" s="1372">
        <f>СЧЁТ!T34</f>
        <v>0</v>
      </c>
      <c r="T94" s="1372">
        <f>СЧЁТ!U34</f>
        <v>0</v>
      </c>
      <c r="U94" s="1372">
        <f>СЧЁТ!V34</f>
        <v>0</v>
      </c>
      <c r="V94" s="1372">
        <f>СЧЁТ!W34</f>
        <v>0</v>
      </c>
      <c r="W94" s="1372">
        <f>СЧЁТ!X34</f>
        <v>0</v>
      </c>
      <c r="X94" s="1372">
        <f>СЧЁТ!Y34</f>
        <v>0</v>
      </c>
      <c r="Y94" s="1372">
        <f>СЧЁТ!Z34</f>
        <v>0</v>
      </c>
      <c r="Z94" s="1372">
        <f>СЧЁТ!AA34</f>
        <v>0</v>
      </c>
      <c r="AA94" s="1372">
        <f>СЧЁТ!AB34</f>
        <v>0</v>
      </c>
      <c r="AB94" s="1372">
        <f>СЧЁТ!AC34</f>
        <v>0</v>
      </c>
      <c r="AC94" s="1372">
        <f>СЧЁТ!AD34</f>
        <v>0</v>
      </c>
      <c r="AD94" s="1372">
        <f>СЧЁТ!AE34</f>
        <v>0</v>
      </c>
      <c r="AE94" s="1372">
        <f>СЧЁТ!AF34</f>
        <v>0</v>
      </c>
      <c r="AF94" s="1372">
        <f>СЧЁТ!AG34</f>
        <v>0</v>
      </c>
      <c r="AG94" s="1372">
        <f>СЧЁТ!AH34</f>
        <v>0</v>
      </c>
      <c r="AH94" s="1372">
        <f>СЧЁТ!AI34</f>
        <v>0</v>
      </c>
      <c r="AI94" s="1372">
        <f>СЧЁТ!AJ34</f>
        <v>0</v>
      </c>
      <c r="AJ94" s="1372">
        <f>СЧЁТ!AK34</f>
        <v>0</v>
      </c>
      <c r="AK94" s="1372">
        <f>СЧЁТ!AL34</f>
        <v>0</v>
      </c>
      <c r="AL94" s="1372">
        <f>СЧЁТ!AM34</f>
        <v>0</v>
      </c>
      <c r="AM94" s="1372">
        <f>СЧЁТ!AN34</f>
        <v>0</v>
      </c>
      <c r="AN94" s="1372">
        <f>СЧЁТ!AO34</f>
        <v>0</v>
      </c>
      <c r="AO94" s="1372">
        <f>СЧЁТ!AP34</f>
        <v>0</v>
      </c>
      <c r="AP94" s="1372">
        <f>СЧЁТ!AQ34</f>
        <v>0</v>
      </c>
      <c r="AQ94" s="1372">
        <f>СЧЁТ!AR34</f>
        <v>0</v>
      </c>
      <c r="AR94" s="1372">
        <f>СЧЁТ!AS34</f>
        <v>0</v>
      </c>
      <c r="AS94" s="1372">
        <v>0.10008202763735707</v>
      </c>
      <c r="AT94" s="1372">
        <v>0.100082029355344</v>
      </c>
      <c r="AU94" s="1372">
        <v>0.10008203004253877</v>
      </c>
      <c r="AV94" s="1372">
        <v>0.10008203031741668</v>
      </c>
      <c r="AW94" s="1372">
        <v>0.10008203042736784</v>
      </c>
      <c r="AX94" s="287" t="s">
        <v>483</v>
      </c>
    </row>
    <row r="95" ht="17.5" customHeight="1" spans="4:50" x14ac:dyDescent="0.25">
      <c r="D95" s="1335">
        <v>29</v>
      </c>
      <c r="E95" s="1719">
        <v>40585</v>
      </c>
      <c r="F95" s="1349" t="s">
        <v>407</v>
      </c>
      <c r="G95" s="26" t="s">
        <v>866</v>
      </c>
      <c r="H95" s="1458" t="s">
        <v>1597</v>
      </c>
      <c r="I95" s="1458"/>
      <c r="J95" s="1458"/>
      <c r="K95" s="1458"/>
      <c r="L95" s="1458"/>
      <c r="M95" s="1458"/>
      <c r="N95" s="1362">
        <v>0.34814482345900655</v>
      </c>
      <c r="O95" s="1372">
        <f>СЧЁТ!P35</f>
        <v>0</v>
      </c>
      <c r="P95" s="1372">
        <f>СЧЁТ!Q35</f>
        <v>0</v>
      </c>
      <c r="Q95" s="1372">
        <f>СЧЁТ!R35</f>
        <v>0</v>
      </c>
      <c r="R95" s="1372">
        <f>СЧЁТ!S35</f>
        <v>0</v>
      </c>
      <c r="S95" s="1372">
        <f>СЧЁТ!T35</f>
        <v>0</v>
      </c>
      <c r="T95" s="1372">
        <f>СЧЁТ!U35</f>
        <v>0</v>
      </c>
      <c r="U95" s="1372">
        <f>СЧЁТ!V35</f>
        <v>0</v>
      </c>
      <c r="V95" s="1372">
        <f>СЧЁТ!W35</f>
        <v>0</v>
      </c>
      <c r="W95" s="1372">
        <f>СЧЁТ!X35</f>
        <v>0</v>
      </c>
      <c r="X95" s="1372">
        <f>СЧЁТ!Y35</f>
        <v>0</v>
      </c>
      <c r="Y95" s="1372">
        <f>СЧЁТ!Z35</f>
        <v>0</v>
      </c>
      <c r="Z95" s="1372">
        <f>СЧЁТ!AA35</f>
        <v>0</v>
      </c>
      <c r="AA95" s="1372">
        <f>СЧЁТ!AB35</f>
        <v>0</v>
      </c>
      <c r="AB95" s="1372">
        <f>СЧЁТ!AC35</f>
        <v>0</v>
      </c>
      <c r="AC95" s="1372">
        <f>СЧЁТ!AD35</f>
        <v>0</v>
      </c>
      <c r="AD95" s="1372">
        <f>СЧЁТ!AE35</f>
        <v>0</v>
      </c>
      <c r="AE95" s="1372">
        <f>СЧЁТ!AF35</f>
        <v>0</v>
      </c>
      <c r="AF95" s="1372">
        <f>СЧЁТ!AG35</f>
        <v>0</v>
      </c>
      <c r="AG95" s="1372">
        <f>СЧЁТ!AH35</f>
        <v>0</v>
      </c>
      <c r="AH95" s="1372">
        <f>СЧЁТ!AI35</f>
        <v>0</v>
      </c>
      <c r="AI95" s="1372">
        <f>СЧЁТ!AJ35</f>
        <v>0</v>
      </c>
      <c r="AJ95" s="1372">
        <f>СЧЁТ!AK35</f>
        <v>0</v>
      </c>
      <c r="AK95" s="1372">
        <f>СЧЁТ!AL35</f>
        <v>0</v>
      </c>
      <c r="AL95" s="1372">
        <f>СЧЁТ!AM35</f>
        <v>0</v>
      </c>
      <c r="AM95" s="1372">
        <f>СЧЁТ!AN35</f>
        <v>0</v>
      </c>
      <c r="AN95" s="1372">
        <f>СЧЁТ!AO35</f>
        <v>0</v>
      </c>
      <c r="AO95" s="1372">
        <f>СЧЁТ!AP35</f>
        <v>0</v>
      </c>
      <c r="AP95" s="1372">
        <f>СЧЁТ!AQ35</f>
        <v>0</v>
      </c>
      <c r="AQ95" s="1372">
        <f>СЧЁТ!AR35</f>
        <v>0</v>
      </c>
      <c r="AR95" s="1372">
        <f>СЧЁТ!AS35</f>
        <v>0</v>
      </c>
      <c r="AS95" s="1372">
        <v>0.3232985348833278</v>
      </c>
      <c r="AT95" s="1372">
        <v>0.3232985348833278</v>
      </c>
      <c r="AU95" s="1372">
        <v>0.3232985348833278</v>
      </c>
      <c r="AV95" s="1372">
        <v>0.3232985348833278</v>
      </c>
      <c r="AW95" s="1372">
        <v>0.3232985348833278</v>
      </c>
      <c r="AX95" s="287" t="s">
        <v>407</v>
      </c>
    </row>
    <row r="96" ht="17.5" customHeight="1" spans="4:50" x14ac:dyDescent="0.25">
      <c r="D96" s="1335">
        <v>30</v>
      </c>
      <c r="E96" s="1719">
        <v>40558</v>
      </c>
      <c r="F96" s="1349" t="s">
        <v>427</v>
      </c>
      <c r="G96" s="26" t="s">
        <v>277</v>
      </c>
      <c r="H96" s="1458" t="s">
        <v>1598</v>
      </c>
      <c r="I96" s="1458"/>
      <c r="J96" s="1458"/>
      <c r="K96" s="1458"/>
      <c r="L96" s="1458"/>
      <c r="M96" s="1458"/>
      <c r="N96" s="1368">
        <v>486.1</v>
      </c>
      <c r="O96" s="1372" t="e">
        <f>СЧЁТ!#REF!</f>
        <v>#REF!</v>
      </c>
      <c r="P96" s="1372" t="e">
        <f>СЧЁТ!#REF!</f>
        <v>#REF!</v>
      </c>
      <c r="Q96" s="1372" t="e">
        <f>СЧЁТ!#REF!</f>
        <v>#REF!</v>
      </c>
      <c r="R96" s="1372" t="e">
        <f>СЧЁТ!#REF!</f>
        <v>#REF!</v>
      </c>
      <c r="S96" s="1372" t="e">
        <f>СЧЁТ!#REF!</f>
        <v>#REF!</v>
      </c>
      <c r="T96" s="1372" t="e">
        <f>СЧЁТ!#REF!</f>
        <v>#REF!</v>
      </c>
      <c r="U96" s="1372" t="e">
        <f>СЧЁТ!#REF!</f>
        <v>#REF!</v>
      </c>
      <c r="V96" s="1372" t="e">
        <f>СЧЁТ!#REF!</f>
        <v>#REF!</v>
      </c>
      <c r="W96" s="1372" t="e">
        <f>СЧЁТ!#REF!</f>
        <v>#REF!</v>
      </c>
      <c r="X96" s="1372" t="e">
        <f>СЧЁТ!#REF!</f>
        <v>#REF!</v>
      </c>
      <c r="Y96" s="1372" t="e">
        <f>СЧЁТ!#REF!</f>
        <v>#REF!</v>
      </c>
      <c r="Z96" s="1372" t="e">
        <f>СЧЁТ!#REF!</f>
        <v>#REF!</v>
      </c>
      <c r="AA96" s="1372" t="e">
        <f>СЧЁТ!#REF!</f>
        <v>#REF!</v>
      </c>
      <c r="AB96" s="1372" t="e">
        <f>СЧЁТ!#REF!</f>
        <v>#REF!</v>
      </c>
      <c r="AC96" s="1372" t="e">
        <f>СЧЁТ!#REF!</f>
        <v>#REF!</v>
      </c>
      <c r="AD96" s="1372" t="e">
        <f>СЧЁТ!#REF!</f>
        <v>#REF!</v>
      </c>
      <c r="AE96" s="1372" t="e">
        <f>СЧЁТ!#REF!</f>
        <v>#REF!</v>
      </c>
      <c r="AF96" s="1372" t="e">
        <f>СЧЁТ!#REF!</f>
        <v>#REF!</v>
      </c>
      <c r="AG96" s="1372" t="e">
        <f>СЧЁТ!#REF!</f>
        <v>#REF!</v>
      </c>
      <c r="AH96" s="1372" t="e">
        <f>СЧЁТ!#REF!</f>
        <v>#REF!</v>
      </c>
      <c r="AI96" s="1372" t="e">
        <f>СЧЁТ!#REF!</f>
        <v>#REF!</v>
      </c>
      <c r="AJ96" s="1372" t="e">
        <f>СЧЁТ!#REF!</f>
        <v>#REF!</v>
      </c>
      <c r="AK96" s="1372" t="e">
        <f>СЧЁТ!#REF!</f>
        <v>#REF!</v>
      </c>
      <c r="AL96" s="1372" t="e">
        <f>СЧЁТ!#REF!</f>
        <v>#REF!</v>
      </c>
      <c r="AM96" s="1372" t="e">
        <f>СЧЁТ!#REF!</f>
        <v>#REF!</v>
      </c>
      <c r="AN96" s="1372" t="e">
        <f>СЧЁТ!#REF!</f>
        <v>#REF!</v>
      </c>
      <c r="AO96" s="1372" t="e">
        <f>СЧЁТ!#REF!</f>
        <v>#REF!</v>
      </c>
      <c r="AP96" s="1372" t="e">
        <f>СЧЁТ!#REF!</f>
        <v>#REF!</v>
      </c>
      <c r="AQ96" s="1372" t="e">
        <f>СЧЁТ!#REF!</f>
        <v>#REF!</v>
      </c>
      <c r="AR96" s="1372" t="e">
        <f>СЧЁТ!#REF!</f>
        <v>#REF!</v>
      </c>
      <c r="AX96" s="287" t="s">
        <v>427</v>
      </c>
    </row>
    <row r="97" ht="17.5" customHeight="1" spans="4:50" x14ac:dyDescent="0.25">
      <c r="D97" s="1335">
        <v>31</v>
      </c>
      <c r="E97" s="1719">
        <v>40558</v>
      </c>
      <c r="F97" s="1349" t="s">
        <v>424</v>
      </c>
      <c r="G97" s="26" t="s">
        <v>277</v>
      </c>
      <c r="H97" s="1458" t="s">
        <v>1599</v>
      </c>
      <c r="I97" s="1458"/>
      <c r="J97" s="1458"/>
      <c r="K97" s="1458"/>
      <c r="L97" s="1458"/>
      <c r="M97" s="1458"/>
      <c r="N97" s="1368">
        <v>610.792</v>
      </c>
      <c r="O97" s="1372" t="e">
        <f>СЧЁТ!#REF!</f>
        <v>#REF!</v>
      </c>
      <c r="P97" s="1372" t="e">
        <f>СЧЁТ!#REF!</f>
        <v>#REF!</v>
      </c>
      <c r="Q97" s="1372" t="e">
        <f>СЧЁТ!#REF!</f>
        <v>#REF!</v>
      </c>
      <c r="R97" s="1372" t="e">
        <f>СЧЁТ!#REF!</f>
        <v>#REF!</v>
      </c>
      <c r="S97" s="1372" t="e">
        <f>СЧЁТ!#REF!</f>
        <v>#REF!</v>
      </c>
      <c r="T97" s="1372" t="e">
        <f>СЧЁТ!#REF!</f>
        <v>#REF!</v>
      </c>
      <c r="U97" s="1372" t="e">
        <f>СЧЁТ!#REF!</f>
        <v>#REF!</v>
      </c>
      <c r="V97" s="1372" t="e">
        <f>СЧЁТ!#REF!</f>
        <v>#REF!</v>
      </c>
      <c r="W97" s="1372" t="e">
        <f>СЧЁТ!#REF!</f>
        <v>#REF!</v>
      </c>
      <c r="X97" s="1372" t="e">
        <f>СЧЁТ!#REF!</f>
        <v>#REF!</v>
      </c>
      <c r="Y97" s="1372" t="e">
        <f>СЧЁТ!#REF!</f>
        <v>#REF!</v>
      </c>
      <c r="Z97" s="1372" t="e">
        <f>СЧЁТ!#REF!</f>
        <v>#REF!</v>
      </c>
      <c r="AA97" s="1372" t="e">
        <f>СЧЁТ!#REF!</f>
        <v>#REF!</v>
      </c>
      <c r="AB97" s="1372" t="e">
        <f>СЧЁТ!#REF!</f>
        <v>#REF!</v>
      </c>
      <c r="AC97" s="1372" t="e">
        <f>СЧЁТ!#REF!</f>
        <v>#REF!</v>
      </c>
      <c r="AD97" s="1372" t="e">
        <f>СЧЁТ!#REF!</f>
        <v>#REF!</v>
      </c>
      <c r="AE97" s="1372" t="e">
        <f>СЧЁТ!#REF!</f>
        <v>#REF!</v>
      </c>
      <c r="AF97" s="1372" t="e">
        <f>СЧЁТ!#REF!</f>
        <v>#REF!</v>
      </c>
      <c r="AG97" s="1372" t="e">
        <f>СЧЁТ!#REF!</f>
        <v>#REF!</v>
      </c>
      <c r="AH97" s="1372" t="e">
        <f>СЧЁТ!#REF!</f>
        <v>#REF!</v>
      </c>
      <c r="AI97" s="1372" t="e">
        <f>СЧЁТ!#REF!</f>
        <v>#REF!</v>
      </c>
      <c r="AJ97" s="1372" t="e">
        <f>СЧЁТ!#REF!</f>
        <v>#REF!</v>
      </c>
      <c r="AK97" s="1372" t="e">
        <f>СЧЁТ!#REF!</f>
        <v>#REF!</v>
      </c>
      <c r="AL97" s="1372" t="e">
        <f>СЧЁТ!#REF!</f>
        <v>#REF!</v>
      </c>
      <c r="AM97" s="1372" t="e">
        <f>СЧЁТ!#REF!</f>
        <v>#REF!</v>
      </c>
      <c r="AN97" s="1372" t="e">
        <f>СЧЁТ!#REF!</f>
        <v>#REF!</v>
      </c>
      <c r="AO97" s="1372" t="e">
        <f>СЧЁТ!#REF!</f>
        <v>#REF!</v>
      </c>
      <c r="AP97" s="1372" t="e">
        <f>СЧЁТ!#REF!</f>
        <v>#REF!</v>
      </c>
      <c r="AQ97" s="1372" t="e">
        <f>СЧЁТ!#REF!</f>
        <v>#REF!</v>
      </c>
      <c r="AR97" s="1372" t="e">
        <f>СЧЁТ!#REF!</f>
        <v>#REF!</v>
      </c>
      <c r="AX97" s="287" t="s">
        <v>424</v>
      </c>
    </row>
    <row r="98" ht="17.5" customHeight="1" spans="4:50" x14ac:dyDescent="0.25">
      <c r="D98" s="1335">
        <v>32</v>
      </c>
      <c r="E98" s="1719">
        <v>40558</v>
      </c>
      <c r="F98" s="1349" t="s">
        <v>1076</v>
      </c>
      <c r="G98" s="26" t="s">
        <v>277</v>
      </c>
      <c r="H98" s="1458" t="s">
        <v>1258</v>
      </c>
      <c r="I98" s="1458"/>
      <c r="J98" s="1458"/>
      <c r="K98" s="1458"/>
      <c r="L98" s="1458"/>
      <c r="M98" s="1458"/>
      <c r="N98" s="1371">
        <v>910.9</v>
      </c>
      <c r="O98" s="1372" t="e">
        <f>СЧЁТ!#REF!</f>
        <v>#REF!</v>
      </c>
      <c r="P98" s="1372" t="e">
        <f>СЧЁТ!#REF!</f>
        <v>#REF!</v>
      </c>
      <c r="Q98" s="1372" t="e">
        <f>СЧЁТ!#REF!</f>
        <v>#REF!</v>
      </c>
      <c r="R98" s="1372" t="e">
        <f>СЧЁТ!#REF!</f>
        <v>#REF!</v>
      </c>
      <c r="S98" s="1372" t="e">
        <f>СЧЁТ!#REF!</f>
        <v>#REF!</v>
      </c>
      <c r="T98" s="1372" t="e">
        <f>СЧЁТ!#REF!</f>
        <v>#REF!</v>
      </c>
      <c r="U98" s="1372" t="e">
        <f>СЧЁТ!#REF!</f>
        <v>#REF!</v>
      </c>
      <c r="V98" s="1372" t="e">
        <f>СЧЁТ!#REF!</f>
        <v>#REF!</v>
      </c>
      <c r="W98" s="1372" t="e">
        <f>СЧЁТ!#REF!</f>
        <v>#REF!</v>
      </c>
      <c r="X98" s="1372" t="e">
        <f>СЧЁТ!#REF!</f>
        <v>#REF!</v>
      </c>
      <c r="Y98" s="1372" t="e">
        <f>СЧЁТ!#REF!</f>
        <v>#REF!</v>
      </c>
      <c r="Z98" s="1372" t="e">
        <f>СЧЁТ!#REF!</f>
        <v>#REF!</v>
      </c>
      <c r="AA98" s="1372" t="e">
        <f>СЧЁТ!#REF!</f>
        <v>#REF!</v>
      </c>
      <c r="AB98" s="1372" t="e">
        <f>СЧЁТ!#REF!</f>
        <v>#REF!</v>
      </c>
      <c r="AC98" s="1372" t="e">
        <f>СЧЁТ!#REF!</f>
        <v>#REF!</v>
      </c>
      <c r="AD98" s="1372" t="e">
        <f>СЧЁТ!#REF!</f>
        <v>#REF!</v>
      </c>
      <c r="AE98" s="1372" t="e">
        <f>СЧЁТ!#REF!</f>
        <v>#REF!</v>
      </c>
      <c r="AF98" s="1372" t="e">
        <f>СЧЁТ!#REF!</f>
        <v>#REF!</v>
      </c>
      <c r="AG98" s="1372" t="e">
        <f>СЧЁТ!#REF!</f>
        <v>#REF!</v>
      </c>
      <c r="AH98" s="1372" t="e">
        <f>СЧЁТ!#REF!</f>
        <v>#REF!</v>
      </c>
      <c r="AI98" s="1372" t="e">
        <f>СЧЁТ!#REF!</f>
        <v>#REF!</v>
      </c>
      <c r="AJ98" s="1372" t="e">
        <f>СЧЁТ!#REF!</f>
        <v>#REF!</v>
      </c>
      <c r="AK98" s="1372" t="e">
        <f>СЧЁТ!#REF!</f>
        <v>#REF!</v>
      </c>
      <c r="AL98" s="1372" t="e">
        <f>СЧЁТ!#REF!</f>
        <v>#REF!</v>
      </c>
      <c r="AM98" s="1372" t="e">
        <f>СЧЁТ!#REF!</f>
        <v>#REF!</v>
      </c>
      <c r="AN98" s="1372" t="e">
        <f>СЧЁТ!#REF!</f>
        <v>#REF!</v>
      </c>
      <c r="AO98" s="1372" t="e">
        <f>СЧЁТ!#REF!</f>
        <v>#REF!</v>
      </c>
      <c r="AP98" s="1372" t="e">
        <f>СЧЁТ!#REF!</f>
        <v>#REF!</v>
      </c>
      <c r="AQ98" s="1372" t="e">
        <f>СЧЁТ!#REF!</f>
        <v>#REF!</v>
      </c>
      <c r="AR98" s="1372" t="e">
        <f>СЧЁТ!#REF!</f>
        <v>#REF!</v>
      </c>
      <c r="AX98" s="287" t="s">
        <v>1076</v>
      </c>
    </row>
    <row r="99" ht="17.5" customHeight="1" spans="4:50" x14ac:dyDescent="0.25">
      <c r="D99" s="1335">
        <v>33</v>
      </c>
      <c r="E99" s="1719">
        <v>40558</v>
      </c>
      <c r="F99" s="1349" t="s">
        <v>281</v>
      </c>
      <c r="G99" s="26" t="s">
        <v>277</v>
      </c>
      <c r="H99" s="1458" t="s">
        <v>1600</v>
      </c>
      <c r="I99" s="1458"/>
      <c r="J99" s="1458"/>
      <c r="K99" s="1458"/>
      <c r="L99" s="1458"/>
      <c r="M99" s="1458"/>
      <c r="N99" s="1368">
        <v>2767.6205</v>
      </c>
      <c r="O99" s="1372">
        <f>СЧЁТ!P39</f>
        <v>0</v>
      </c>
      <c r="P99" s="1372">
        <f>СЧЁТ!Q39</f>
        <v>0</v>
      </c>
      <c r="Q99" s="1372">
        <f>СЧЁТ!R39</f>
        <v>0</v>
      </c>
      <c r="R99" s="1372">
        <f>СЧЁТ!S39</f>
        <v>0</v>
      </c>
      <c r="S99" s="1372">
        <f>СЧЁТ!T39</f>
        <v>0</v>
      </c>
      <c r="T99" s="1372">
        <f>СЧЁТ!U39</f>
        <v>0</v>
      </c>
      <c r="U99" s="1372">
        <f>СЧЁТ!V39</f>
        <v>0</v>
      </c>
      <c r="V99" s="1372">
        <f>СЧЁТ!W39</f>
        <v>0</v>
      </c>
      <c r="W99" s="1372">
        <f>СЧЁТ!X39</f>
        <v>0</v>
      </c>
      <c r="X99" s="1372">
        <f>СЧЁТ!Y39</f>
        <v>0</v>
      </c>
      <c r="Y99" s="1372">
        <f>СЧЁТ!Z39</f>
        <v>0</v>
      </c>
      <c r="Z99" s="1372">
        <f>СЧЁТ!AA39</f>
        <v>0</v>
      </c>
      <c r="AA99" s="1372">
        <f>СЧЁТ!AB39</f>
        <v>0</v>
      </c>
      <c r="AB99" s="1372">
        <f>СЧЁТ!AC39</f>
        <v>0</v>
      </c>
      <c r="AC99" s="1372">
        <f>СЧЁТ!AD39</f>
        <v>0</v>
      </c>
      <c r="AD99" s="1372">
        <f>СЧЁТ!AE39</f>
        <v>0</v>
      </c>
      <c r="AE99" s="1372">
        <f>СЧЁТ!AF39</f>
        <v>0</v>
      </c>
      <c r="AF99" s="1372">
        <f>СЧЁТ!AG39</f>
        <v>0</v>
      </c>
      <c r="AG99" s="1372">
        <f>СЧЁТ!AH39</f>
        <v>0</v>
      </c>
      <c r="AH99" s="1372">
        <f>СЧЁТ!AI39</f>
        <v>0</v>
      </c>
      <c r="AI99" s="1372">
        <f>СЧЁТ!AJ39</f>
        <v>0</v>
      </c>
      <c r="AJ99" s="1372">
        <f>СЧЁТ!AK39</f>
        <v>0</v>
      </c>
      <c r="AK99" s="1372">
        <f>СЧЁТ!AL39</f>
        <v>0</v>
      </c>
      <c r="AL99" s="1372">
        <f>СЧЁТ!AM39</f>
        <v>0</v>
      </c>
      <c r="AM99" s="1372">
        <f>СЧЁТ!AN39</f>
        <v>0</v>
      </c>
      <c r="AN99" s="1372">
        <f>СЧЁТ!AO39</f>
        <v>0</v>
      </c>
      <c r="AO99" s="1372">
        <f>СЧЁТ!AP39</f>
        <v>0</v>
      </c>
      <c r="AP99" s="1372">
        <f>СЧЁТ!AQ39</f>
        <v>0</v>
      </c>
      <c r="AQ99" s="1372">
        <f>СЧЁТ!AR39</f>
        <v>0</v>
      </c>
      <c r="AR99" s="1372">
        <f>СЧЁТ!AS39</f>
        <v>0</v>
      </c>
      <c r="AX99" s="287" t="s">
        <v>281</v>
      </c>
    </row>
    <row r="100" ht="17.5" customHeight="1" spans="4:50" x14ac:dyDescent="0.25">
      <c r="D100" s="1335">
        <v>34</v>
      </c>
      <c r="E100" s="1719">
        <v>40558</v>
      </c>
      <c r="F100" s="1349" t="s">
        <v>316</v>
      </c>
      <c r="G100" s="26" t="s">
        <v>277</v>
      </c>
      <c r="H100" s="1458" t="s">
        <v>1601</v>
      </c>
      <c r="I100" s="1458"/>
      <c r="J100" s="1458"/>
      <c r="K100" s="1458"/>
      <c r="L100" s="1458"/>
      <c r="M100" s="1458"/>
      <c r="N100" s="1368">
        <v>108.89559999999999</v>
      </c>
      <c r="O100" s="1372">
        <f>СЧЁТ!P40</f>
        <v>0</v>
      </c>
      <c r="P100" s="1372">
        <f>СЧЁТ!Q40</f>
        <v>0</v>
      </c>
      <c r="Q100" s="1372">
        <f>СЧЁТ!R40</f>
        <v>0</v>
      </c>
      <c r="R100" s="1372">
        <f>СЧЁТ!S40</f>
        <v>0</v>
      </c>
      <c r="S100" s="1372">
        <f>СЧЁТ!T40</f>
        <v>0</v>
      </c>
      <c r="T100" s="1372">
        <f>СЧЁТ!U40</f>
        <v>0</v>
      </c>
      <c r="U100" s="1372">
        <f>СЧЁТ!V40</f>
        <v>0</v>
      </c>
      <c r="V100" s="1372">
        <f>СЧЁТ!W40</f>
        <v>0</v>
      </c>
      <c r="W100" s="1372">
        <f>СЧЁТ!X40</f>
        <v>0</v>
      </c>
      <c r="X100" s="1372">
        <f>СЧЁТ!Y40</f>
        <v>0</v>
      </c>
      <c r="Y100" s="1372">
        <f>СЧЁТ!Z40</f>
        <v>0</v>
      </c>
      <c r="Z100" s="1372">
        <f>СЧЁТ!AA40</f>
        <v>0</v>
      </c>
      <c r="AA100" s="1372">
        <f>СЧЁТ!AB40</f>
        <v>0</v>
      </c>
      <c r="AB100" s="1372">
        <f>СЧЁТ!AC40</f>
        <v>0</v>
      </c>
      <c r="AC100" s="1372">
        <f>СЧЁТ!AD40</f>
        <v>0</v>
      </c>
      <c r="AD100" s="1372">
        <f>СЧЁТ!AE40</f>
        <v>0</v>
      </c>
      <c r="AE100" s="1372">
        <f>СЧЁТ!AF40</f>
        <v>0</v>
      </c>
      <c r="AF100" s="1372">
        <f>СЧЁТ!AG40</f>
        <v>0</v>
      </c>
      <c r="AG100" s="1372">
        <f>СЧЁТ!AH40</f>
        <v>0</v>
      </c>
      <c r="AH100" s="1372">
        <f>СЧЁТ!AI40</f>
        <v>0</v>
      </c>
      <c r="AI100" s="1372">
        <f>СЧЁТ!AJ40</f>
        <v>0</v>
      </c>
      <c r="AJ100" s="1372">
        <f>СЧЁТ!AK40</f>
        <v>0</v>
      </c>
      <c r="AK100" s="1372">
        <f>СЧЁТ!AL40</f>
        <v>0</v>
      </c>
      <c r="AL100" s="1372">
        <f>СЧЁТ!AM40</f>
        <v>0</v>
      </c>
      <c r="AM100" s="1372">
        <f>СЧЁТ!AN40</f>
        <v>0</v>
      </c>
      <c r="AN100" s="1372">
        <f>СЧЁТ!AO40</f>
        <v>0</v>
      </c>
      <c r="AO100" s="1372">
        <f>СЧЁТ!AP40</f>
        <v>0</v>
      </c>
      <c r="AP100" s="1372">
        <f>СЧЁТ!AQ40</f>
        <v>0</v>
      </c>
      <c r="AQ100" s="1372">
        <f>СЧЁТ!AR40</f>
        <v>0</v>
      </c>
      <c r="AR100" s="1372">
        <f>СЧЁТ!AS40</f>
        <v>0</v>
      </c>
      <c r="AX100" s="287" t="s">
        <v>316</v>
      </c>
    </row>
    <row r="101" ht="17.5" customHeight="1" spans="4:50" x14ac:dyDescent="0.25">
      <c r="D101" s="1335">
        <v>35</v>
      </c>
      <c r="E101" s="1719">
        <v>40558</v>
      </c>
      <c r="F101" s="1349" t="s">
        <v>1602</v>
      </c>
      <c r="G101" s="26" t="s">
        <v>277</v>
      </c>
      <c r="H101" s="1458" t="s">
        <v>1603</v>
      </c>
      <c r="I101" s="1458"/>
      <c r="J101" s="1458"/>
      <c r="K101" s="1458"/>
      <c r="L101" s="1458"/>
      <c r="M101" s="1458"/>
      <c r="N101" s="1371">
        <v>2876.5161000000003</v>
      </c>
      <c r="O101" s="1372">
        <f>СЧЁТ!P41</f>
        <v>0.5075047014598465</v>
      </c>
      <c r="P101" s="1372">
        <f>СЧЁТ!Q41</f>
        <v>0.5166764731729763</v>
      </c>
      <c r="Q101" s="1372">
        <f>СЧЁТ!R41</f>
        <v>0.4918013771726725</v>
      </c>
      <c r="R101" s="1372">
        <f>СЧЁТ!S41</f>
        <v>0.5192872824837201</v>
      </c>
      <c r="S101" s="1372">
        <f>СЧЁТ!T41</f>
        <v>0.5652739174499402</v>
      </c>
      <c r="T101" s="1372">
        <f>СЧЁТ!U41</f>
        <v>0.587683190688788</v>
      </c>
      <c r="U101" s="1372">
        <f>СЧЁТ!V41</f>
        <v>0.6074665852268265</v>
      </c>
      <c r="V101" s="1372">
        <f>СЧЁТ!W41</f>
        <v>0.6452458496585047</v>
      </c>
      <c r="W101" s="1372">
        <f>СЧЁТ!X41</f>
        <v>0.6858912575110089</v>
      </c>
      <c r="X101" s="1372">
        <f>СЧЁТ!Y41</f>
        <v>0.7114691454260414</v>
      </c>
      <c r="Y101" s="1372">
        <f>СЧЁТ!Z41</f>
        <v>0.7566307611024992</v>
      </c>
      <c r="Z101" s="1372">
        <f>СЧЁТ!AA41</f>
        <v>0.7984619477007946</v>
      </c>
      <c r="AA101" s="1372">
        <f>СЧЁТ!AB41</f>
        <v>0.8092519740210756</v>
      </c>
      <c r="AB101" s="1372">
        <f>СЧЁТ!AC41</f>
        <v>0.7261311317282132</v>
      </c>
      <c r="AC101" s="1372">
        <f>СЧЁТ!AD41</f>
        <v>0.7402307653540036</v>
      </c>
      <c r="AD101" s="1372">
        <f>СЧЁТ!AE41</f>
        <v>0.7423660464079095</v>
      </c>
      <c r="AE101" s="1372">
        <f>СЧЁТ!AF41</f>
        <v>0.7395190050027017</v>
      </c>
      <c r="AF101" s="1372">
        <f>СЧЁТ!AG41</f>
        <v>0.7253111470775779</v>
      </c>
      <c r="AG101" s="1372">
        <f>СЧЁТ!AH41</f>
        <v>0.7050276145170672</v>
      </c>
      <c r="AH101" s="1372">
        <f>СЧЁТ!AI41</f>
        <v>0.6742851313259158</v>
      </c>
      <c r="AI101" s="1372">
        <f>СЧЁТ!AJ41</f>
        <v>0.6567628035628748</v>
      </c>
      <c r="AJ101" s="1372">
        <f>СЧЁТ!AK41</f>
        <v>0.6485374505317406</v>
      </c>
      <c r="AK101" s="1372">
        <f>СЧЁТ!AL41</f>
        <v>0.6379567051775759</v>
      </c>
      <c r="AL101" s="1372">
        <f>СЧЁТ!AM41</f>
        <v>0</v>
      </c>
      <c r="AM101" s="1372">
        <f>СЧЁТ!AN41</f>
        <v>0</v>
      </c>
      <c r="AN101" s="1372">
        <f>СЧЁТ!AO41</f>
        <v>0</v>
      </c>
      <c r="AO101" s="1372">
        <f>СЧЁТ!AP41</f>
        <v>0</v>
      </c>
      <c r="AP101" s="1372">
        <f>СЧЁТ!AQ41</f>
        <v>0</v>
      </c>
      <c r="AQ101" s="1372">
        <f>СЧЁТ!AR41</f>
        <v>0</v>
      </c>
      <c r="AR101" s="1372">
        <f>СЧЁТ!AS41</f>
        <v>0</v>
      </c>
      <c r="AX101" s="287" t="s">
        <v>1602</v>
      </c>
    </row>
    <row r="102" ht="17.5" customHeight="1" spans="4:50" x14ac:dyDescent="0.25">
      <c r="D102" s="1335">
        <v>36</v>
      </c>
      <c r="E102" s="1719">
        <v>40585</v>
      </c>
      <c r="F102" s="1349" t="s">
        <v>1604</v>
      </c>
      <c r="G102" s="26" t="s">
        <v>866</v>
      </c>
      <c r="H102" s="1458" t="s">
        <v>1605</v>
      </c>
      <c r="I102" s="1458"/>
      <c r="J102" s="1458"/>
      <c r="K102" s="1458"/>
      <c r="L102" s="1458"/>
      <c r="M102" s="1458"/>
      <c r="N102" s="1362">
        <v>0.683305248806873</v>
      </c>
      <c r="O102" s="1372">
        <f>СЧЁТ!P36</f>
        <v>0</v>
      </c>
      <c r="P102" s="1372">
        <f>СЧЁТ!Q36</f>
        <v>0</v>
      </c>
      <c r="Q102" s="1372">
        <f>СЧЁТ!R36</f>
        <v>0</v>
      </c>
      <c r="R102" s="1372">
        <f>СЧЁТ!S36</f>
        <v>0</v>
      </c>
      <c r="S102" s="1372">
        <f>СЧЁТ!T36</f>
        <v>0</v>
      </c>
      <c r="T102" s="1372">
        <f>СЧЁТ!U36</f>
        <v>0</v>
      </c>
      <c r="U102" s="1372">
        <f>СЧЁТ!V36</f>
        <v>0</v>
      </c>
      <c r="V102" s="1372">
        <f>СЧЁТ!W36</f>
        <v>0</v>
      </c>
      <c r="W102" s="1372">
        <f>СЧЁТ!X36</f>
        <v>0</v>
      </c>
      <c r="X102" s="1372">
        <f>СЧЁТ!Y36</f>
        <v>0</v>
      </c>
      <c r="Y102" s="1372">
        <f>СЧЁТ!Z36</f>
        <v>0</v>
      </c>
      <c r="Z102" s="1372">
        <f>СЧЁТ!AA36</f>
        <v>0</v>
      </c>
      <c r="AA102" s="1372">
        <f>СЧЁТ!AB36</f>
        <v>0</v>
      </c>
      <c r="AB102" s="1372">
        <f>СЧЁТ!AC36</f>
        <v>0</v>
      </c>
      <c r="AC102" s="1372">
        <f>СЧЁТ!AD36</f>
        <v>0</v>
      </c>
      <c r="AD102" s="1372">
        <f>СЧЁТ!AE36</f>
        <v>0</v>
      </c>
      <c r="AE102" s="1372">
        <f>СЧЁТ!AF36</f>
        <v>0</v>
      </c>
      <c r="AF102" s="1372">
        <f>СЧЁТ!AG36</f>
        <v>0</v>
      </c>
      <c r="AG102" s="1372">
        <f>СЧЁТ!AH36</f>
        <v>0</v>
      </c>
      <c r="AH102" s="1372">
        <f>СЧЁТ!AI36</f>
        <v>0</v>
      </c>
      <c r="AI102" s="1372">
        <f>СЧЁТ!AJ36</f>
        <v>0</v>
      </c>
      <c r="AJ102" s="1372">
        <f>СЧЁТ!AK36</f>
        <v>0</v>
      </c>
      <c r="AK102" s="1372">
        <f>СЧЁТ!AL36</f>
        <v>0</v>
      </c>
      <c r="AL102" s="1372">
        <f>СЧЁТ!AM36</f>
        <v>0</v>
      </c>
      <c r="AM102" s="1372">
        <f>СЧЁТ!AN36</f>
        <v>0</v>
      </c>
      <c r="AN102" s="1372">
        <f>СЧЁТ!AO36</f>
        <v>0</v>
      </c>
      <c r="AO102" s="1372">
        <f>СЧЁТ!AP36</f>
        <v>0</v>
      </c>
      <c r="AP102" s="1372">
        <f>СЧЁТ!AQ36</f>
        <v>0</v>
      </c>
      <c r="AQ102" s="1372">
        <f>СЧЁТ!AR36</f>
        <v>0</v>
      </c>
      <c r="AR102" s="1372">
        <f>СЧЁТ!AS36</f>
        <v>0</v>
      </c>
      <c r="AS102" s="419">
        <v>0.9678964776960007</v>
      </c>
      <c r="AT102" s="419">
        <v>0.9628779343872008</v>
      </c>
      <c r="AU102" s="419">
        <v>0.9593649540710408</v>
      </c>
      <c r="AV102" s="419">
        <v>0.9569058678497289</v>
      </c>
      <c r="AW102" s="419">
        <v>0.9551845074948105</v>
      </c>
      <c r="AX102" s="287" t="s">
        <v>1604</v>
      </c>
    </row>
    <row r="103" ht="17.5" customHeight="1" spans="4:50" x14ac:dyDescent="0.25">
      <c r="D103" s="1335">
        <v>37</v>
      </c>
      <c r="E103" s="1719">
        <v>40585</v>
      </c>
      <c r="F103" s="1349" t="s">
        <v>540</v>
      </c>
      <c r="G103" s="26" t="s">
        <v>866</v>
      </c>
      <c r="H103" s="1458" t="s">
        <v>1606</v>
      </c>
      <c r="I103" s="1458"/>
      <c r="J103" s="1458"/>
      <c r="K103" s="1458"/>
      <c r="L103" s="1458"/>
      <c r="M103" s="1458"/>
      <c r="N103" s="1362">
        <v>0.033</v>
      </c>
      <c r="O103" s="1372">
        <f>СЧЁТ!P43</f>
        <v>1996</v>
      </c>
      <c r="P103" s="1372">
        <f>СЧЁТ!Q43</f>
        <v>1997</v>
      </c>
      <c r="Q103" s="1372">
        <f>СЧЁТ!R43</f>
        <v>1998</v>
      </c>
      <c r="R103" s="1372">
        <f>СЧЁТ!S43</f>
        <v>1999</v>
      </c>
      <c r="S103" s="1372">
        <f>СЧЁТ!T43</f>
        <v>2000</v>
      </c>
      <c r="T103" s="1372">
        <f>СЧЁТ!U43</f>
        <v>2001</v>
      </c>
      <c r="U103" s="1372">
        <f>СЧЁТ!V43</f>
        <v>2002</v>
      </c>
      <c r="V103" s="1372">
        <f>СЧЁТ!W43</f>
        <v>2003</v>
      </c>
      <c r="W103" s="1372">
        <f>СЧЁТ!X43</f>
        <v>2004</v>
      </c>
      <c r="X103" s="1372">
        <f>СЧЁТ!Y43</f>
        <v>2005</v>
      </c>
      <c r="Y103" s="1372">
        <f>СЧЁТ!Z43</f>
        <v>2006</v>
      </c>
      <c r="Z103" s="1372">
        <f>СЧЁТ!AA43</f>
        <v>2007</v>
      </c>
      <c r="AA103" s="1372">
        <f>СЧЁТ!AB43</f>
        <v>2008</v>
      </c>
      <c r="AB103" s="1372">
        <f>СЧЁТ!AC43</f>
        <v>2009</v>
      </c>
      <c r="AC103" s="1372">
        <f>СЧЁТ!AD43</f>
        <v>2010</v>
      </c>
      <c r="AD103" s="1372">
        <f>СЧЁТ!AE43</f>
        <v>2011</v>
      </c>
      <c r="AE103" s="1372">
        <f>СЧЁТ!AF43</f>
        <v>2012</v>
      </c>
      <c r="AF103" s="1372">
        <f>СЧЁТ!AG43</f>
        <v>2013</v>
      </c>
      <c r="AG103" s="1372">
        <f>СЧЁТ!AH43</f>
        <v>2014</v>
      </c>
      <c r="AH103" s="1372">
        <f>СЧЁТ!AI43</f>
        <v>2015</v>
      </c>
      <c r="AI103" s="1372">
        <f>СЧЁТ!AJ43</f>
        <v>2016</v>
      </c>
      <c r="AJ103" s="1372">
        <f>СЧЁТ!AK43</f>
        <v>2017</v>
      </c>
      <c r="AK103" s="1372">
        <f>СЧЁТ!AL43</f>
        <v>2018</v>
      </c>
      <c r="AL103" s="1372">
        <f>СЧЁТ!AM43</f>
        <v>2019</v>
      </c>
      <c r="AM103" s="1372">
        <f>СЧЁТ!AN43</f>
        <v>2020</v>
      </c>
      <c r="AN103" s="1372">
        <f>СЧЁТ!AO43</f>
        <v>2021</v>
      </c>
      <c r="AO103" s="1372">
        <f>СЧЁТ!AP43</f>
        <v>2022</v>
      </c>
      <c r="AP103" s="1372">
        <f>СЧЁТ!AQ43</f>
        <v>2023</v>
      </c>
      <c r="AQ103" s="1372">
        <f>СЧЁТ!AR43</f>
        <v>2024</v>
      </c>
      <c r="AR103" s="1372">
        <f>СЧЁТ!AS43</f>
        <v>2025</v>
      </c>
      <c r="AS103" s="419">
        <v>0.10010282212159541</v>
      </c>
      <c r="AT103" s="419">
        <v>0.10034437209151836</v>
      </c>
      <c r="AU103" s="419">
        <v>0.10054968956595288</v>
      </c>
      <c r="AV103" s="419">
        <v>0.10072420941922222</v>
      </c>
      <c r="AW103" s="419">
        <v>0.10087255129450116</v>
      </c>
      <c r="AX103" s="287" t="s">
        <v>540</v>
      </c>
    </row>
    <row r="104" ht="17.5" customHeight="1" spans="4:50" x14ac:dyDescent="0.25">
      <c r="D104" s="1335">
        <v>38</v>
      </c>
      <c r="E104" s="1719">
        <v>40585</v>
      </c>
      <c r="F104" s="1349" t="s">
        <v>459</v>
      </c>
      <c r="G104" s="26" t="s">
        <v>866</v>
      </c>
      <c r="H104" s="1458" t="s">
        <v>1607</v>
      </c>
      <c r="I104" s="1458"/>
      <c r="J104" s="1458"/>
      <c r="K104" s="1458"/>
      <c r="L104" s="1458"/>
      <c r="M104" s="1458"/>
      <c r="N104" s="1362">
        <v>0.5605873277103477</v>
      </c>
      <c r="O104" s="1372" t="e">
        <f>СЧЁТ!#REF!</f>
        <v>#REF!</v>
      </c>
      <c r="P104" s="1372" t="e">
        <f>СЧЁТ!#REF!</f>
        <v>#REF!</v>
      </c>
      <c r="Q104" s="1372" t="e">
        <f>СЧЁТ!#REF!</f>
        <v>#REF!</v>
      </c>
      <c r="R104" s="1372" t="e">
        <f>СЧЁТ!#REF!</f>
        <v>#REF!</v>
      </c>
      <c r="S104" s="1372">
        <f>СЧЁТ!T44</f>
        <v>0</v>
      </c>
      <c r="T104" s="1372">
        <f>СЧЁТ!V44</f>
        <v>0</v>
      </c>
      <c r="U104" s="1372">
        <f>СЧЁТ!W44</f>
        <v>0</v>
      </c>
      <c r="V104" s="1372">
        <f>СЧЁТ!X44</f>
        <v>0</v>
      </c>
      <c r="W104" s="1372">
        <f>СЧЁТ!Y44</f>
        <v>0</v>
      </c>
      <c r="X104" s="1372">
        <f>СЧЁТ!Z44</f>
        <v>0</v>
      </c>
      <c r="Y104" s="1372" t="e">
        <f>СЧЁТ!#REF!</f>
        <v>#REF!</v>
      </c>
      <c r="Z104" s="1372">
        <f>СЧЁТ!AA44</f>
        <v>0</v>
      </c>
      <c r="AA104" s="1372">
        <f>СЧЁТ!AB44</f>
        <v>0</v>
      </c>
      <c r="AB104" s="1372">
        <f>СЧЁТ!AC44</f>
        <v>0</v>
      </c>
      <c r="AC104" s="1372">
        <f>СЧЁТ!AD44</f>
        <v>0</v>
      </c>
      <c r="AD104" s="1372">
        <f>СЧЁТ!AE44</f>
        <v>0</v>
      </c>
      <c r="AE104" s="1372">
        <f>СЧЁТ!AF44</f>
        <v>0</v>
      </c>
      <c r="AF104" s="1372">
        <f>СЧЁТ!AG44</f>
        <v>0</v>
      </c>
      <c r="AG104" s="1372">
        <f>СЧЁТ!AH44</f>
        <v>0</v>
      </c>
      <c r="AH104" s="1372">
        <f>СЧЁТ!AI44</f>
        <v>0</v>
      </c>
      <c r="AI104" s="1372">
        <f>СЧЁТ!AJ44</f>
        <v>0</v>
      </c>
      <c r="AJ104" s="1372">
        <f>СЧЁТ!AK44</f>
        <v>0</v>
      </c>
      <c r="AK104" s="1372">
        <f>СЧЁТ!AL44</f>
        <v>0</v>
      </c>
      <c r="AL104" s="1372">
        <f>СЧЁТ!AM44</f>
        <v>0</v>
      </c>
      <c r="AM104" s="1372">
        <f>СЧЁТ!AN44</f>
        <v>0</v>
      </c>
      <c r="AN104" s="1372">
        <f>СЧЁТ!AO44</f>
        <v>0</v>
      </c>
      <c r="AO104" s="1372">
        <f>СЧЁТ!AP44</f>
        <v>0</v>
      </c>
      <c r="AP104" s="1372">
        <f>СЧЁТ!AQ44</f>
        <v>0</v>
      </c>
      <c r="AQ104" s="1372">
        <f>СЧЁТ!AR44</f>
        <v>0</v>
      </c>
      <c r="AR104" s="1372">
        <f>СЧЁТ!AS44</f>
        <v>0</v>
      </c>
      <c r="AS104" s="419">
        <v>0.463415399054004</v>
      </c>
      <c r="AT104" s="419">
        <v>0.463410516241504</v>
      </c>
      <c r="AU104" s="419">
        <v>0.463405633429004</v>
      </c>
      <c r="AV104" s="419">
        <v>0.463400750616504</v>
      </c>
      <c r="AW104" s="419">
        <v>0.463395867804004</v>
      </c>
      <c r="AX104" s="287" t="s">
        <v>459</v>
      </c>
    </row>
    <row r="105" ht="17.5" customHeight="1" spans="4:50" x14ac:dyDescent="0.25">
      <c r="D105" s="1335">
        <v>39</v>
      </c>
      <c r="E105" s="1719">
        <v>40585</v>
      </c>
      <c r="F105" s="1349" t="s">
        <v>462</v>
      </c>
      <c r="G105" s="26" t="s">
        <v>866</v>
      </c>
      <c r="H105" s="1458" t="s">
        <v>1608</v>
      </c>
      <c r="I105" s="1458"/>
      <c r="J105" s="1458"/>
      <c r="K105" s="1458"/>
      <c r="L105" s="1458"/>
      <c r="M105" s="1458"/>
      <c r="N105" s="1362">
        <v>0.20650529520674757</v>
      </c>
      <c r="O105" s="1372" t="e">
        <f>СЧЁТ!#REF!</f>
        <v>#REF!</v>
      </c>
      <c r="P105" s="1372" t="e">
        <f>СЧЁТ!#REF!</f>
        <v>#REF!</v>
      </c>
      <c r="Q105" s="1372" t="e">
        <f>СЧЁТ!#REF!</f>
        <v>#REF!</v>
      </c>
      <c r="R105" s="1372" t="e">
        <f>СЧЁТ!#REF!</f>
        <v>#REF!</v>
      </c>
      <c r="S105" s="1372" t="e">
        <f>СЧЁТ!#REF!</f>
        <v>#REF!</v>
      </c>
      <c r="T105" s="1372" t="e">
        <f>СЧЁТ!#REF!</f>
        <v>#REF!</v>
      </c>
      <c r="U105" s="1372">
        <f>СЧЁТ!W49</f>
        <v>0</v>
      </c>
      <c r="V105" s="1372">
        <f>СЧЁТ!X49</f>
        <v>0</v>
      </c>
      <c r="W105" s="1372">
        <f>СЧЁТ!Y49</f>
        <v>0</v>
      </c>
      <c r="X105" s="1372">
        <f>СЧЁТ!Z49</f>
        <v>0</v>
      </c>
      <c r="Y105" s="1372" t="e">
        <f>СЧЁТ!#REF!</f>
        <v>#REF!</v>
      </c>
      <c r="Z105" s="1372">
        <f>СЧЁТ!AA49</f>
        <v>0</v>
      </c>
      <c r="AA105" s="1372">
        <f>СЧЁТ!AB49</f>
        <v>0</v>
      </c>
      <c r="AB105" s="1372">
        <f>СЧЁТ!AC45</f>
        <v>0</v>
      </c>
      <c r="AC105" s="1372">
        <f>СЧЁТ!AD45</f>
        <v>0</v>
      </c>
      <c r="AD105" s="1372">
        <f>СЧЁТ!AE45</f>
        <v>0</v>
      </c>
      <c r="AE105" s="1372">
        <f>СЧЁТ!AF45</f>
        <v>0</v>
      </c>
      <c r="AF105" s="1372">
        <f>СЧЁТ!AG45</f>
        <v>0</v>
      </c>
      <c r="AG105" s="1372">
        <f>СЧЁТ!AH45</f>
        <v>0</v>
      </c>
      <c r="AH105" s="1372">
        <f>СЧЁТ!AI45</f>
        <v>0</v>
      </c>
      <c r="AI105" s="1372">
        <f>СЧЁТ!AJ45</f>
        <v>0</v>
      </c>
      <c r="AJ105" s="1372">
        <f>СЧЁТ!AK45</f>
        <v>0</v>
      </c>
      <c r="AK105" s="1372">
        <f>СЧЁТ!AL45</f>
        <v>0</v>
      </c>
      <c r="AL105" s="1372">
        <f>СЧЁТ!AM45</f>
        <v>0</v>
      </c>
      <c r="AM105" s="1372">
        <f>СЧЁТ!AN45</f>
        <v>0</v>
      </c>
      <c r="AN105" s="1372">
        <f>СЧЁТ!AO45</f>
        <v>0</v>
      </c>
      <c r="AO105" s="1372">
        <f>СЧЁТ!AP45</f>
        <v>0</v>
      </c>
      <c r="AP105" s="1372">
        <f>СЧЁТ!AQ45</f>
        <v>0</v>
      </c>
      <c r="AQ105" s="1372">
        <f>СЧЁТ!AR45</f>
        <v>0</v>
      </c>
      <c r="AR105" s="1372">
        <f>СЧЁТ!AS45</f>
        <v>0</v>
      </c>
      <c r="AS105" s="419">
        <v>0.13</v>
      </c>
      <c r="AT105" s="419">
        <v>0.13</v>
      </c>
      <c r="AU105" s="419">
        <v>0.13</v>
      </c>
      <c r="AV105" s="419">
        <v>0.13</v>
      </c>
      <c r="AW105" s="419">
        <v>0.13</v>
      </c>
      <c r="AX105" s="287" t="s">
        <v>462</v>
      </c>
    </row>
    <row r="106" ht="17.5" customHeight="1" spans="4:50" x14ac:dyDescent="0.25">
      <c r="D106" s="1335">
        <v>40</v>
      </c>
      <c r="E106" s="1719">
        <v>40585</v>
      </c>
      <c r="F106" s="1349" t="s">
        <v>465</v>
      </c>
      <c r="G106" s="26" t="s">
        <v>866</v>
      </c>
      <c r="H106" s="1458" t="s">
        <v>1609</v>
      </c>
      <c r="I106" s="1458"/>
      <c r="J106" s="1458"/>
      <c r="K106" s="1458"/>
      <c r="L106" s="1458"/>
      <c r="M106" s="1458"/>
      <c r="N106" s="1362">
        <v>0.18412751259012028</v>
      </c>
      <c r="O106" s="1372" t="e">
        <f>СЧЁТ!#REF!</f>
        <v>#REF!</v>
      </c>
      <c r="P106" s="1372" t="e">
        <f>СЧЁТ!#REF!</f>
        <v>#REF!</v>
      </c>
      <c r="Q106" s="1372" t="e">
        <f>СЧЁТ!#REF!</f>
        <v>#REF!</v>
      </c>
      <c r="R106" s="1372" t="e">
        <f>СЧЁТ!#REF!</f>
        <v>#REF!</v>
      </c>
      <c r="S106" s="1372" t="e">
        <f>СЧЁТ!#REF!</f>
        <v>#REF!</v>
      </c>
      <c r="T106" s="1372" t="e">
        <f>СЧЁТ!#REF!</f>
        <v>#REF!</v>
      </c>
      <c r="U106" s="1372" t="e">
        <f>СЧЁТ!#REF!</f>
        <v>#REF!</v>
      </c>
      <c r="V106" s="1372" t="e">
        <f>СЧЁТ!#REF!</f>
        <v>#REF!</v>
      </c>
      <c r="W106" s="1372" t="e">
        <f>СЧЁТ!#REF!</f>
        <v>#REF!</v>
      </c>
      <c r="X106" s="1372" t="e">
        <f>СЧЁТ!#REF!</f>
        <v>#REF!</v>
      </c>
      <c r="Y106" s="1372" t="e">
        <f>СЧЁТ!#REF!</f>
        <v>#REF!</v>
      </c>
      <c r="Z106" s="1372" t="e">
        <f>СЧЁТ!#REF!</f>
        <v>#REF!</v>
      </c>
      <c r="AA106" s="1372" t="e">
        <f>СЧЁТ!#REF!</f>
        <v>#REF!</v>
      </c>
      <c r="AB106" s="1372">
        <f>СЧЁТ!AC46</f>
        <v>0</v>
      </c>
      <c r="AC106" s="1372">
        <f>СЧЁТ!AD46</f>
        <v>0</v>
      </c>
      <c r="AD106" s="1372">
        <f>СЧЁТ!AE46</f>
        <v>0</v>
      </c>
      <c r="AE106" s="1372">
        <f>СЧЁТ!AF46</f>
        <v>0</v>
      </c>
      <c r="AF106" s="1372">
        <f>СЧЁТ!AG46</f>
        <v>0</v>
      </c>
      <c r="AG106" s="1372">
        <f>СЧЁТ!AH46</f>
        <v>0</v>
      </c>
      <c r="AH106" s="1372">
        <f>СЧЁТ!AI46</f>
        <v>0</v>
      </c>
      <c r="AI106" s="1372">
        <f>СЧЁТ!AJ46</f>
        <v>0</v>
      </c>
      <c r="AJ106" s="1372">
        <f>СЧЁТ!AK46</f>
        <v>0</v>
      </c>
      <c r="AK106" s="1372">
        <f>СЧЁТ!AL46</f>
        <v>0</v>
      </c>
      <c r="AL106" s="1372">
        <f>СЧЁТ!AM46</f>
        <v>0</v>
      </c>
      <c r="AM106" s="1372">
        <f>СЧЁТ!AN46</f>
        <v>0</v>
      </c>
      <c r="AN106" s="1372">
        <f>СЧЁТ!AO46</f>
        <v>0</v>
      </c>
      <c r="AO106" s="1372">
        <f>СЧЁТ!AP46</f>
        <v>0</v>
      </c>
      <c r="AP106" s="1372">
        <f>СЧЁТ!AQ46</f>
        <v>0</v>
      </c>
      <c r="AQ106" s="1372">
        <f>СЧЁТ!AR46</f>
        <v>0</v>
      </c>
      <c r="AR106" s="1372">
        <f>СЧЁТ!AS46</f>
        <v>0</v>
      </c>
      <c r="AS106" s="419">
        <v>0.165</v>
      </c>
      <c r="AT106" s="419">
        <v>0.165</v>
      </c>
      <c r="AU106" s="419">
        <v>0.165</v>
      </c>
      <c r="AV106" s="419">
        <v>0.165</v>
      </c>
      <c r="AW106" s="419">
        <v>0.165</v>
      </c>
      <c r="AX106" s="287" t="s">
        <v>465</v>
      </c>
    </row>
    <row r="107" ht="17.5" customHeight="1" spans="4:50" x14ac:dyDescent="0.25">
      <c r="D107" s="1335">
        <v>41</v>
      </c>
      <c r="E107" s="1719">
        <v>40585</v>
      </c>
      <c r="F107" s="1349" t="s">
        <v>468</v>
      </c>
      <c r="G107" s="26" t="s">
        <v>866</v>
      </c>
      <c r="H107" s="1458" t="s">
        <v>1610</v>
      </c>
      <c r="I107" s="1458"/>
      <c r="J107" s="1458"/>
      <c r="K107" s="1458"/>
      <c r="L107" s="1458"/>
      <c r="M107" s="1458"/>
      <c r="N107" s="1362">
        <v>0.7902003513009112</v>
      </c>
      <c r="O107" s="1372" t="e">
        <f>СЧЁТ!#REF!</f>
        <v>#REF!</v>
      </c>
      <c r="P107" s="1372" t="e">
        <f>СЧЁТ!#REF!</f>
        <v>#REF!</v>
      </c>
      <c r="Q107" s="1372" t="e">
        <f>СЧЁТ!#REF!</f>
        <v>#REF!</v>
      </c>
      <c r="R107" s="1372" t="e">
        <f>СЧЁТ!#REF!</f>
        <v>#REF!</v>
      </c>
      <c r="S107" s="1372" t="e">
        <f>СЧЁТ!#REF!</f>
        <v>#REF!</v>
      </c>
      <c r="T107" s="1372">
        <f>СЧЁТ!U48</f>
        <v>0</v>
      </c>
      <c r="U107" s="1372">
        <f>СЧЁТ!V48</f>
        <v>0</v>
      </c>
      <c r="V107" s="1372">
        <f>СЧЁТ!W48</f>
        <v>0</v>
      </c>
      <c r="W107" s="1372">
        <f>СЧЁТ!X48</f>
        <v>0</v>
      </c>
      <c r="X107" s="1372">
        <f>СЧЁТ!Y48</f>
        <v>0</v>
      </c>
      <c r="Y107" s="1372">
        <f>СЧЁТ!Z48</f>
        <v>0</v>
      </c>
      <c r="Z107" s="1372">
        <f>СЧЁТ!AA48</f>
        <v>0</v>
      </c>
      <c r="AA107" s="1372">
        <f>СЧЁТ!AB48</f>
        <v>0</v>
      </c>
      <c r="AB107" s="1372">
        <f>СЧЁТ!AC47</f>
        <v>0</v>
      </c>
      <c r="AC107" s="1372">
        <f>СЧЁТ!AD47</f>
        <v>0</v>
      </c>
      <c r="AD107" s="1372">
        <f>СЧЁТ!AE47</f>
        <v>0</v>
      </c>
      <c r="AE107" s="1372">
        <f>СЧЁТ!AF47</f>
        <v>0</v>
      </c>
      <c r="AF107" s="1372">
        <f>СЧЁТ!AG47</f>
        <v>0</v>
      </c>
      <c r="AG107" s="1372">
        <f>СЧЁТ!AH47</f>
        <v>0</v>
      </c>
      <c r="AH107" s="1372">
        <f>СЧЁТ!AI47</f>
        <v>0</v>
      </c>
      <c r="AI107" s="1372">
        <f>СЧЁТ!AJ47</f>
        <v>0</v>
      </c>
      <c r="AJ107" s="1372">
        <f>СЧЁТ!AK47</f>
        <v>0</v>
      </c>
      <c r="AK107" s="1372">
        <f>СЧЁТ!AL47</f>
        <v>0</v>
      </c>
      <c r="AL107" s="1372">
        <f>СЧЁТ!AM47</f>
        <v>0</v>
      </c>
      <c r="AM107" s="1372">
        <f>СЧЁТ!AN47</f>
        <v>0</v>
      </c>
      <c r="AN107" s="1372">
        <f>СЧЁТ!AO47</f>
        <v>0</v>
      </c>
      <c r="AO107" s="1372">
        <f>СЧЁТ!AP47</f>
        <v>0</v>
      </c>
      <c r="AP107" s="1372">
        <f>СЧЁТ!AQ47</f>
        <v>0</v>
      </c>
      <c r="AQ107" s="1372">
        <f>СЧЁТ!AR47</f>
        <v>0</v>
      </c>
      <c r="AR107" s="1372">
        <f>СЧЁТ!AS47</f>
        <v>0</v>
      </c>
      <c r="AS107" s="419">
        <v>0.744</v>
      </c>
      <c r="AT107" s="419">
        <v>0.743</v>
      </c>
      <c r="AU107" s="419">
        <v>0.742</v>
      </c>
      <c r="AV107" s="419">
        <v>0.741</v>
      </c>
      <c r="AW107" s="419">
        <v>0.74</v>
      </c>
      <c r="AX107" s="287" t="s">
        <v>468</v>
      </c>
    </row>
    <row r="108" ht="17.5" customHeight="1" spans="4:50" x14ac:dyDescent="0.25">
      <c r="D108" s="1335">
        <v>42</v>
      </c>
      <c r="E108" s="1719">
        <v>40586</v>
      </c>
      <c r="F108" s="1349" t="s">
        <v>471</v>
      </c>
      <c r="G108" s="26" t="s">
        <v>866</v>
      </c>
      <c r="H108" s="1458" t="s">
        <v>1611</v>
      </c>
      <c r="I108" s="1458"/>
      <c r="J108" s="1458"/>
      <c r="K108" s="1458"/>
      <c r="L108" s="1458"/>
      <c r="M108" s="1458"/>
      <c r="N108" s="1362">
        <v>0.13540672741244922</v>
      </c>
      <c r="O108" s="1372" t="e">
        <f>СЧЁТ!#REF!</f>
        <v>#REF!</v>
      </c>
      <c r="P108" s="1372" t="e">
        <f>СЧЁТ!#REF!</f>
        <v>#REF!</v>
      </c>
      <c r="Q108" s="1372" t="str">
        <f>СЧЁТ!P49</f>
        <v>DH = 0,1909*WWP + 37701</v>
      </c>
      <c r="R108" s="1372">
        <f>СЧЁТ!Q49</f>
        <v>0</v>
      </c>
      <c r="S108" s="1372" t="e">
        <f>СЧЁТ!#REF!</f>
        <v>#REF!</v>
      </c>
      <c r="T108" s="1372" t="e">
        <f>СЧЁТ!#REF!</f>
        <v>#REF!</v>
      </c>
      <c r="U108" s="1372" t="e">
        <f>СЧЁТ!#REF!</f>
        <v>#REF!</v>
      </c>
      <c r="V108" s="1372">
        <f>СЧЁТ!W47</f>
        <v>0</v>
      </c>
      <c r="W108" s="1372">
        <f>СЧЁТ!X74</f>
        <v>0</v>
      </c>
      <c r="X108" s="1372">
        <f>СЧЁТ!Y60</f>
        <v>0</v>
      </c>
      <c r="Y108" s="1372">
        <f>СЧЁТ!Z60</f>
        <v>0</v>
      </c>
      <c r="Z108" s="1372">
        <f>СЧЁТ!AA60</f>
        <v>0</v>
      </c>
      <c r="AA108" s="1372">
        <f>СЧЁТ!AB60</f>
        <v>0</v>
      </c>
      <c r="AB108" s="1372">
        <f>СЧЁТ!AC48</f>
        <v>0</v>
      </c>
      <c r="AC108" s="1372">
        <f>СЧЁТ!AD48</f>
        <v>0</v>
      </c>
      <c r="AD108" s="1372">
        <f>СЧЁТ!AE48</f>
        <v>0</v>
      </c>
      <c r="AE108" s="1372">
        <f>СЧЁТ!AF48</f>
        <v>0</v>
      </c>
      <c r="AF108" s="1372">
        <f>СЧЁТ!AG48</f>
        <v>0</v>
      </c>
      <c r="AG108" s="1372">
        <f>СЧЁТ!AH48</f>
        <v>0</v>
      </c>
      <c r="AH108" s="1372">
        <f>СЧЁТ!AI48</f>
        <v>0</v>
      </c>
      <c r="AI108" s="1372">
        <f>СЧЁТ!AJ48</f>
        <v>0</v>
      </c>
      <c r="AJ108" s="1372">
        <f>СЧЁТ!AK48</f>
        <v>0</v>
      </c>
      <c r="AK108" s="1372">
        <f>СЧЁТ!AL48</f>
        <v>0</v>
      </c>
      <c r="AL108" s="1372">
        <f>СЧЁТ!AM48</f>
        <v>0</v>
      </c>
      <c r="AM108" s="1372">
        <f>СЧЁТ!AN48</f>
        <v>0</v>
      </c>
      <c r="AN108" s="1372">
        <f>СЧЁТ!AO48</f>
        <v>0</v>
      </c>
      <c r="AO108" s="1372">
        <f>СЧЁТ!AP48</f>
        <v>0</v>
      </c>
      <c r="AP108" s="1372">
        <f>СЧЁТ!AQ48</f>
        <v>0</v>
      </c>
      <c r="AQ108" s="1372">
        <f>СЧЁТ!AR48</f>
        <v>0</v>
      </c>
      <c r="AR108" s="1372">
        <f>СЧЁТ!AS48</f>
        <v>0</v>
      </c>
      <c r="AS108" s="419">
        <v>0.032</v>
      </c>
      <c r="AT108" s="419">
        <v>0.032</v>
      </c>
      <c r="AU108" s="419">
        <v>0.032</v>
      </c>
      <c r="AV108" s="419">
        <v>0.032</v>
      </c>
      <c r="AW108" s="419">
        <v>0.032</v>
      </c>
      <c r="AX108" s="287" t="s">
        <v>471</v>
      </c>
    </row>
    <row r="109" ht="17.5" customHeight="1" spans="4:50" x14ac:dyDescent="0.25">
      <c r="D109" s="1335">
        <v>43</v>
      </c>
      <c r="E109" s="1719">
        <v>40585</v>
      </c>
      <c r="F109" s="1349" t="s">
        <v>474</v>
      </c>
      <c r="G109" s="26" t="s">
        <v>866</v>
      </c>
      <c r="H109" s="1458" t="s">
        <v>1612</v>
      </c>
      <c r="I109" s="1458"/>
      <c r="J109" s="1458"/>
      <c r="K109" s="1458"/>
      <c r="L109" s="1458"/>
      <c r="M109" s="1458"/>
      <c r="N109" s="1362">
        <v>0.05900779643479286</v>
      </c>
      <c r="O109" s="1372">
        <f>СЧЁТ!P75</f>
        <v>0</v>
      </c>
      <c r="P109" s="1372">
        <f>СЧЁТ!R49</f>
        <v>0</v>
      </c>
      <c r="Q109" s="1372" t="str">
        <f>СЧЁТ!P44</f>
        <v>DBJ = 0,5355*WWP - 18298</v>
      </c>
      <c r="R109" s="1372">
        <f>СЧЁТ!Q44</f>
        <v>0</v>
      </c>
      <c r="S109" s="1372">
        <f>СЧЁТ!R44</f>
        <v>0</v>
      </c>
      <c r="T109" s="1372" t="e">
        <f>СЧЁТ!#REF!</f>
        <v>#REF!</v>
      </c>
      <c r="U109" s="1372" t="e">
        <f>СЧЁТ!#REF!</f>
        <v>#REF!</v>
      </c>
      <c r="V109" s="1372">
        <f>СЧЁТ!W75</f>
        <v>0</v>
      </c>
      <c r="W109" s="1372">
        <f>СЧЁТ!X75</f>
        <v>0</v>
      </c>
      <c r="X109" s="1372">
        <f>СЧЁТ!Y65</f>
        <v>0</v>
      </c>
      <c r="Y109" s="1372">
        <f>СЧЁТ!Z65</f>
        <v>0</v>
      </c>
      <c r="Z109" s="1372">
        <f>СЧЁТ!AA65</f>
        <v>0</v>
      </c>
      <c r="AA109" s="1372">
        <f>СЧЁТ!AB65</f>
        <v>0</v>
      </c>
      <c r="AB109" s="1372">
        <f>СЧЁТ!AC49</f>
        <v>0</v>
      </c>
      <c r="AC109" s="1372">
        <f>СЧЁТ!AD49</f>
        <v>0</v>
      </c>
      <c r="AD109" s="1372">
        <f>СЧЁТ!AE49</f>
        <v>0</v>
      </c>
      <c r="AE109" s="1372">
        <f>СЧЁТ!AF49</f>
        <v>0</v>
      </c>
      <c r="AF109" s="1372">
        <f>СЧЁТ!AG49</f>
        <v>0</v>
      </c>
      <c r="AG109" s="1372">
        <f>СЧЁТ!AH49</f>
        <v>0</v>
      </c>
      <c r="AH109" s="1372">
        <f>СЧЁТ!AI49</f>
        <v>0</v>
      </c>
      <c r="AI109" s="1372">
        <f>СЧЁТ!AJ49</f>
        <v>0</v>
      </c>
      <c r="AJ109" s="1372">
        <f>СЧЁТ!AK49</f>
        <v>0</v>
      </c>
      <c r="AK109" s="1372">
        <f>СЧЁТ!AL49</f>
        <v>0</v>
      </c>
      <c r="AL109" s="1372">
        <f>СЧЁТ!AM49</f>
        <v>0</v>
      </c>
      <c r="AM109" s="1372">
        <f>СЧЁТ!AN49</f>
        <v>0</v>
      </c>
      <c r="AN109" s="1372">
        <f>СЧЁТ!AO49</f>
        <v>0</v>
      </c>
      <c r="AO109" s="1372">
        <f>СЧЁТ!AP49</f>
        <v>0</v>
      </c>
      <c r="AP109" s="1372">
        <f>СЧЁТ!AQ49</f>
        <v>0</v>
      </c>
      <c r="AQ109" s="1372">
        <f>СЧЁТ!AR49</f>
        <v>0</v>
      </c>
      <c r="AR109" s="1372">
        <f>СЧЁТ!AS49</f>
        <v>0</v>
      </c>
      <c r="AS109" s="419">
        <v>0.4841298276829594</v>
      </c>
      <c r="AT109" s="419">
        <v>0.48881233453400885</v>
      </c>
      <c r="AU109" s="419">
        <v>0.4932607160425058</v>
      </c>
      <c r="AV109" s="419">
        <v>0.4974866784755779</v>
      </c>
      <c r="AW109" s="419">
        <v>0.5015013427869964</v>
      </c>
      <c r="AX109" s="287" t="s">
        <v>474</v>
      </c>
    </row>
    <row r="110" ht="17.5" customHeight="1" spans="4:50" x14ac:dyDescent="0.25">
      <c r="D110" s="1335">
        <v>44</v>
      </c>
      <c r="E110" s="1719">
        <v>40585</v>
      </c>
      <c r="F110" s="1349" t="s">
        <v>477</v>
      </c>
      <c r="G110" s="26" t="s">
        <v>866</v>
      </c>
      <c r="H110" s="1458" t="s">
        <v>1613</v>
      </c>
      <c r="I110" s="1458"/>
      <c r="J110" s="1458"/>
      <c r="K110" s="1458"/>
      <c r="L110" s="1458"/>
      <c r="M110" s="1458"/>
      <c r="N110" s="1362">
        <v>0.027000000000000024</v>
      </c>
      <c r="O110" s="1372" t="e">
        <f>СЧЁТ!#REF!</f>
        <v>#REF!</v>
      </c>
      <c r="P110" s="1372" t="e">
        <f>СЧЁТ!#REF!</f>
        <v>#REF!</v>
      </c>
      <c r="Q110" s="1372">
        <f>СЧЁТ!S44</f>
        <v>0</v>
      </c>
      <c r="R110" s="1372">
        <f>СЧЁТ!S56</f>
        <v>0</v>
      </c>
      <c r="S110" s="1372" t="e">
        <f>СЧЁТ!#REF!</f>
        <v>#REF!</v>
      </c>
      <c r="T110" s="1372">
        <f>СЧЁТ!U55</f>
        <v>0</v>
      </c>
      <c r="U110" s="1372">
        <f>СЧЁТ!V55</f>
        <v>0</v>
      </c>
      <c r="V110" s="1372">
        <f>СЧЁТ!W55</f>
        <v>0</v>
      </c>
      <c r="W110" s="1372">
        <f>СЧЁТ!X66</f>
        <v>0</v>
      </c>
      <c r="X110" s="1372">
        <f>СЧЁТ!Y66</f>
        <v>0</v>
      </c>
      <c r="Y110" s="1372">
        <f>СЧЁТ!Z66</f>
        <v>0</v>
      </c>
      <c r="Z110" s="1372">
        <f>СЧЁТ!AA66</f>
        <v>0</v>
      </c>
      <c r="AA110" s="1372">
        <f>СЧЁТ!AB66</f>
        <v>0</v>
      </c>
      <c r="AB110" s="1372">
        <f>СЧЁТ!AC50</f>
        <v>0</v>
      </c>
      <c r="AC110" s="1372">
        <f>СЧЁТ!AD50</f>
        <v>0</v>
      </c>
      <c r="AD110" s="1372">
        <f>СЧЁТ!AE50</f>
        <v>0</v>
      </c>
      <c r="AE110" s="1372">
        <f>СЧЁТ!AF50</f>
        <v>0</v>
      </c>
      <c r="AF110" s="1372">
        <f>СЧЁТ!AG50</f>
        <v>0</v>
      </c>
      <c r="AG110" s="1372">
        <f>СЧЁТ!AH50</f>
        <v>0</v>
      </c>
      <c r="AH110" s="1372">
        <f>СЧЁТ!AI50</f>
        <v>0</v>
      </c>
      <c r="AI110" s="1372">
        <f>СЧЁТ!AJ50</f>
        <v>0</v>
      </c>
      <c r="AJ110" s="1372">
        <f>СЧЁТ!AK50</f>
        <v>0</v>
      </c>
      <c r="AK110" s="1372">
        <f>СЧЁТ!AL50</f>
        <v>0</v>
      </c>
      <c r="AL110" s="1372">
        <f>СЧЁТ!AM50</f>
        <v>0</v>
      </c>
      <c r="AM110" s="1372">
        <f>СЧЁТ!AN50</f>
        <v>0</v>
      </c>
      <c r="AN110" s="1372">
        <f>СЧЁТ!AO50</f>
        <v>0</v>
      </c>
      <c r="AO110" s="1372">
        <f>СЧЁТ!AP50</f>
        <v>0</v>
      </c>
      <c r="AP110" s="1372">
        <f>СЧЁТ!AQ50</f>
        <v>0</v>
      </c>
      <c r="AQ110" s="1372">
        <f>СЧЁТ!AR50</f>
        <v>0</v>
      </c>
      <c r="AR110" s="1372">
        <f>СЧЁТ!AS50</f>
        <v>0</v>
      </c>
      <c r="AS110" s="419">
        <v>0</v>
      </c>
      <c r="AT110" s="419">
        <v>0</v>
      </c>
      <c r="AU110" s="419">
        <v>0</v>
      </c>
      <c r="AV110" s="419">
        <v>0</v>
      </c>
      <c r="AW110" s="419">
        <v>0</v>
      </c>
      <c r="AX110" s="287" t="s">
        <v>477</v>
      </c>
    </row>
    <row r="111" ht="17.5" customHeight="1" spans="4:50" x14ac:dyDescent="0.25">
      <c r="D111" s="1335">
        <v>45</v>
      </c>
      <c r="E111" s="1719">
        <v>40586</v>
      </c>
      <c r="F111" s="1349" t="s">
        <v>1614</v>
      </c>
      <c r="G111" s="26" t="s">
        <v>866</v>
      </c>
      <c r="H111" s="1458" t="s">
        <v>1629</v>
      </c>
      <c r="I111" s="1458"/>
      <c r="J111" s="1458"/>
      <c r="K111" s="1458"/>
      <c r="L111" s="1458"/>
      <c r="M111" s="1458"/>
      <c r="N111" s="1362">
        <v>0.049988274017691826</v>
      </c>
      <c r="O111" s="1372" t="str">
        <f>СЧЁТ!P57</f>
        <v>WWS = 2,191*(FSt - FSt-1 +70,942)</v>
      </c>
      <c r="P111" s="1372">
        <f>СЧЁТ!Q57</f>
        <v>0</v>
      </c>
      <c r="Q111" s="1372">
        <f>СЧЁТ!R57</f>
        <v>0</v>
      </c>
      <c r="R111" s="1372" t="str">
        <f>СЧЁТ!P47</f>
        <v>YG = 0,1814*WWP - 46,215</v>
      </c>
      <c r="S111" s="1372">
        <f>СЧЁТ!Q47</f>
        <v>0</v>
      </c>
      <c r="T111" s="1372">
        <f>СЧЁТ!R47</f>
        <v>0</v>
      </c>
      <c r="U111" s="1372" t="e">
        <f>СЧЁТ!#REF!</f>
        <v>#REF!</v>
      </c>
      <c r="V111" s="1372">
        <f>СЧЁТ!T47</f>
        <v>0</v>
      </c>
      <c r="W111" s="1372">
        <f>СЧЁТ!X67</f>
        <v>0</v>
      </c>
      <c r="X111" s="1372">
        <f>СЧЁТ!Y67</f>
        <v>0</v>
      </c>
      <c r="Y111" s="1372">
        <f>СЧЁТ!Z67</f>
        <v>0</v>
      </c>
      <c r="Z111" s="1372">
        <f>СЧЁТ!AA67</f>
        <v>0</v>
      </c>
      <c r="AA111" s="1372">
        <f>СЧЁТ!AB67</f>
        <v>0</v>
      </c>
      <c r="AB111" s="1372">
        <f>СЧЁТ!AC51</f>
        <v>0</v>
      </c>
      <c r="AC111" s="1372">
        <f>СЧЁТ!AD51</f>
        <v>0</v>
      </c>
      <c r="AD111" s="1372">
        <f>СЧЁТ!AE51</f>
        <v>0</v>
      </c>
      <c r="AE111" s="1372">
        <f>СЧЁТ!AF51</f>
        <v>0</v>
      </c>
      <c r="AF111" s="1372">
        <f>СЧЁТ!AG51</f>
        <v>0</v>
      </c>
      <c r="AG111" s="1372">
        <f>СЧЁТ!AH51</f>
        <v>0</v>
      </c>
      <c r="AH111" s="1372">
        <f>СЧЁТ!AI51</f>
        <v>0</v>
      </c>
      <c r="AI111" s="1372">
        <f>СЧЁТ!AJ51</f>
        <v>0</v>
      </c>
      <c r="AJ111" s="1372">
        <f>СЧЁТ!AK51</f>
        <v>0</v>
      </c>
      <c r="AK111" s="1372">
        <f>СЧЁТ!AL51</f>
        <v>0</v>
      </c>
      <c r="AL111" s="1372">
        <f>СЧЁТ!AM51</f>
        <v>0</v>
      </c>
      <c r="AM111" s="1372">
        <f>СЧЁТ!AN51</f>
        <v>0</v>
      </c>
      <c r="AN111" s="1372">
        <f>СЧЁТ!AO51</f>
        <v>0</v>
      </c>
      <c r="AO111" s="1372">
        <f>СЧЁТ!AP51</f>
        <v>0</v>
      </c>
      <c r="AP111" s="1372">
        <f>СЧЁТ!AQ51</f>
        <v>0</v>
      </c>
      <c r="AQ111" s="1372">
        <f>СЧЁТ!AR51</f>
        <v>0</v>
      </c>
      <c r="AR111" s="1372">
        <f>СЧЁТ!AS51</f>
        <v>0</v>
      </c>
      <c r="AS111" s="419">
        <v>0.00648854942627775</v>
      </c>
      <c r="AT111" s="419">
        <v>0.00598854942627775</v>
      </c>
      <c r="AU111" s="419">
        <v>0.00548854942627775</v>
      </c>
      <c r="AV111" s="419">
        <v>0.00498854942627775</v>
      </c>
      <c r="AW111" s="419">
        <v>0.00448854942627775</v>
      </c>
      <c r="AX111" s="287" t="s">
        <v>1614</v>
      </c>
    </row>
    <row r="112" ht="17.5" customHeight="1" spans="4:50" x14ac:dyDescent="0.25">
      <c r="D112" s="1335">
        <v>46</v>
      </c>
      <c r="E112" s="1719">
        <v>40585</v>
      </c>
      <c r="F112" s="1349" t="s">
        <v>553</v>
      </c>
      <c r="G112" s="26" t="s">
        <v>866</v>
      </c>
      <c r="H112" s="1458" t="s">
        <v>1618</v>
      </c>
      <c r="I112" s="1458"/>
      <c r="J112" s="1458"/>
      <c r="K112" s="1458"/>
      <c r="L112" s="1458"/>
      <c r="M112" s="1458"/>
      <c r="N112" s="1362">
        <v>0.3059108200657057</v>
      </c>
      <c r="O112" s="1372">
        <f>СЧЁТ!P76</f>
        <v>0</v>
      </c>
      <c r="P112" s="1372">
        <f>СЧЁТ!Q76</f>
        <v>0</v>
      </c>
      <c r="Q112" s="1372">
        <f>СЧЁТ!R76</f>
        <v>0</v>
      </c>
      <c r="R112" s="1372">
        <f>СЧЁТ!S47</f>
        <v>0</v>
      </c>
      <c r="S112" s="1372" t="e">
        <f>СЧЁТ!#REF!</f>
        <v>#REF!</v>
      </c>
      <c r="T112" s="1372">
        <f>СЧЁТ!U76</f>
        <v>0</v>
      </c>
      <c r="U112" s="1372">
        <f>СЧЁТ!V76</f>
        <v>0</v>
      </c>
      <c r="V112" s="1372">
        <f>СЧЁТ!W76</f>
        <v>0</v>
      </c>
      <c r="W112" s="1372">
        <f>СЧЁТ!X76</f>
        <v>0</v>
      </c>
      <c r="X112" s="1372">
        <f>СЧЁТ!Y76</f>
        <v>0</v>
      </c>
      <c r="Y112" s="1372">
        <f>СЧЁТ!Z76</f>
        <v>0</v>
      </c>
      <c r="Z112" s="1372">
        <f>СЧЁТ!AA76</f>
        <v>0</v>
      </c>
      <c r="AA112" s="1372">
        <f>СЧЁТ!AB59</f>
        <v>0</v>
      </c>
      <c r="AB112" s="1372">
        <f>СЧЁТ!AC52</f>
        <v>0</v>
      </c>
      <c r="AC112" s="1372">
        <f>СЧЁТ!AD52</f>
        <v>0</v>
      </c>
      <c r="AD112" s="1372">
        <f>СЧЁТ!AE52</f>
        <v>0</v>
      </c>
      <c r="AE112" s="1372">
        <f>СЧЁТ!AF52</f>
        <v>0</v>
      </c>
      <c r="AF112" s="1372">
        <f>СЧЁТ!AG52</f>
        <v>0</v>
      </c>
      <c r="AG112" s="1372">
        <f>СЧЁТ!AH52</f>
        <v>0</v>
      </c>
      <c r="AH112" s="1372">
        <f>СЧЁТ!AI52</f>
        <v>0</v>
      </c>
      <c r="AI112" s="1372">
        <f>СЧЁТ!AJ52</f>
        <v>0</v>
      </c>
      <c r="AJ112" s="1372">
        <f>СЧЁТ!AK52</f>
        <v>0</v>
      </c>
      <c r="AK112" s="1372">
        <f>СЧЁТ!AL52</f>
        <v>0</v>
      </c>
      <c r="AL112" s="1372">
        <f>СЧЁТ!AM52</f>
        <v>0</v>
      </c>
      <c r="AM112" s="1372">
        <f>СЧЁТ!AN52</f>
        <v>0</v>
      </c>
      <c r="AN112" s="1372">
        <f>СЧЁТ!AO52</f>
        <v>0</v>
      </c>
      <c r="AO112" s="1372">
        <f>СЧЁТ!AP52</f>
        <v>0</v>
      </c>
      <c r="AP112" s="1372">
        <f>СЧЁТ!AQ52</f>
        <v>0</v>
      </c>
      <c r="AQ112" s="1372">
        <f>СЧЁТ!AR52</f>
        <v>0</v>
      </c>
      <c r="AR112" s="1372">
        <f>СЧЁТ!AS52</f>
        <v>0</v>
      </c>
      <c r="AS112" s="419">
        <v>0.362</v>
      </c>
      <c r="AT112" s="419">
        <v>0.362</v>
      </c>
      <c r="AU112" s="419">
        <v>0.362</v>
      </c>
      <c r="AV112" s="419">
        <v>0.362</v>
      </c>
      <c r="AW112" s="419">
        <v>0.362</v>
      </c>
      <c r="AX112" s="287" t="s">
        <v>553</v>
      </c>
    </row>
    <row r="113" ht="17.5" customHeight="1" spans="4:50" x14ac:dyDescent="0.25">
      <c r="D113" s="1335">
        <v>47</v>
      </c>
      <c r="E113" s="1719">
        <v>40585</v>
      </c>
      <c r="F113" s="1349" t="s">
        <v>550</v>
      </c>
      <c r="G113" s="26" t="s">
        <v>866</v>
      </c>
      <c r="H113" s="1458" t="s">
        <v>1617</v>
      </c>
      <c r="I113" s="1458"/>
      <c r="J113" s="1458"/>
      <c r="K113" s="1458"/>
      <c r="L113" s="1458"/>
      <c r="M113" s="1458"/>
      <c r="N113" s="1362">
        <v>0.34028203577560534</v>
      </c>
      <c r="O113" s="1372" t="e">
        <f>СЧЁТ!#REF!</f>
        <v>#REF!</v>
      </c>
      <c r="P113" s="1372" t="e">
        <f>СЧЁТ!#REF!</f>
        <v>#REF!</v>
      </c>
      <c r="Q113" s="1372" t="e">
        <f>СЧЁТ!#REF!</f>
        <v>#REF!</v>
      </c>
      <c r="R113" s="1372">
        <f>СЧЁТ!S52</f>
        <v>0</v>
      </c>
      <c r="S113" s="1372" t="e">
        <f>СЧЁТ!#REF!</f>
        <v>#REF!</v>
      </c>
      <c r="T113" s="1372">
        <f>СЧЁТ!U54</f>
        <v>0</v>
      </c>
      <c r="U113" s="1372">
        <f>СЧЁТ!V54</f>
        <v>0</v>
      </c>
      <c r="V113" s="1372" t="e">
        <f>СЧЁТ!#REF!</f>
        <v>#REF!</v>
      </c>
      <c r="W113" s="1372">
        <f>СЧЁТ!X56</f>
        <v>0</v>
      </c>
      <c r="X113" s="1372">
        <f>СЧЁТ!Y56</f>
        <v>0</v>
      </c>
      <c r="Y113" s="1372">
        <f>СЧЁТ!Z69</f>
        <v>0</v>
      </c>
      <c r="Z113" s="1372">
        <f>СЧЁТ!AA69</f>
        <v>0</v>
      </c>
      <c r="AA113" s="1372">
        <f>СЧЁТ!AB69</f>
        <v>0</v>
      </c>
      <c r="AB113" s="1372">
        <f>СЧЁТ!AC54</f>
        <v>0</v>
      </c>
      <c r="AC113" s="1372">
        <f>СЧЁТ!AD54</f>
        <v>0</v>
      </c>
      <c r="AD113" s="1372">
        <f>СЧЁТ!AE54</f>
        <v>0</v>
      </c>
      <c r="AE113" s="1372">
        <f>СЧЁТ!AF54</f>
        <v>0</v>
      </c>
      <c r="AF113" s="1372">
        <f>СЧЁТ!AG54</f>
        <v>0</v>
      </c>
      <c r="AG113" s="1372">
        <f>СЧЁТ!AH54</f>
        <v>0</v>
      </c>
      <c r="AH113" s="1372">
        <f>СЧЁТ!AI54</f>
        <v>0</v>
      </c>
      <c r="AI113" s="1372">
        <f>СЧЁТ!AJ54</f>
        <v>0</v>
      </c>
      <c r="AJ113" s="1372">
        <f>СЧЁТ!AK54</f>
        <v>0</v>
      </c>
      <c r="AK113" s="1372">
        <f>СЧЁТ!AL54</f>
        <v>0</v>
      </c>
      <c r="AL113" s="1372">
        <f>СЧЁТ!AM54</f>
        <v>0</v>
      </c>
      <c r="AM113" s="1372">
        <f>СЧЁТ!AN54</f>
        <v>0</v>
      </c>
      <c r="AN113" s="1372">
        <f>СЧЁТ!AO54</f>
        <v>0</v>
      </c>
      <c r="AO113" s="1372">
        <f>СЧЁТ!AP54</f>
        <v>0</v>
      </c>
      <c r="AP113" s="1372">
        <f>СЧЁТ!AQ54</f>
        <v>0</v>
      </c>
      <c r="AQ113" s="1372">
        <f>СЧЁТ!AR54</f>
        <v>0</v>
      </c>
      <c r="AR113" s="1372">
        <f>СЧЁТ!AS54</f>
        <v>0</v>
      </c>
      <c r="AS113" s="419">
        <v>0.367</v>
      </c>
      <c r="AT113" s="419">
        <v>0.367</v>
      </c>
      <c r="AU113" s="419">
        <v>0.367</v>
      </c>
      <c r="AV113" s="419">
        <v>0.367</v>
      </c>
      <c r="AW113" s="419">
        <v>0.367</v>
      </c>
      <c r="AX113" s="287" t="s">
        <v>550</v>
      </c>
    </row>
    <row r="114" ht="17.5" customHeight="1" spans="4:50" x14ac:dyDescent="0.25">
      <c r="D114" s="1335">
        <v>48</v>
      </c>
      <c r="E114" s="1719">
        <v>40585</v>
      </c>
      <c r="F114" s="1349" t="s">
        <v>612</v>
      </c>
      <c r="G114" s="26" t="s">
        <v>866</v>
      </c>
      <c r="H114" s="1458" t="s">
        <v>1630</v>
      </c>
      <c r="I114" s="1458"/>
      <c r="J114" s="1458"/>
      <c r="K114" s="1458"/>
      <c r="L114" s="1458"/>
      <c r="M114" s="1458"/>
      <c r="N114" s="1362">
        <v>0.022490438989016016</v>
      </c>
      <c r="O114" s="1372">
        <f>СЧЁТ!P37</f>
        <v>0</v>
      </c>
      <c r="P114" s="1372">
        <f>СЧЁТ!Q37</f>
        <v>0</v>
      </c>
      <c r="Q114" s="1372">
        <f>СЧЁТ!R37</f>
        <v>0</v>
      </c>
      <c r="R114" s="1372">
        <f>СЧЁТ!S37</f>
        <v>0</v>
      </c>
      <c r="S114" s="1372">
        <f>СЧЁТ!T37</f>
        <v>0</v>
      </c>
      <c r="T114" s="1372">
        <f>СЧЁТ!U37</f>
        <v>0</v>
      </c>
      <c r="U114" s="1372">
        <f>СЧЁТ!V37</f>
        <v>0</v>
      </c>
      <c r="V114" s="1372">
        <f>СЧЁТ!W37</f>
        <v>0</v>
      </c>
      <c r="W114" s="1372">
        <f>СЧЁТ!X37</f>
        <v>0</v>
      </c>
      <c r="X114" s="1372">
        <f>СЧЁТ!Y37</f>
        <v>0</v>
      </c>
      <c r="Y114" s="1372">
        <f>СЧЁТ!Z37</f>
        <v>0</v>
      </c>
      <c r="Z114" s="1372">
        <f>СЧЁТ!AA37</f>
        <v>0</v>
      </c>
      <c r="AA114" s="1372">
        <f>СЧЁТ!AB37</f>
        <v>0</v>
      </c>
      <c r="AB114" s="1372">
        <f>СЧЁТ!AC37</f>
        <v>0</v>
      </c>
      <c r="AC114" s="1372">
        <f>СЧЁТ!AD37</f>
        <v>0</v>
      </c>
      <c r="AD114" s="1372">
        <f>СЧЁТ!AE37</f>
        <v>0</v>
      </c>
      <c r="AE114" s="1372">
        <f>СЧЁТ!AF37</f>
        <v>0</v>
      </c>
      <c r="AF114" s="1372">
        <f>СЧЁТ!AG37</f>
        <v>0</v>
      </c>
      <c r="AG114" s="1372">
        <f>СЧЁТ!AH37</f>
        <v>0</v>
      </c>
      <c r="AH114" s="1372">
        <f>СЧЁТ!AI37</f>
        <v>0</v>
      </c>
      <c r="AI114" s="1372">
        <f>СЧЁТ!AJ37</f>
        <v>0</v>
      </c>
      <c r="AJ114" s="1372">
        <f>СЧЁТ!AK37</f>
        <v>0</v>
      </c>
      <c r="AK114" s="1372">
        <f>СЧЁТ!AL37</f>
        <v>0</v>
      </c>
      <c r="AL114" s="1372">
        <f>СЧЁТ!AM37</f>
        <v>0</v>
      </c>
      <c r="AM114" s="1372">
        <f>СЧЁТ!AN37</f>
        <v>0</v>
      </c>
      <c r="AN114" s="1372">
        <f>СЧЁТ!AO37</f>
        <v>0</v>
      </c>
      <c r="AO114" s="1372">
        <f>СЧЁТ!AP37</f>
        <v>0</v>
      </c>
      <c r="AP114" s="1372">
        <f>СЧЁТ!AQ37</f>
        <v>0</v>
      </c>
      <c r="AQ114" s="1372">
        <f>СЧЁТ!AR37</f>
        <v>0</v>
      </c>
      <c r="AR114" s="1372">
        <f>СЧЁТ!AS37</f>
        <v>0</v>
      </c>
      <c r="AS114" s="419">
        <v>0.01248786247056501</v>
      </c>
      <c r="AT114" s="419">
        <v>0.01248786247056501</v>
      </c>
      <c r="AU114" s="419">
        <v>0.01248786247056501</v>
      </c>
      <c r="AV114" s="419">
        <v>0.01248786247056501</v>
      </c>
      <c r="AW114" s="419">
        <v>0.01248786247056501</v>
      </c>
      <c r="AX114" s="287" t="s">
        <v>612</v>
      </c>
    </row>
    <row r="115" ht="17.5" customHeight="1" spans="4:50" x14ac:dyDescent="0.25">
      <c r="D115" s="1335">
        <v>49</v>
      </c>
      <c r="E115" s="1722">
        <v>40586</v>
      </c>
      <c r="F115" s="1349" t="s">
        <v>936</v>
      </c>
      <c r="G115" s="26" t="s">
        <v>866</v>
      </c>
      <c r="H115" s="1458" t="s">
        <v>1620</v>
      </c>
      <c r="I115" s="1458"/>
      <c r="J115" s="1458"/>
      <c r="K115" s="1458"/>
      <c r="L115" s="1458"/>
      <c r="M115" s="1458"/>
      <c r="N115" s="1371">
        <v>1</v>
      </c>
      <c r="O115" s="1372">
        <f>СЧЁТ!P38</f>
        <v>0</v>
      </c>
      <c r="P115" s="1372">
        <f>СЧЁТ!Q38</f>
        <v>0</v>
      </c>
      <c r="Q115" s="1372">
        <f>СЧЁТ!R38</f>
        <v>0</v>
      </c>
      <c r="R115" s="1372">
        <f>СЧЁТ!S38</f>
        <v>0</v>
      </c>
      <c r="S115" s="1372">
        <f>СЧЁТ!T38</f>
        <v>0</v>
      </c>
      <c r="T115" s="1372">
        <f>СЧЁТ!U38</f>
        <v>0</v>
      </c>
      <c r="U115" s="1372">
        <f>СЧЁТ!V38</f>
        <v>0</v>
      </c>
      <c r="V115" s="1372">
        <f>СЧЁТ!W38</f>
        <v>0</v>
      </c>
      <c r="W115" s="1372">
        <f>СЧЁТ!X38</f>
        <v>0</v>
      </c>
      <c r="X115" s="1372">
        <f>СЧЁТ!Y38</f>
        <v>0</v>
      </c>
      <c r="Y115" s="1372">
        <f>СЧЁТ!Z38</f>
        <v>0</v>
      </c>
      <c r="Z115" s="1372">
        <f>СЧЁТ!AA38</f>
        <v>0</v>
      </c>
      <c r="AA115" s="1372">
        <f>СЧЁТ!AB38</f>
        <v>0</v>
      </c>
      <c r="AB115" s="1372">
        <f>СЧЁТ!AC38</f>
        <v>0</v>
      </c>
      <c r="AC115" s="1372">
        <f>СЧЁТ!AD38</f>
        <v>0</v>
      </c>
      <c r="AD115" s="1372">
        <f>СЧЁТ!AE38</f>
        <v>0</v>
      </c>
      <c r="AE115" s="1372">
        <f>СЧЁТ!AF38</f>
        <v>0</v>
      </c>
      <c r="AF115" s="1372">
        <f>СЧЁТ!AG38</f>
        <v>0</v>
      </c>
      <c r="AG115" s="1372">
        <f>СЧЁТ!AH38</f>
        <v>0</v>
      </c>
      <c r="AH115" s="1372">
        <f>СЧЁТ!AI38</f>
        <v>0</v>
      </c>
      <c r="AI115" s="1372">
        <f>СЧЁТ!AJ38</f>
        <v>0</v>
      </c>
      <c r="AJ115" s="1372">
        <f>СЧЁТ!AK38</f>
        <v>0</v>
      </c>
      <c r="AK115" s="1372">
        <f>СЧЁТ!AL38</f>
        <v>0</v>
      </c>
      <c r="AL115" s="1372">
        <f>СЧЁТ!AM38</f>
        <v>0</v>
      </c>
      <c r="AM115" s="1372">
        <f>СЧЁТ!AN38</f>
        <v>0</v>
      </c>
      <c r="AN115" s="1372">
        <f>СЧЁТ!AO38</f>
        <v>0</v>
      </c>
      <c r="AO115" s="1372">
        <f>СЧЁТ!AP38</f>
        <v>0</v>
      </c>
      <c r="AP115" s="1372">
        <f>СЧЁТ!AQ38</f>
        <v>0</v>
      </c>
      <c r="AQ115" s="1372">
        <f>СЧЁТ!AR38</f>
        <v>0</v>
      </c>
      <c r="AR115" s="1372">
        <f>СЧЁТ!AS38</f>
        <v>0</v>
      </c>
      <c r="AS115" s="419">
        <v>2.930384144554933</v>
      </c>
      <c r="AT115" s="419">
        <v>2.945859395325897</v>
      </c>
      <c r="AU115" s="419">
        <v>2.9597871210197644</v>
      </c>
      <c r="AV115" s="419">
        <v>2.972322074144245</v>
      </c>
      <c r="AW115" s="419">
        <v>2.9836035319562777</v>
      </c>
      <c r="AX115" s="287" t="s">
        <v>936</v>
      </c>
    </row>
    <row r="116" ht="17.5" customHeight="1" spans="4:50" x14ac:dyDescent="0.25">
      <c r="D116" s="1335">
        <v>50</v>
      </c>
      <c r="E116" s="1724"/>
      <c r="F116" s="1349" t="s">
        <v>1621</v>
      </c>
      <c r="G116" s="26" t="s">
        <v>277</v>
      </c>
      <c r="H116" s="1458" t="s">
        <v>928</v>
      </c>
      <c r="I116" s="1458"/>
      <c r="J116" s="1458"/>
      <c r="K116" s="1458"/>
      <c r="L116" s="1458"/>
      <c r="M116" s="1458"/>
      <c r="N116" s="1368">
        <v>418.4685</v>
      </c>
      <c r="O116" s="1372" t="e">
        <f>СЧЁТ!#REF!</f>
        <v>#REF!</v>
      </c>
      <c r="P116" s="1372" t="e">
        <f>СЧЁТ!#REF!</f>
        <v>#REF!</v>
      </c>
      <c r="Q116" s="1372" t="e">
        <f>СЧЁТ!#REF!</f>
        <v>#REF!</v>
      </c>
      <c r="R116" s="1372" t="e">
        <f>СЧЁТ!#REF!</f>
        <v>#REF!</v>
      </c>
      <c r="S116" s="1372" t="e">
        <f>СЧЁТ!#REF!</f>
        <v>#REF!</v>
      </c>
      <c r="T116" s="1372" t="e">
        <f>СЧЁТ!#REF!</f>
        <v>#REF!</v>
      </c>
      <c r="U116" s="1372" t="e">
        <f>СЧЁТ!#REF!</f>
        <v>#REF!</v>
      </c>
      <c r="V116" s="1372" t="e">
        <f>СЧЁТ!#REF!</f>
        <v>#REF!</v>
      </c>
      <c r="W116" s="1372" t="e">
        <f>СЧЁТ!#REF!</f>
        <v>#REF!</v>
      </c>
      <c r="X116" s="1372" t="e">
        <f>СЧЁТ!#REF!</f>
        <v>#REF!</v>
      </c>
      <c r="Y116" s="1372" t="e">
        <f>СЧЁТ!#REF!</f>
        <v>#REF!</v>
      </c>
      <c r="Z116" s="1372" t="e">
        <f>СЧЁТ!#REF!</f>
        <v>#REF!</v>
      </c>
      <c r="AA116" s="1372" t="e">
        <f>СЧЁТ!#REF!</f>
        <v>#REF!</v>
      </c>
      <c r="AB116" s="1372">
        <f>СЧЁТ!AC65</f>
        <v>0</v>
      </c>
      <c r="AC116" s="1372">
        <f>СЧЁТ!AD65</f>
        <v>0</v>
      </c>
      <c r="AD116" s="1372">
        <f>СЧЁТ!AE65</f>
        <v>0</v>
      </c>
      <c r="AE116" s="1372">
        <f>СЧЁТ!AF65</f>
        <v>0</v>
      </c>
      <c r="AF116" s="1372">
        <f>СЧЁТ!AG65</f>
        <v>0</v>
      </c>
      <c r="AG116" s="1372">
        <f>СЧЁТ!AH65</f>
        <v>0</v>
      </c>
      <c r="AH116" s="1372">
        <f>СЧЁТ!AI65</f>
        <v>0</v>
      </c>
      <c r="AI116" s="1372">
        <f>СЧЁТ!AJ65</f>
        <v>0</v>
      </c>
      <c r="AJ116" s="1372">
        <f>СЧЁТ!AK65</f>
        <v>0</v>
      </c>
      <c r="AK116" s="1372">
        <f>СЧЁТ!AL65</f>
        <v>0</v>
      </c>
      <c r="AL116" s="1372">
        <f>СЧЁТ!AM65</f>
        <v>0</v>
      </c>
      <c r="AM116" s="1372">
        <f>СЧЁТ!AN65</f>
        <v>0</v>
      </c>
      <c r="AN116" s="1372">
        <f>СЧЁТ!AO65</f>
        <v>0</v>
      </c>
      <c r="AO116" s="1372">
        <f>СЧЁТ!AP65</f>
        <v>0</v>
      </c>
      <c r="AP116" s="1372">
        <f>СЧЁТ!AQ65</f>
        <v>0</v>
      </c>
      <c r="AQ116" s="1372">
        <f>СЧЁТ!AR65</f>
        <v>0</v>
      </c>
      <c r="AR116" s="1372">
        <f>СЧЁТ!AS65</f>
        <v>0</v>
      </c>
      <c r="AX116" s="287" t="s">
        <v>1621</v>
      </c>
    </row>
    <row r="117" ht="17.5" customHeight="1" spans="4:50" x14ac:dyDescent="0.25">
      <c r="D117" s="1335">
        <v>51</v>
      </c>
      <c r="E117" s="1724"/>
      <c r="F117" s="1349" t="s">
        <v>24</v>
      </c>
      <c r="G117" s="26" t="s">
        <v>277</v>
      </c>
      <c r="H117" s="1458" t="s">
        <v>952</v>
      </c>
      <c r="I117" s="1458"/>
      <c r="J117" s="1458"/>
      <c r="K117" s="1458"/>
      <c r="L117" s="1725">
        <v>392.2955639834661</v>
      </c>
      <c r="M117" s="1453">
        <v>296.96774193548384</v>
      </c>
      <c r="N117" s="1726">
        <v>266.974</v>
      </c>
      <c r="O117" s="1351" t="e">
        <f>СЧЁТ!#REF!</f>
        <v>#REF!</v>
      </c>
      <c r="P117" s="1351" t="e">
        <f>СЧЁТ!#REF!</f>
        <v>#REF!</v>
      </c>
      <c r="Q117" s="1351" t="e">
        <f>СЧЁТ!#REF!</f>
        <v>#REF!</v>
      </c>
      <c r="R117" s="1351" t="e">
        <f>СЧЁТ!#REF!</f>
        <v>#REF!</v>
      </c>
      <c r="S117" s="1351" t="e">
        <f>СЧЁТ!#REF!</f>
        <v>#REF!</v>
      </c>
      <c r="T117" s="1351" t="e">
        <f>СЧЁТ!#REF!</f>
        <v>#REF!</v>
      </c>
      <c r="U117" s="1351" t="e">
        <f>СЧЁТ!#REF!</f>
        <v>#REF!</v>
      </c>
      <c r="V117" s="1372" t="e">
        <f>СЧЁТ!#REF!</f>
        <v>#REF!</v>
      </c>
      <c r="W117" s="1372" t="e">
        <f>СЧЁТ!#REF!</f>
        <v>#REF!</v>
      </c>
      <c r="X117" s="1372" t="e">
        <f>СЧЁТ!#REF!</f>
        <v>#REF!</v>
      </c>
      <c r="Y117" s="1372" t="e">
        <f>СЧЁТ!#REF!</f>
        <v>#REF!</v>
      </c>
      <c r="Z117" s="1372" t="e">
        <f>СЧЁТ!#REF!</f>
        <v>#REF!</v>
      </c>
      <c r="AA117" s="1372" t="e">
        <f>СЧЁТ!#REF!</f>
        <v>#REF!</v>
      </c>
      <c r="AB117" s="1372">
        <f>СЧЁТ!AC66</f>
        <v>0</v>
      </c>
      <c r="AC117" s="1372">
        <f>СЧЁТ!AD66</f>
        <v>0</v>
      </c>
      <c r="AD117" s="1372">
        <f>СЧЁТ!AE66</f>
        <v>0</v>
      </c>
      <c r="AE117" s="1372">
        <f>СЧЁТ!AF66</f>
        <v>0</v>
      </c>
      <c r="AF117" s="1372">
        <f>СЧЁТ!AG66</f>
        <v>0</v>
      </c>
      <c r="AG117" s="1372">
        <f>СЧЁТ!AH66</f>
        <v>0</v>
      </c>
      <c r="AH117" s="1372">
        <f>СЧЁТ!AI66</f>
        <v>0</v>
      </c>
      <c r="AI117" s="1372">
        <f>СЧЁТ!AJ66</f>
        <v>0</v>
      </c>
      <c r="AJ117" s="1372">
        <f>СЧЁТ!AK66</f>
        <v>0</v>
      </c>
      <c r="AK117" s="1372">
        <f>СЧЁТ!AL66</f>
        <v>0</v>
      </c>
      <c r="AL117" s="1372">
        <f>СЧЁТ!AM66</f>
        <v>0</v>
      </c>
      <c r="AM117" s="1372">
        <f>СЧЁТ!AN66</f>
        <v>0</v>
      </c>
      <c r="AN117" s="1372">
        <f>СЧЁТ!AO66</f>
        <v>0</v>
      </c>
      <c r="AO117" s="1372">
        <f>СЧЁТ!AP66</f>
        <v>0</v>
      </c>
      <c r="AP117" s="1372">
        <f>СЧЁТ!AQ66</f>
        <v>0</v>
      </c>
      <c r="AQ117" s="1372">
        <f>СЧЁТ!AR66</f>
        <v>0</v>
      </c>
      <c r="AR117" s="1372">
        <f>СЧЁТ!AS66</f>
        <v>0</v>
      </c>
      <c r="AX117" s="287" t="s">
        <v>24</v>
      </c>
    </row>
    <row r="118" ht="17.5" customHeight="1" spans="4:50" x14ac:dyDescent="0.25">
      <c r="D118" s="1335">
        <v>52</v>
      </c>
      <c r="E118" s="1724"/>
      <c r="F118" s="1349" t="s">
        <v>116</v>
      </c>
      <c r="G118" s="26" t="s">
        <v>277</v>
      </c>
      <c r="H118" s="1458" t="s">
        <v>1622</v>
      </c>
      <c r="I118" s="1458"/>
      <c r="J118" s="1458"/>
      <c r="K118" s="1458"/>
      <c r="L118" s="1458"/>
      <c r="M118" s="1727">
        <v>610.838</v>
      </c>
      <c r="N118" s="1368">
        <v>1428.5209000000002</v>
      </c>
      <c r="O118" s="1372" t="e">
        <f>СЧЁТ!#REF!</f>
        <v>#REF!</v>
      </c>
      <c r="P118" s="1372" t="e">
        <f>СЧЁТ!#REF!</f>
        <v>#REF!</v>
      </c>
      <c r="Q118" s="1372" t="e">
        <f>СЧЁТ!#REF!</f>
        <v>#REF!</v>
      </c>
      <c r="R118" s="1372" t="e">
        <f>СЧЁТ!#REF!</f>
        <v>#REF!</v>
      </c>
      <c r="S118" s="1372" t="e">
        <f>СЧЁТ!#REF!</f>
        <v>#REF!</v>
      </c>
      <c r="T118" s="1372" t="e">
        <f>СЧЁТ!#REF!</f>
        <v>#REF!</v>
      </c>
      <c r="U118" s="1372" t="e">
        <f>СЧЁТ!#REF!</f>
        <v>#REF!</v>
      </c>
      <c r="V118" s="1372" t="e">
        <f>СЧЁТ!#REF!</f>
        <v>#REF!</v>
      </c>
      <c r="W118" s="1372" t="e">
        <f>СЧЁТ!#REF!</f>
        <v>#REF!</v>
      </c>
      <c r="X118" s="1372" t="e">
        <f>СЧЁТ!#REF!</f>
        <v>#REF!</v>
      </c>
      <c r="Y118" s="1372" t="e">
        <f>СЧЁТ!#REF!</f>
        <v>#REF!</v>
      </c>
      <c r="Z118" s="1372" t="e">
        <f>СЧЁТ!#REF!</f>
        <v>#REF!</v>
      </c>
      <c r="AA118" s="1372" t="e">
        <f>СЧЁТ!#REF!</f>
        <v>#REF!</v>
      </c>
      <c r="AB118" s="1372">
        <f>СЧЁТ!AC67</f>
        <v>0</v>
      </c>
      <c r="AC118" s="1372">
        <f>СЧЁТ!AD67</f>
        <v>0</v>
      </c>
      <c r="AD118" s="1372">
        <f>СЧЁТ!AE67</f>
        <v>0</v>
      </c>
      <c r="AE118" s="1372">
        <f>СЧЁТ!AF67</f>
        <v>0</v>
      </c>
      <c r="AF118" s="1372">
        <f>СЧЁТ!AG67</f>
        <v>0</v>
      </c>
      <c r="AG118" s="1372">
        <f>СЧЁТ!AH67</f>
        <v>0</v>
      </c>
      <c r="AH118" s="1372">
        <f>СЧЁТ!AI67</f>
        <v>0</v>
      </c>
      <c r="AI118" s="1372">
        <f>СЧЁТ!AJ67</f>
        <v>0</v>
      </c>
      <c r="AJ118" s="1372">
        <f>СЧЁТ!AK67</f>
        <v>0</v>
      </c>
      <c r="AK118" s="1372">
        <f>СЧЁТ!AL67</f>
        <v>0</v>
      </c>
      <c r="AL118" s="1372">
        <f>СЧЁТ!AM67</f>
        <v>0</v>
      </c>
      <c r="AM118" s="1372">
        <f>СЧЁТ!AN67</f>
        <v>0</v>
      </c>
      <c r="AN118" s="1372">
        <f>СЧЁТ!AO67</f>
        <v>0</v>
      </c>
      <c r="AO118" s="1372">
        <f>СЧЁТ!AP67</f>
        <v>0</v>
      </c>
      <c r="AP118" s="1372">
        <f>СЧЁТ!AQ67</f>
        <v>0</v>
      </c>
      <c r="AQ118" s="1372">
        <f>СЧЁТ!AR67</f>
        <v>0</v>
      </c>
      <c r="AR118" s="1372">
        <f>СЧЁТ!AS67</f>
        <v>0</v>
      </c>
      <c r="AX118" s="287" t="s">
        <v>116</v>
      </c>
    </row>
    <row r="119" ht="17.5" customHeight="1" spans="4:50" x14ac:dyDescent="0.25">
      <c r="D119" s="1335">
        <v>53</v>
      </c>
      <c r="E119" s="1724"/>
      <c r="F119" s="1349" t="s">
        <v>312</v>
      </c>
      <c r="G119" s="26" t="s">
        <v>277</v>
      </c>
      <c r="H119" s="1458" t="s">
        <v>1623</v>
      </c>
      <c r="I119" s="1458"/>
      <c r="J119" s="1458"/>
      <c r="K119" s="1458"/>
      <c r="L119" s="1458"/>
      <c r="M119" s="1458"/>
      <c r="N119" s="1371">
        <v>0</v>
      </c>
      <c r="O119" s="1372" t="e">
        <f>СЧЁТ!#REF!</f>
        <v>#REF!</v>
      </c>
      <c r="P119" s="1372" t="e">
        <f>СЧЁТ!#REF!</f>
        <v>#REF!</v>
      </c>
      <c r="Q119" s="1372" t="e">
        <f>СЧЁТ!#REF!</f>
        <v>#REF!</v>
      </c>
      <c r="R119" s="1372" t="e">
        <f>СЧЁТ!#REF!</f>
        <v>#REF!</v>
      </c>
      <c r="S119" s="1372" t="e">
        <f>СЧЁТ!#REF!</f>
        <v>#REF!</v>
      </c>
      <c r="T119" s="1372">
        <f>СЧЁТ!U77</f>
        <v>0</v>
      </c>
      <c r="U119" s="1372">
        <f>СЧЁТ!V77</f>
        <v>0</v>
      </c>
      <c r="V119" s="1372">
        <f>СЧЁТ!W77</f>
        <v>0</v>
      </c>
      <c r="W119" s="1372">
        <f>СЧЁТ!X77</f>
        <v>0</v>
      </c>
      <c r="X119" s="1372">
        <f>СЧЁТ!Y77</f>
        <v>0</v>
      </c>
      <c r="Y119" s="1372">
        <f>СЧЁТ!Z77</f>
        <v>0</v>
      </c>
      <c r="Z119" s="1372">
        <f>СЧЁТ!AA77</f>
        <v>0</v>
      </c>
      <c r="AA119" s="1372">
        <f>СЧЁТ!AB77</f>
        <v>0</v>
      </c>
      <c r="AB119" s="1372">
        <f>СЧЁТ!AC77</f>
        <v>0</v>
      </c>
      <c r="AC119" s="1372">
        <f>СЧЁТ!AD77</f>
        <v>0</v>
      </c>
      <c r="AD119" s="1372">
        <f>СЧЁТ!AE77</f>
        <v>0</v>
      </c>
      <c r="AE119" s="1372">
        <f>СЧЁТ!AF77</f>
        <v>0</v>
      </c>
      <c r="AF119" s="1372">
        <f>СЧЁТ!AG77</f>
        <v>0</v>
      </c>
      <c r="AG119" s="1372">
        <f>СЧЁТ!AH77</f>
        <v>0</v>
      </c>
      <c r="AH119" s="1372">
        <f>СЧЁТ!AI77</f>
        <v>0</v>
      </c>
      <c r="AI119" s="1372">
        <f>СЧЁТ!AJ77</f>
        <v>0</v>
      </c>
      <c r="AJ119" s="1372">
        <f>СЧЁТ!AK77</f>
        <v>0</v>
      </c>
      <c r="AK119" s="1372">
        <f>СЧЁТ!AL77</f>
        <v>0</v>
      </c>
      <c r="AL119" s="1372">
        <f>СЧЁТ!AM77</f>
        <v>0</v>
      </c>
      <c r="AM119" s="1372">
        <f>СЧЁТ!AN77</f>
        <v>0</v>
      </c>
      <c r="AN119" s="1372">
        <f>СЧЁТ!AO77</f>
        <v>0</v>
      </c>
      <c r="AO119" s="1372">
        <f>СЧЁТ!AP77</f>
        <v>0</v>
      </c>
      <c r="AP119" s="1372">
        <f>СЧЁТ!AQ77</f>
        <v>0</v>
      </c>
      <c r="AQ119" s="1372">
        <f>СЧЁТ!AR77</f>
        <v>0</v>
      </c>
      <c r="AR119" s="1372">
        <f>СЧЁТ!AS77</f>
        <v>0</v>
      </c>
      <c r="AS119" s="1351">
        <v>0</v>
      </c>
      <c r="AT119" s="1351">
        <v>0</v>
      </c>
      <c r="AU119" s="1351">
        <v>0</v>
      </c>
      <c r="AV119" s="1351">
        <v>0</v>
      </c>
      <c r="AW119" s="1351">
        <v>0</v>
      </c>
      <c r="AX119" s="287" t="s">
        <v>312</v>
      </c>
    </row>
    <row r="120" ht="17.5" customHeight="1" spans="4:50" x14ac:dyDescent="0.25">
      <c r="D120" s="1707">
        <v>54</v>
      </c>
      <c r="E120" s="1728">
        <v>40585</v>
      </c>
      <c r="F120" s="1729" t="s">
        <v>1631</v>
      </c>
      <c r="G120" s="692" t="s">
        <v>866</v>
      </c>
      <c r="H120" s="1730" t="s">
        <v>1625</v>
      </c>
      <c r="I120" s="1730"/>
      <c r="J120" s="1730"/>
      <c r="K120" s="1730"/>
      <c r="L120" s="1458"/>
      <c r="M120" s="1458"/>
      <c r="N120" s="1662">
        <v>0</v>
      </c>
      <c r="O120" s="1372" t="e">
        <f>СЧЁТ!#REF!</f>
        <v>#REF!</v>
      </c>
      <c r="P120" s="1372" t="e">
        <f>СЧЁТ!#REF!</f>
        <v>#REF!</v>
      </c>
      <c r="Q120" s="1372" t="e">
        <f>СЧЁТ!#REF!</f>
        <v>#REF!</v>
      </c>
      <c r="R120" s="1372" t="e">
        <f>СЧЁТ!#REF!</f>
        <v>#REF!</v>
      </c>
      <c r="S120" s="1372" t="e">
        <f>СЧЁТ!#REF!</f>
        <v>#REF!</v>
      </c>
      <c r="T120" s="1372">
        <f>СЧЁТ!U78</f>
        <v>0</v>
      </c>
      <c r="U120" s="1372">
        <f>СЧЁТ!V78</f>
        <v>0</v>
      </c>
      <c r="V120" s="1372">
        <f>СЧЁТ!W78</f>
        <v>0</v>
      </c>
      <c r="W120" s="1372">
        <f>СЧЁТ!X78</f>
        <v>0</v>
      </c>
      <c r="X120" s="1372">
        <f>СЧЁТ!Y78</f>
        <v>0</v>
      </c>
      <c r="Y120" s="1372">
        <f>СЧЁТ!Z78</f>
        <v>0</v>
      </c>
      <c r="Z120" s="1372">
        <f>СЧЁТ!AA78</f>
        <v>0</v>
      </c>
      <c r="AA120" s="1372">
        <f>СЧЁТ!AB78</f>
        <v>0</v>
      </c>
      <c r="AB120" s="1372">
        <f>СЧЁТ!AC78</f>
        <v>0</v>
      </c>
      <c r="AC120" s="1372">
        <f>СЧЁТ!AD78</f>
        <v>0</v>
      </c>
      <c r="AD120" s="1372">
        <f>СЧЁТ!AE78</f>
        <v>0</v>
      </c>
      <c r="AE120" s="1372">
        <f>СЧЁТ!AF78</f>
        <v>0</v>
      </c>
      <c r="AF120" s="1372">
        <f>СЧЁТ!AG78</f>
        <v>0</v>
      </c>
      <c r="AG120" s="1372">
        <f>СЧЁТ!AH78</f>
        <v>0</v>
      </c>
      <c r="AH120" s="1372">
        <f>СЧЁТ!AI78</f>
        <v>0</v>
      </c>
      <c r="AI120" s="1372">
        <f>СЧЁТ!AJ78</f>
        <v>0</v>
      </c>
      <c r="AJ120" s="1372">
        <f>СЧЁТ!AK78</f>
        <v>0</v>
      </c>
      <c r="AK120" s="1372">
        <f>СЧЁТ!AL78</f>
        <v>0</v>
      </c>
      <c r="AL120" s="1372">
        <f>СЧЁТ!AM78</f>
        <v>0</v>
      </c>
      <c r="AM120" s="1372">
        <f>СЧЁТ!AN78</f>
        <v>0</v>
      </c>
      <c r="AN120" s="1372">
        <f>СЧЁТ!AO78</f>
        <v>0</v>
      </c>
      <c r="AO120" s="1372">
        <f>СЧЁТ!AP78</f>
        <v>0</v>
      </c>
      <c r="AP120" s="1372">
        <f>СЧЁТ!AQ78</f>
        <v>0</v>
      </c>
      <c r="AQ120" s="1372">
        <f>СЧЁТ!AR78</f>
        <v>0</v>
      </c>
      <c r="AR120" s="1372">
        <f>СЧЁТ!AS78</f>
        <v>0</v>
      </c>
      <c r="AS120" s="419">
        <v>0.008089909657662049</v>
      </c>
      <c r="AT120" s="419">
        <v>0.007983834536182892</v>
      </c>
      <c r="AU120" s="419">
        <v>0.007904278195073524</v>
      </c>
      <c r="AV120" s="419">
        <v>0.007844610939241499</v>
      </c>
      <c r="AW120" s="419">
        <v>0.00779986049736748</v>
      </c>
      <c r="AX120" s="287" t="s">
        <v>1631</v>
      </c>
    </row>
    <row r="121" ht="15.5" customHeight="1" spans="12:50" x14ac:dyDescent="0.25">
      <c r="L121" s="1731">
        <v>1993</v>
      </c>
      <c r="M121" s="1437">
        <v>1994</v>
      </c>
      <c r="N121" s="1436">
        <v>1995</v>
      </c>
      <c r="O121" s="1437">
        <v>1996</v>
      </c>
      <c r="P121" s="1437">
        <v>1997</v>
      </c>
      <c r="Q121" s="1437">
        <v>1998</v>
      </c>
      <c r="R121" s="1437">
        <v>1999</v>
      </c>
      <c r="S121" s="1437">
        <v>2000</v>
      </c>
      <c r="T121" s="1437">
        <v>2001</v>
      </c>
      <c r="U121" s="1437">
        <v>2002</v>
      </c>
      <c r="V121" s="1437">
        <v>2003</v>
      </c>
      <c r="W121" s="1437">
        <v>2004</v>
      </c>
      <c r="X121" s="1437">
        <v>2005</v>
      </c>
      <c r="Y121" s="1437">
        <v>2006</v>
      </c>
      <c r="Z121" s="1437">
        <v>2007</v>
      </c>
      <c r="AA121" s="1437">
        <v>2008</v>
      </c>
      <c r="AB121" s="1437">
        <v>2009</v>
      </c>
      <c r="AC121" s="1437">
        <v>2010</v>
      </c>
      <c r="AD121" s="1437">
        <v>2011</v>
      </c>
      <c r="AE121" s="1437">
        <v>2012</v>
      </c>
      <c r="AF121" s="1437">
        <v>2013</v>
      </c>
      <c r="AG121" s="1437">
        <v>2014</v>
      </c>
      <c r="AH121" s="1437">
        <v>2015</v>
      </c>
      <c r="AI121" s="1437">
        <v>2016</v>
      </c>
      <c r="AJ121" s="1437">
        <v>2017</v>
      </c>
      <c r="AK121" s="1437">
        <v>2018</v>
      </c>
      <c r="AL121" s="1437">
        <v>2019</v>
      </c>
      <c r="AM121" s="1437">
        <v>2020</v>
      </c>
      <c r="AN121" s="1437">
        <v>2021</v>
      </c>
      <c r="AO121" s="1437">
        <v>2022</v>
      </c>
      <c r="AP121" s="1437">
        <v>2023</v>
      </c>
      <c r="AQ121" s="1437">
        <v>2024</v>
      </c>
      <c r="AR121" s="1438">
        <v>2025</v>
      </c>
      <c r="AS121" s="1437">
        <v>2026</v>
      </c>
      <c r="AT121" s="1438">
        <v>2027</v>
      </c>
      <c r="AU121" s="1437">
        <v>2028</v>
      </c>
      <c r="AV121" s="1438">
        <v>2029</v>
      </c>
      <c r="AW121" s="1437">
        <v>2030</v>
      </c>
      <c r="AX121" s="287">
        <v>0</v>
      </c>
    </row>
    <row r="123" ht="15" customHeight="1" x14ac:dyDescent="0.25"/>
    <row r="124" ht="18" customHeight="1" spans="4:45" x14ac:dyDescent="0.25">
      <c r="D124" s="1323" t="s">
        <v>520</v>
      </c>
      <c r="E124" s="1324">
        <v>40580</v>
      </c>
      <c r="F124" s="1712"/>
      <c r="G124" s="1713" t="s">
        <v>1632</v>
      </c>
      <c r="H124" s="1326"/>
      <c r="I124" s="1326"/>
      <c r="J124" s="1326"/>
      <c r="K124" s="1326"/>
      <c r="L124" s="1326"/>
      <c r="M124" s="1327"/>
      <c r="N124" s="1714" t="s">
        <v>1004</v>
      </c>
      <c r="O124" s="1329" t="s">
        <v>1565</v>
      </c>
      <c r="P124" s="1329" t="s">
        <v>1006</v>
      </c>
      <c r="Q124" s="1329" t="s">
        <v>1007</v>
      </c>
      <c r="R124" s="1329" t="s">
        <v>1008</v>
      </c>
      <c r="S124" s="1329" t="s">
        <v>1006</v>
      </c>
      <c r="T124" s="1329"/>
      <c r="U124" s="1329"/>
      <c r="V124" s="1329"/>
      <c r="W124" s="1329"/>
      <c r="X124" s="1329"/>
      <c r="Y124" s="1329"/>
      <c r="Z124" s="1329"/>
      <c r="AA124" s="1329"/>
      <c r="AB124" s="1329"/>
      <c r="AC124" s="1715" t="s">
        <v>1566</v>
      </c>
      <c r="AD124" s="1330" t="s">
        <v>1567</v>
      </c>
      <c r="AE124" s="1330" t="s">
        <v>1565</v>
      </c>
      <c r="AF124" s="1330" t="s">
        <v>1568</v>
      </c>
      <c r="AG124" s="1330" t="s">
        <v>1569</v>
      </c>
      <c r="AH124" s="1330" t="s">
        <v>1565</v>
      </c>
      <c r="AI124" s="1330" t="s">
        <v>1570</v>
      </c>
      <c r="AJ124" s="1330"/>
      <c r="AK124" s="1330"/>
      <c r="AL124" s="1330"/>
      <c r="AM124" s="1330"/>
      <c r="AN124" s="1330"/>
      <c r="AO124" s="1330"/>
      <c r="AP124" s="1330"/>
      <c r="AQ124" s="1330"/>
      <c r="AR124" s="1330"/>
      <c r="AS124" s="1332"/>
    </row>
    <row r="125" ht="16.25" customHeight="1" spans="4:45" x14ac:dyDescent="0.25">
      <c r="D125" s="1335"/>
      <c r="E125" s="1336" t="s">
        <v>1011</v>
      </c>
      <c r="F125" s="1716"/>
      <c r="G125" s="1393"/>
      <c r="H125" s="1717" t="s">
        <v>1571</v>
      </c>
      <c r="I125" s="1442"/>
      <c r="J125" s="1442"/>
      <c r="K125" s="1442"/>
      <c r="L125" s="1442"/>
      <c r="M125" s="1100"/>
      <c r="N125" s="1718">
        <v>1995</v>
      </c>
      <c r="O125" s="1437">
        <v>1996</v>
      </c>
      <c r="P125" s="1437">
        <v>1997</v>
      </c>
      <c r="Q125" s="1437">
        <v>1998</v>
      </c>
      <c r="R125" s="1437">
        <v>1999</v>
      </c>
      <c r="S125" s="1437">
        <v>2000</v>
      </c>
      <c r="T125" s="1437">
        <v>2001</v>
      </c>
      <c r="U125" s="1437">
        <v>2002</v>
      </c>
      <c r="V125" s="1437">
        <v>2003</v>
      </c>
      <c r="W125" s="1437">
        <v>2004</v>
      </c>
      <c r="X125" s="1437">
        <v>2005</v>
      </c>
      <c r="Y125" s="1437">
        <v>2006</v>
      </c>
      <c r="Z125" s="1437">
        <v>2007</v>
      </c>
      <c r="AA125" s="1437">
        <v>2008</v>
      </c>
      <c r="AB125" s="1437">
        <v>2009</v>
      </c>
      <c r="AC125" s="1437">
        <v>2010</v>
      </c>
      <c r="AD125" s="1437">
        <v>2011</v>
      </c>
      <c r="AE125" s="1437">
        <v>2012</v>
      </c>
      <c r="AF125" s="1437">
        <v>2013</v>
      </c>
      <c r="AG125" s="1437">
        <v>2014</v>
      </c>
      <c r="AH125" s="1437">
        <v>2015</v>
      </c>
      <c r="AI125" s="1437">
        <v>2016</v>
      </c>
      <c r="AJ125" s="1437">
        <v>2017</v>
      </c>
      <c r="AK125" s="1437">
        <v>2018</v>
      </c>
      <c r="AL125" s="1437">
        <v>2019</v>
      </c>
      <c r="AM125" s="1437">
        <v>2020</v>
      </c>
      <c r="AN125" s="1437">
        <v>2021</v>
      </c>
      <c r="AO125" s="1437">
        <v>2022</v>
      </c>
      <c r="AP125" s="1437">
        <v>2023</v>
      </c>
      <c r="AQ125" s="1437">
        <v>2024</v>
      </c>
      <c r="AR125" s="1437">
        <v>2025</v>
      </c>
      <c r="AS125" s="1344"/>
    </row>
    <row r="126" ht="17.5" customHeight="1" spans="4:45" x14ac:dyDescent="0.25">
      <c r="D126" s="1335">
        <v>1</v>
      </c>
      <c r="E126" s="1719">
        <v>40560</v>
      </c>
      <c r="F126" s="1349" t="s">
        <v>361</v>
      </c>
      <c r="G126" s="26" t="s">
        <v>1015</v>
      </c>
      <c r="H126" s="1458" t="s">
        <v>1538</v>
      </c>
      <c r="I126" s="1458"/>
      <c r="J126" s="1458"/>
      <c r="K126" s="1458"/>
      <c r="L126" s="1458"/>
      <c r="M126" s="1458"/>
      <c r="N126" s="1581">
        <f t="shared" ref="N126:O145" si="0">N67-N8</f>
        <v>0</v>
      </c>
      <c r="O126" s="419">
        <f t="shared" si="0"/>
        <v>-0.00836200000000531</v>
      </c>
      <c r="P126" s="419">
        <f t="shared" ref="P126:AR135" si="1">P67-P8</f>
        <v>0.028613000000007105</v>
      </c>
      <c r="Q126" s="419">
        <f t="shared" si="1"/>
        <v>0.0021329999999863958</v>
      </c>
      <c r="R126" s="419">
        <f t="shared" si="1"/>
        <v>0.039425999999991745</v>
      </c>
      <c r="S126" s="419">
        <f t="shared" si="1"/>
        <v>0.5901279999999929</v>
      </c>
      <c r="T126" s="419">
        <f t="shared" si="1"/>
        <v>-0.00038900000001262924</v>
      </c>
      <c r="U126" s="419">
        <f t="shared" si="1"/>
        <v>0.16673099999999863</v>
      </c>
      <c r="V126" s="419">
        <f t="shared" si="1"/>
        <v>0.7636500000000126</v>
      </c>
      <c r="W126" s="419">
        <f t="shared" si="1"/>
        <v>0.6682050000000004</v>
      </c>
      <c r="X126" s="419">
        <f t="shared" si="1"/>
        <v>0.6742189999999937</v>
      </c>
      <c r="Y126" s="419">
        <f t="shared" si="1"/>
        <v>0.5535509999999988</v>
      </c>
      <c r="Z126" s="419">
        <f t="shared" si="1"/>
        <v>0.22096799999999917</v>
      </c>
      <c r="AA126" s="419">
        <f t="shared" si="1"/>
        <v>0.10883799999999155</v>
      </c>
      <c r="AB126" s="419">
        <f t="shared" si="1"/>
        <v>0.003978999999986854</v>
      </c>
      <c r="AC126" s="1351">
        <f t="shared" si="1"/>
        <v>0.902414504597715</v>
      </c>
      <c r="AD126" s="1351">
        <f t="shared" si="1"/>
        <v>0.7955702459870508</v>
      </c>
      <c r="AE126" s="1351">
        <f t="shared" si="1"/>
        <v>0.810198611630625</v>
      </c>
      <c r="AF126" s="1351">
        <f t="shared" si="1"/>
        <v>0.8581874178522924</v>
      </c>
      <c r="AG126" s="1351">
        <f t="shared" si="1"/>
        <v>0.8840975872044226</v>
      </c>
      <c r="AH126" s="1351">
        <f t="shared" si="1"/>
        <v>3.1461454849074073</v>
      </c>
      <c r="AI126" s="1351">
        <f t="shared" si="1"/>
        <v>3.0473007666863907</v>
      </c>
      <c r="AJ126" s="1351">
        <f t="shared" si="1"/>
        <v>2.895107411901307</v>
      </c>
      <c r="AK126" s="1351">
        <f t="shared" si="1"/>
        <v>2.5261972637756003</v>
      </c>
      <c r="AL126" s="1351">
        <f t="shared" si="1"/>
        <v>1.9152869238195365</v>
      </c>
      <c r="AM126" s="1351">
        <f t="shared" si="1"/>
        <v>1.367751354926213</v>
      </c>
      <c r="AN126" s="1351">
        <f t="shared" si="1"/>
        <v>0.781007469341489</v>
      </c>
      <c r="AO126" s="1351">
        <f t="shared" si="1"/>
        <v>0.15195269133454303</v>
      </c>
      <c r="AP126" s="1351">
        <f t="shared" si="1"/>
        <v>-0.5378236906041138</v>
      </c>
      <c r="AQ126" s="1351">
        <f t="shared" si="1"/>
        <v>-1.2467920956573266</v>
      </c>
      <c r="AR126" s="1351">
        <f t="shared" si="1"/>
        <v>-2.013505236843855</v>
      </c>
      <c r="AS126" s="287" t="s">
        <v>361</v>
      </c>
    </row>
    <row r="127" ht="17.5" customHeight="1" spans="4:45" x14ac:dyDescent="0.25">
      <c r="D127" s="1335">
        <v>2</v>
      </c>
      <c r="E127" s="1719">
        <v>40558</v>
      </c>
      <c r="F127" s="1349" t="s">
        <v>1018</v>
      </c>
      <c r="G127" s="26" t="s">
        <v>866</v>
      </c>
      <c r="H127" s="1458" t="s">
        <v>1572</v>
      </c>
      <c r="I127" s="1458"/>
      <c r="J127" s="1458"/>
      <c r="K127" s="1458"/>
      <c r="L127" s="1458"/>
      <c r="M127" s="1458"/>
      <c r="N127" s="1376">
        <f t="shared" si="0"/>
        <v>-0.000815913688469394</v>
      </c>
      <c r="O127" s="419">
        <f t="shared" si="0"/>
        <v>0</v>
      </c>
      <c r="P127" s="419">
        <f t="shared" ref="P127:AD127" si="2">P68-P9</f>
        <v>0</v>
      </c>
      <c r="Q127" s="419">
        <f t="shared" si="2"/>
        <v>0</v>
      </c>
      <c r="R127" s="419">
        <f t="shared" si="2"/>
        <v>0</v>
      </c>
      <c r="S127" s="419">
        <f t="shared" si="2"/>
        <v>0.008926862611073116</v>
      </c>
      <c r="T127" s="419">
        <f t="shared" si="2"/>
        <v>0.0009159011373578441</v>
      </c>
      <c r="U127" s="419">
        <f t="shared" si="2"/>
        <v>-0.0010257448461138408</v>
      </c>
      <c r="V127" s="419">
        <f t="shared" si="2"/>
        <v>-0.0038973647711512127</v>
      </c>
      <c r="W127" s="419">
        <f t="shared" si="2"/>
        <v>0.000529616724738613</v>
      </c>
      <c r="X127" s="419">
        <f t="shared" si="2"/>
        <v>-0.0016106442577030755</v>
      </c>
      <c r="Y127" s="419">
        <f t="shared" si="2"/>
        <v>0.0018495077355835665</v>
      </c>
      <c r="Z127" s="419">
        <f t="shared" si="2"/>
        <v>0.0016126760563379694</v>
      </c>
      <c r="AA127" s="419">
        <f t="shared" si="2"/>
        <v>-0.001353065539111964</v>
      </c>
      <c r="AB127" s="419">
        <f t="shared" si="2"/>
        <v>0.0024319943622268525</v>
      </c>
      <c r="AC127" s="1351">
        <f t="shared" si="2"/>
        <v>-0.002651755576657755</v>
      </c>
      <c r="AD127" s="1351">
        <f t="shared" si="2"/>
        <v>-0.0005777809317948357</v>
      </c>
      <c r="AE127" s="1351">
        <f t="shared" si="1"/>
        <v>-0.0027048032732661653</v>
      </c>
      <c r="AF127" s="1351">
        <f t="shared" si="1"/>
        <v>-0.004103944183466046</v>
      </c>
      <c r="AG127" s="1351">
        <f t="shared" si="1"/>
        <v>-0.005980084317385503</v>
      </c>
      <c r="AH127" s="1351">
        <f t="shared" si="1"/>
        <v>-0.0073832634949791975</v>
      </c>
      <c r="AI127" s="1351">
        <f t="shared" si="1"/>
        <v>-0.008046970852786273</v>
      </c>
      <c r="AJ127" s="1351">
        <f t="shared" si="1"/>
        <v>-0.012561761661975646</v>
      </c>
      <c r="AK127" s="1351">
        <f t="shared" si="1"/>
        <v>-0.011529850293468757</v>
      </c>
      <c r="AL127" s="1351">
        <f t="shared" si="1"/>
        <v>-0.013776589920570959</v>
      </c>
      <c r="AM127" s="1351">
        <f t="shared" si="1"/>
        <v>-0.014276589920570903</v>
      </c>
      <c r="AN127" s="1351">
        <f t="shared" si="1"/>
        <v>-0.014776589920570848</v>
      </c>
      <c r="AO127" s="1351">
        <f t="shared" si="1"/>
        <v>-0.015276589920570793</v>
      </c>
      <c r="AP127" s="1351">
        <f t="shared" si="1"/>
        <v>-0.01577658992057074</v>
      </c>
      <c r="AQ127" s="1351">
        <f t="shared" si="1"/>
        <v>-0.016276589920570683</v>
      </c>
      <c r="AR127" s="1351">
        <f t="shared" si="1"/>
        <v>-0.016776589920570628</v>
      </c>
      <c r="AS127" s="287" t="s">
        <v>1018</v>
      </c>
    </row>
    <row r="128" ht="17.5" customHeight="1" spans="4:45" x14ac:dyDescent="0.25">
      <c r="D128" s="1335">
        <v>3</v>
      </c>
      <c r="E128" s="1719"/>
      <c r="F128" s="1349" t="s">
        <v>401</v>
      </c>
      <c r="G128" s="26" t="s">
        <v>1015</v>
      </c>
      <c r="H128" s="1458" t="s">
        <v>1573</v>
      </c>
      <c r="I128" s="1458"/>
      <c r="J128" s="1458"/>
      <c r="K128" s="1458"/>
      <c r="L128" s="1458"/>
      <c r="M128" s="1458"/>
      <c r="N128" s="1376">
        <f t="shared" si="0"/>
        <v>0</v>
      </c>
      <c r="O128" s="419">
        <f t="shared" si="0"/>
        <v>62.928</v>
      </c>
      <c r="P128" s="419">
        <f t="shared" si="1"/>
        <v>60.020999999999994</v>
      </c>
      <c r="Q128" s="419">
        <f t="shared" si="1"/>
        <v>58.437</v>
      </c>
      <c r="R128" s="419">
        <f t="shared" si="1"/>
        <v>63.080999999999996</v>
      </c>
      <c r="S128" s="419">
        <f t="shared" si="1"/>
        <v>65.711</v>
      </c>
      <c r="T128" s="419">
        <f t="shared" si="1"/>
        <v>65.257</v>
      </c>
      <c r="U128" s="419">
        <f t="shared" si="1"/>
        <v>66.202</v>
      </c>
      <c r="V128" s="419">
        <f t="shared" si="1"/>
        <v>66.59</v>
      </c>
      <c r="W128" s="419">
        <f t="shared" si="1"/>
        <v>67.21</v>
      </c>
      <c r="X128" s="419">
        <f t="shared" si="1"/>
        <v>68.373</v>
      </c>
      <c r="Y128" s="419">
        <f t="shared" si="1"/>
        <v>69.42</v>
      </c>
      <c r="Z128" s="419">
        <f t="shared" si="1"/>
        <v>71.043</v>
      </c>
      <c r="AA128" s="419">
        <f t="shared" si="1"/>
        <v>70.411</v>
      </c>
      <c r="AB128" s="419">
        <f t="shared" si="1"/>
        <v>69.5316</v>
      </c>
      <c r="AC128" s="1351">
        <f t="shared" si="1"/>
        <v>71.14973513803665</v>
      </c>
      <c r="AD128" s="1351">
        <f t="shared" si="1"/>
        <v>68.26311538601607</v>
      </c>
      <c r="AE128" s="1351">
        <f t="shared" si="1"/>
        <v>66.81718756244753</v>
      </c>
      <c r="AF128" s="1351">
        <f t="shared" si="1"/>
        <v>66.12680534025263</v>
      </c>
      <c r="AG128" s="1351">
        <f t="shared" si="1"/>
        <v>66.31347819970642</v>
      </c>
      <c r="AH128" s="1351">
        <f t="shared" si="1"/>
        <v>67.62495135253879</v>
      </c>
      <c r="AI128" s="1351">
        <f t="shared" si="1"/>
        <v>68.21979608913892</v>
      </c>
      <c r="AJ128" s="1351">
        <f t="shared" si="1"/>
        <v>67.93937344373808</v>
      </c>
      <c r="AK128" s="1351">
        <f t="shared" si="1"/>
        <v>68.12627115082822</v>
      </c>
      <c r="AL128" s="1351">
        <f t="shared" si="1"/>
        <v>67.23051290205457</v>
      </c>
      <c r="AM128" s="1351">
        <f t="shared" si="1"/>
        <v>68.49855993880857</v>
      </c>
      <c r="AN128" s="1351">
        <f t="shared" si="1"/>
        <v>67.84240818197112</v>
      </c>
      <c r="AO128" s="1351">
        <f t="shared" si="1"/>
        <v>67.21046620949672</v>
      </c>
      <c r="AP128" s="1351">
        <f t="shared" si="1"/>
        <v>66.6169907166693</v>
      </c>
      <c r="AQ128" s="1351">
        <f t="shared" si="1"/>
        <v>66.14620061598698</v>
      </c>
      <c r="AR128" s="1351">
        <f t="shared" si="1"/>
        <v>65.8157856037957</v>
      </c>
      <c r="AS128" s="287" t="s">
        <v>401</v>
      </c>
    </row>
    <row r="129" ht="17.5" customHeight="1" spans="4:45" x14ac:dyDescent="0.25">
      <c r="D129" s="1335">
        <v>4</v>
      </c>
      <c r="E129" s="1719">
        <v>40559</v>
      </c>
      <c r="F129" s="1349" t="s">
        <v>438</v>
      </c>
      <c r="G129" s="26" t="s">
        <v>1015</v>
      </c>
      <c r="H129" s="1458" t="s">
        <v>1574</v>
      </c>
      <c r="I129" s="1458"/>
      <c r="J129" s="1458"/>
      <c r="K129" s="1458"/>
      <c r="L129" s="1458"/>
      <c r="M129" s="1458"/>
      <c r="N129" s="1376">
        <f t="shared" si="0"/>
        <v>0</v>
      </c>
      <c r="O129" s="419">
        <f t="shared" si="0"/>
        <v>9.1798</v>
      </c>
      <c r="P129" s="419">
        <f t="shared" si="1"/>
        <v>-3.5</v>
      </c>
      <c r="Q129" s="419">
        <f t="shared" si="1"/>
        <v>52.6911</v>
      </c>
      <c r="R129" s="419">
        <f t="shared" si="1"/>
        <v>-5</v>
      </c>
      <c r="S129" s="419">
        <f t="shared" si="1"/>
        <v>-5.75</v>
      </c>
      <c r="T129" s="419">
        <f t="shared" si="1"/>
        <v>-46.5226</v>
      </c>
      <c r="U129" s="419">
        <f t="shared" si="1"/>
        <v>-8.957</v>
      </c>
      <c r="V129" s="419">
        <f t="shared" si="1"/>
        <v>-115.4624</v>
      </c>
      <c r="W129" s="419">
        <f t="shared" si="1"/>
        <v>-104.8935</v>
      </c>
      <c r="X129" s="419">
        <f t="shared" si="1"/>
        <v>-135.5953</v>
      </c>
      <c r="Y129" s="419">
        <f t="shared" si="1"/>
        <v>-27.4294</v>
      </c>
      <c r="Z129" s="419">
        <f t="shared" si="1"/>
        <v>367.2842</v>
      </c>
      <c r="AA129" s="419">
        <f t="shared" si="1"/>
        <v>-617.0955</v>
      </c>
      <c r="AB129" s="419">
        <f t="shared" si="1"/>
        <v>-704.862</v>
      </c>
      <c r="AC129" s="1351">
        <f t="shared" si="1"/>
        <v>-429.12239999999997</v>
      </c>
      <c r="AD129" s="1351">
        <f t="shared" si="1"/>
        <v>-11.057059999999993</v>
      </c>
      <c r="AE129" s="1351">
        <f t="shared" si="1"/>
        <v>-11.411353999999992</v>
      </c>
      <c r="AF129" s="1351">
        <f t="shared" si="1"/>
        <v>-11.730218599999992</v>
      </c>
      <c r="AG129" s="1351">
        <f t="shared" si="1"/>
        <v>-329.81719674</v>
      </c>
      <c r="AH129" s="1351">
        <f t="shared" si="1"/>
        <v>-462.475477066</v>
      </c>
      <c r="AI129" s="1351">
        <f t="shared" si="1"/>
        <v>-79.52792935939999</v>
      </c>
      <c r="AJ129" s="1351">
        <f t="shared" si="1"/>
        <v>-12.717136423459996</v>
      </c>
      <c r="AK129" s="1351">
        <f t="shared" si="1"/>
        <v>-12.905422781113996</v>
      </c>
      <c r="AL129" s="1351">
        <f t="shared" si="1"/>
        <v>-13.074880503002596</v>
      </c>
      <c r="AM129" s="1351">
        <f t="shared" si="1"/>
        <v>-13.227392452702336</v>
      </c>
      <c r="AN129" s="1351">
        <f t="shared" si="1"/>
        <v>-13.364653207432102</v>
      </c>
      <c r="AO129" s="1351">
        <f t="shared" si="1"/>
        <v>-13.488187886688891</v>
      </c>
      <c r="AP129" s="1351">
        <f t="shared" si="1"/>
        <v>-13.59936909802</v>
      </c>
      <c r="AQ129" s="1351">
        <f t="shared" si="1"/>
        <v>-13.699432188218</v>
      </c>
      <c r="AR129" s="1351">
        <f t="shared" si="1"/>
        <v>-13.789488969396198</v>
      </c>
      <c r="AS129" s="287" t="s">
        <v>438</v>
      </c>
    </row>
    <row r="130" ht="17.5" customHeight="1" spans="4:45" x14ac:dyDescent="0.25">
      <c r="D130" s="1335">
        <v>5</v>
      </c>
      <c r="E130" s="1719">
        <v>40558</v>
      </c>
      <c r="F130" s="1349" t="s">
        <v>1575</v>
      </c>
      <c r="G130" s="26" t="s">
        <v>277</v>
      </c>
      <c r="H130" s="1458" t="s">
        <v>1576</v>
      </c>
      <c r="I130" s="1458"/>
      <c r="J130" s="1458"/>
      <c r="K130" s="1458"/>
      <c r="L130" s="1458"/>
      <c r="M130" s="1458"/>
      <c r="N130" s="1376">
        <f t="shared" si="0"/>
        <v>0</v>
      </c>
      <c r="O130" s="419" t="e">
        <f t="shared" si="0"/>
        <v>#REF!</v>
      </c>
      <c r="P130" s="419" t="e">
        <f t="shared" si="1"/>
        <v>#REF!</v>
      </c>
      <c r="Q130" s="419" t="e">
        <f t="shared" si="1"/>
        <v>#REF!</v>
      </c>
      <c r="R130" s="419" t="e">
        <f t="shared" si="1"/>
        <v>#REF!</v>
      </c>
      <c r="S130" s="419" t="e">
        <f t="shared" si="1"/>
        <v>#REF!</v>
      </c>
      <c r="T130" s="419" t="e">
        <f t="shared" si="1"/>
        <v>#REF!</v>
      </c>
      <c r="U130" s="419" t="e">
        <f t="shared" si="1"/>
        <v>#REF!</v>
      </c>
      <c r="V130" s="419" t="e">
        <f t="shared" si="1"/>
        <v>#REF!</v>
      </c>
      <c r="W130" s="419" t="e">
        <f t="shared" si="1"/>
        <v>#REF!</v>
      </c>
      <c r="X130" s="419" t="e">
        <f t="shared" si="1"/>
        <v>#REF!</v>
      </c>
      <c r="Y130" s="419" t="e">
        <f t="shared" si="1"/>
        <v>#REF!</v>
      </c>
      <c r="Z130" s="419" t="e">
        <f t="shared" si="1"/>
        <v>#REF!</v>
      </c>
      <c r="AA130" s="419" t="e">
        <f t="shared" si="1"/>
        <v>#REF!</v>
      </c>
      <c r="AB130" s="419" t="e">
        <f t="shared" si="1"/>
        <v>#REF!</v>
      </c>
      <c r="AC130" s="1351" t="e">
        <f t="shared" si="1"/>
        <v>#REF!</v>
      </c>
      <c r="AD130" s="1351" t="e">
        <f t="shared" si="1"/>
        <v>#REF!</v>
      </c>
      <c r="AE130" s="1351" t="e">
        <f t="shared" si="1"/>
        <v>#REF!</v>
      </c>
      <c r="AF130" s="1351" t="e">
        <f t="shared" si="1"/>
        <v>#REF!</v>
      </c>
      <c r="AG130" s="1351" t="e">
        <f t="shared" si="1"/>
        <v>#REF!</v>
      </c>
      <c r="AH130" s="1351" t="e">
        <f t="shared" si="1"/>
        <v>#REF!</v>
      </c>
      <c r="AI130" s="1351" t="e">
        <f t="shared" si="1"/>
        <v>#REF!</v>
      </c>
      <c r="AJ130" s="1351" t="e">
        <f t="shared" si="1"/>
        <v>#REF!</v>
      </c>
      <c r="AK130" s="1351" t="e">
        <f t="shared" si="1"/>
        <v>#REF!</v>
      </c>
      <c r="AL130" s="1351" t="e">
        <f t="shared" si="1"/>
        <v>#REF!</v>
      </c>
      <c r="AM130" s="1351" t="e">
        <f t="shared" si="1"/>
        <v>#REF!</v>
      </c>
      <c r="AN130" s="1351" t="e">
        <f t="shared" si="1"/>
        <v>#REF!</v>
      </c>
      <c r="AO130" s="1351" t="e">
        <f t="shared" si="1"/>
        <v>#REF!</v>
      </c>
      <c r="AP130" s="1351" t="e">
        <f t="shared" si="1"/>
        <v>#REF!</v>
      </c>
      <c r="AQ130" s="1351" t="e">
        <f t="shared" si="1"/>
        <v>#REF!</v>
      </c>
      <c r="AR130" s="1351" t="e">
        <f t="shared" si="1"/>
        <v>#REF!</v>
      </c>
      <c r="AS130" s="287" t="s">
        <v>1575</v>
      </c>
    </row>
    <row r="131" ht="17.5" customHeight="1" spans="4:45" x14ac:dyDescent="0.25">
      <c r="D131" s="1335">
        <v>6</v>
      </c>
      <c r="E131" s="1722">
        <v>40569</v>
      </c>
      <c r="F131" s="1349" t="s">
        <v>989</v>
      </c>
      <c r="G131" s="26" t="s">
        <v>866</v>
      </c>
      <c r="H131" s="1458" t="s">
        <v>1577</v>
      </c>
      <c r="I131" s="1458"/>
      <c r="J131" s="1458"/>
      <c r="K131" s="1458"/>
      <c r="L131" s="1458"/>
      <c r="M131" s="1458"/>
      <c r="N131" s="1376">
        <f t="shared" si="0"/>
        <v>0</v>
      </c>
      <c r="O131" s="419" t="e">
        <f t="shared" si="0"/>
        <v>#REF!</v>
      </c>
      <c r="P131" s="419" t="e">
        <f t="shared" si="1"/>
        <v>#REF!</v>
      </c>
      <c r="Q131" s="419" t="e">
        <f t="shared" si="1"/>
        <v>#REF!</v>
      </c>
      <c r="R131" s="419" t="e">
        <f t="shared" si="1"/>
        <v>#REF!</v>
      </c>
      <c r="S131" s="419" t="e">
        <f t="shared" si="1"/>
        <v>#REF!</v>
      </c>
      <c r="T131" s="419" t="e">
        <f t="shared" si="1"/>
        <v>#REF!</v>
      </c>
      <c r="U131" s="419" t="e">
        <f t="shared" si="1"/>
        <v>#REF!</v>
      </c>
      <c r="V131" s="419" t="e">
        <f t="shared" si="1"/>
        <v>#REF!</v>
      </c>
      <c r="W131" s="419" t="e">
        <f t="shared" si="1"/>
        <v>#REF!</v>
      </c>
      <c r="X131" s="419" t="e">
        <f t="shared" si="1"/>
        <v>#REF!</v>
      </c>
      <c r="Y131" s="419" t="e">
        <f t="shared" si="1"/>
        <v>#REF!</v>
      </c>
      <c r="Z131" s="419" t="e">
        <f t="shared" si="1"/>
        <v>#REF!</v>
      </c>
      <c r="AA131" s="419" t="e">
        <f t="shared" si="1"/>
        <v>#REF!</v>
      </c>
      <c r="AB131" s="419" t="e">
        <f t="shared" si="1"/>
        <v>#REF!</v>
      </c>
      <c r="AC131" s="1351" t="e">
        <f t="shared" si="1"/>
        <v>#REF!</v>
      </c>
      <c r="AD131" s="1351" t="e">
        <f t="shared" si="1"/>
        <v>#REF!</v>
      </c>
      <c r="AE131" s="1351" t="e">
        <f t="shared" si="1"/>
        <v>#REF!</v>
      </c>
      <c r="AF131" s="1351" t="e">
        <f t="shared" si="1"/>
        <v>#REF!</v>
      </c>
      <c r="AG131" s="1351" t="e">
        <f t="shared" si="1"/>
        <v>#REF!</v>
      </c>
      <c r="AH131" s="1351" t="e">
        <f t="shared" si="1"/>
        <v>#REF!</v>
      </c>
      <c r="AI131" s="1351" t="e">
        <f t="shared" si="1"/>
        <v>#REF!</v>
      </c>
      <c r="AJ131" s="1351" t="e">
        <f t="shared" si="1"/>
        <v>#REF!</v>
      </c>
      <c r="AK131" s="1351" t="e">
        <f t="shared" si="1"/>
        <v>#REF!</v>
      </c>
      <c r="AL131" s="1351" t="e">
        <f t="shared" si="1"/>
        <v>#REF!</v>
      </c>
      <c r="AM131" s="1351" t="e">
        <f t="shared" si="1"/>
        <v>#REF!</v>
      </c>
      <c r="AN131" s="1351" t="e">
        <f t="shared" si="1"/>
        <v>#REF!</v>
      </c>
      <c r="AO131" s="1351" t="e">
        <f t="shared" si="1"/>
        <v>#REF!</v>
      </c>
      <c r="AP131" s="1351" t="e">
        <f t="shared" si="1"/>
        <v>#REF!</v>
      </c>
      <c r="AQ131" s="1351" t="e">
        <f t="shared" si="1"/>
        <v>#REF!</v>
      </c>
      <c r="AR131" s="1351" t="e">
        <f t="shared" si="1"/>
        <v>#REF!</v>
      </c>
      <c r="AS131" s="287" t="s">
        <v>989</v>
      </c>
    </row>
    <row r="132" ht="17.5" customHeight="1" spans="4:45" x14ac:dyDescent="0.25">
      <c r="D132" s="1335">
        <v>7</v>
      </c>
      <c r="E132" s="1722">
        <v>40558</v>
      </c>
      <c r="F132" s="1349" t="s">
        <v>355</v>
      </c>
      <c r="G132" s="26" t="s">
        <v>866</v>
      </c>
      <c r="H132" s="1458" t="s">
        <v>1578</v>
      </c>
      <c r="I132" s="1458"/>
      <c r="J132" s="1458"/>
      <c r="K132" s="1458"/>
      <c r="L132" s="1458"/>
      <c r="M132" s="1458"/>
      <c r="N132" s="1376">
        <f t="shared" si="0"/>
        <v>0</v>
      </c>
      <c r="O132" s="419">
        <f t="shared" si="0"/>
        <v>0</v>
      </c>
      <c r="P132" s="419">
        <f t="shared" si="1"/>
        <v>0</v>
      </c>
      <c r="Q132" s="419">
        <f t="shared" si="1"/>
        <v>0</v>
      </c>
      <c r="R132" s="419">
        <f t="shared" si="1"/>
        <v>0</v>
      </c>
      <c r="S132" s="419">
        <f t="shared" si="1"/>
        <v>0</v>
      </c>
      <c r="T132" s="419">
        <f t="shared" si="1"/>
        <v>0</v>
      </c>
      <c r="U132" s="419">
        <f t="shared" si="1"/>
        <v>0</v>
      </c>
      <c r="V132" s="419">
        <f t="shared" si="1"/>
        <v>0</v>
      </c>
      <c r="W132" s="419">
        <f t="shared" si="1"/>
        <v>0</v>
      </c>
      <c r="X132" s="419">
        <f t="shared" si="1"/>
        <v>0</v>
      </c>
      <c r="Y132" s="419">
        <f t="shared" si="1"/>
        <v>0</v>
      </c>
      <c r="Z132" s="419">
        <f t="shared" si="1"/>
        <v>0</v>
      </c>
      <c r="AA132" s="419">
        <f t="shared" si="1"/>
        <v>-0.00046996782812747107</v>
      </c>
      <c r="AB132" s="419">
        <f t="shared" si="1"/>
        <v>0.0020480656546183473</v>
      </c>
      <c r="AC132" s="1351">
        <f t="shared" si="1"/>
        <v>0.004238433971419098</v>
      </c>
      <c r="AD132" s="1351">
        <f t="shared" si="1"/>
        <v>0.004089425405773284</v>
      </c>
      <c r="AE132" s="1351">
        <f t="shared" si="1"/>
        <v>0.005089088518244411</v>
      </c>
      <c r="AF132" s="1351">
        <f t="shared" si="1"/>
        <v>0.006443293729623933</v>
      </c>
      <c r="AG132" s="1351">
        <f t="shared" si="1"/>
        <v>0.006590486413735719</v>
      </c>
      <c r="AH132" s="1351">
        <f t="shared" si="1"/>
        <v>0.01136530441066741</v>
      </c>
      <c r="AI132" s="1351">
        <f t="shared" si="1"/>
        <v>0.01549447835141926</v>
      </c>
      <c r="AJ132" s="1351">
        <f t="shared" si="1"/>
        <v>0.019531827887155684</v>
      </c>
      <c r="AK132" s="1351">
        <f t="shared" si="1"/>
        <v>0.02030495261820453</v>
      </c>
      <c r="AL132" s="1351">
        <f t="shared" si="1"/>
        <v>0.021155944052558717</v>
      </c>
      <c r="AM132" s="1351">
        <f t="shared" si="1"/>
        <v>0.022006935486912904</v>
      </c>
      <c r="AN132" s="1351">
        <f t="shared" si="1"/>
        <v>0.02285792692126709</v>
      </c>
      <c r="AO132" s="1351">
        <f t="shared" si="1"/>
        <v>0.023708918355621278</v>
      </c>
      <c r="AP132" s="1351">
        <f t="shared" si="1"/>
        <v>0.024559909789975465</v>
      </c>
      <c r="AQ132" s="1351">
        <f t="shared" si="1"/>
        <v>0.02541090122432965</v>
      </c>
      <c r="AR132" s="1351">
        <f t="shared" si="1"/>
        <v>0.02626189265868384</v>
      </c>
      <c r="AS132" s="287" t="s">
        <v>355</v>
      </c>
    </row>
    <row r="133" ht="17.5" customHeight="1" spans="4:45" x14ac:dyDescent="0.25">
      <c r="D133" s="1335">
        <v>8</v>
      </c>
      <c r="E133" s="1722">
        <v>40568</v>
      </c>
      <c r="F133" s="1349" t="s">
        <v>358</v>
      </c>
      <c r="G133" s="26" t="s">
        <v>866</v>
      </c>
      <c r="H133" s="1458" t="s">
        <v>1579</v>
      </c>
      <c r="I133" s="1458"/>
      <c r="J133" s="1458"/>
      <c r="K133" s="1458"/>
      <c r="L133" s="1458"/>
      <c r="M133" s="1458"/>
      <c r="N133" s="1376">
        <f t="shared" si="0"/>
        <v>0</v>
      </c>
      <c r="O133" s="419">
        <f t="shared" si="0"/>
        <v>-0.8368440730202013</v>
      </c>
      <c r="P133" s="419">
        <f t="shared" si="1"/>
        <v>-0.8163594090303826</v>
      </c>
      <c r="Q133" s="419">
        <f t="shared" si="1"/>
        <v>-0.773692953026497</v>
      </c>
      <c r="R133" s="419">
        <f t="shared" si="1"/>
        <v>-0.7992324703997553</v>
      </c>
      <c r="S133" s="419">
        <f t="shared" si="1"/>
        <v>-0.7890249852365401</v>
      </c>
      <c r="T133" s="419">
        <f t="shared" si="1"/>
        <v>-0.8161992421082744</v>
      </c>
      <c r="U133" s="419">
        <f t="shared" si="1"/>
        <v>-0.7872593270002318</v>
      </c>
      <c r="V133" s="419">
        <f t="shared" si="1"/>
        <v>-0.7793467088601944</v>
      </c>
      <c r="W133" s="419">
        <f t="shared" si="1"/>
        <v>-0.7377047414443741</v>
      </c>
      <c r="X133" s="419">
        <f t="shared" si="1"/>
        <v>-0.723705577559775</v>
      </c>
      <c r="Y133" s="419">
        <f t="shared" si="1"/>
        <v>-0.700038023981465</v>
      </c>
      <c r="Z133" s="419">
        <f t="shared" si="1"/>
        <v>-0.6722924739809655</v>
      </c>
      <c r="AA133" s="419">
        <f t="shared" si="1"/>
        <v>-0.6465606578310645</v>
      </c>
      <c r="AB133" s="419">
        <f t="shared" si="1"/>
        <v>-0.7123479084826639</v>
      </c>
      <c r="AC133" s="1351">
        <f t="shared" si="1"/>
        <v>-0.6697514388793763</v>
      </c>
      <c r="AD133" s="1351">
        <f t="shared" si="1"/>
        <v>-0.6301065052967381</v>
      </c>
      <c r="AE133" s="1351">
        <f t="shared" si="1"/>
        <v>-0.6124697845592142</v>
      </c>
      <c r="AF133" s="1351">
        <f t="shared" si="1"/>
        <v>-0.6066232053783704</v>
      </c>
      <c r="AG133" s="1351">
        <f t="shared" si="1"/>
        <v>-0.6294307825403133</v>
      </c>
      <c r="AH133" s="1351">
        <f t="shared" si="1"/>
        <v>-0.6953951320920221</v>
      </c>
      <c r="AI133" s="1351">
        <f t="shared" si="1"/>
        <v>-0.7037797889354056</v>
      </c>
      <c r="AJ133" s="1351">
        <f t="shared" si="1"/>
        <v>-0.6725672005741156</v>
      </c>
      <c r="AK133" s="1351">
        <f t="shared" si="1"/>
        <v>-0.6703956039729211</v>
      </c>
      <c r="AL133" s="1351">
        <f t="shared" si="1"/>
        <v>-0.6676774560284541</v>
      </c>
      <c r="AM133" s="1351">
        <f t="shared" si="1"/>
        <v>-0.6649593080839871</v>
      </c>
      <c r="AN133" s="1351">
        <f t="shared" si="1"/>
        <v>-0.6622411601395201</v>
      </c>
      <c r="AO133" s="1351">
        <f t="shared" si="1"/>
        <v>-0.659523012195053</v>
      </c>
      <c r="AP133" s="1351">
        <f t="shared" si="1"/>
        <v>-0.656804864250586</v>
      </c>
      <c r="AQ133" s="1351">
        <f t="shared" si="1"/>
        <v>-0.654086716306119</v>
      </c>
      <c r="AR133" s="1351">
        <f t="shared" si="1"/>
        <v>-0.651368568361652</v>
      </c>
      <c r="AS133" s="287" t="s">
        <v>358</v>
      </c>
    </row>
    <row r="134" ht="17.5" customHeight="1" spans="4:45" x14ac:dyDescent="0.25">
      <c r="D134" s="1335">
        <v>9</v>
      </c>
      <c r="E134" s="1722"/>
      <c r="F134" s="1349" t="s">
        <v>358</v>
      </c>
      <c r="G134" s="26" t="s">
        <v>866</v>
      </c>
      <c r="H134" s="1458" t="s">
        <v>1580</v>
      </c>
      <c r="I134" s="1458"/>
      <c r="J134" s="1458"/>
      <c r="K134" s="1458"/>
      <c r="L134" s="1458"/>
      <c r="M134" s="1458"/>
      <c r="N134" s="1376">
        <f t="shared" si="0"/>
        <v>0</v>
      </c>
      <c r="O134" s="419" t="e">
        <f t="shared" si="0"/>
        <v>#REF!</v>
      </c>
      <c r="P134" s="419" t="e">
        <f t="shared" si="1"/>
        <v>#REF!</v>
      </c>
      <c r="Q134" s="419" t="e">
        <f t="shared" si="1"/>
        <v>#REF!</v>
      </c>
      <c r="R134" s="419" t="e">
        <f t="shared" si="1"/>
        <v>#REF!</v>
      </c>
      <c r="S134" s="419" t="e">
        <f t="shared" si="1"/>
        <v>#REF!</v>
      </c>
      <c r="T134" s="419" t="e">
        <f t="shared" si="1"/>
        <v>#REF!</v>
      </c>
      <c r="U134" s="419" t="e">
        <f t="shared" si="1"/>
        <v>#REF!</v>
      </c>
      <c r="V134" s="419" t="e">
        <f t="shared" si="1"/>
        <v>#REF!</v>
      </c>
      <c r="W134" s="419" t="e">
        <f t="shared" si="1"/>
        <v>#REF!</v>
      </c>
      <c r="X134" s="419" t="e">
        <f t="shared" si="1"/>
        <v>#REF!</v>
      </c>
      <c r="Y134" s="419" t="e">
        <f t="shared" si="1"/>
        <v>#REF!</v>
      </c>
      <c r="Z134" s="419" t="e">
        <f t="shared" si="1"/>
        <v>#REF!</v>
      </c>
      <c r="AA134" s="419" t="e">
        <f t="shared" si="1"/>
        <v>#REF!</v>
      </c>
      <c r="AB134" s="419" t="e">
        <f t="shared" si="1"/>
        <v>#REF!</v>
      </c>
      <c r="AC134" s="1351" t="e">
        <f t="shared" si="1"/>
        <v>#REF!</v>
      </c>
      <c r="AD134" s="1351" t="e">
        <f t="shared" si="1"/>
        <v>#REF!</v>
      </c>
      <c r="AE134" s="1351" t="e">
        <f t="shared" si="1"/>
        <v>#REF!</v>
      </c>
      <c r="AF134" s="1351" t="e">
        <f t="shared" si="1"/>
        <v>#REF!</v>
      </c>
      <c r="AG134" s="1351" t="e">
        <f t="shared" si="1"/>
        <v>#REF!</v>
      </c>
      <c r="AH134" s="1351" t="e">
        <f t="shared" si="1"/>
        <v>#REF!</v>
      </c>
      <c r="AI134" s="1351" t="e">
        <f t="shared" si="1"/>
        <v>#REF!</v>
      </c>
      <c r="AJ134" s="1351" t="e">
        <f t="shared" si="1"/>
        <v>#REF!</v>
      </c>
      <c r="AK134" s="1351" t="e">
        <f t="shared" si="1"/>
        <v>#REF!</v>
      </c>
      <c r="AL134" s="1351" t="e">
        <f t="shared" si="1"/>
        <v>#REF!</v>
      </c>
      <c r="AM134" s="1351" t="e">
        <f t="shared" si="1"/>
        <v>#REF!</v>
      </c>
      <c r="AN134" s="1351" t="e">
        <f t="shared" si="1"/>
        <v>#REF!</v>
      </c>
      <c r="AO134" s="1351" t="e">
        <f t="shared" si="1"/>
        <v>#REF!</v>
      </c>
      <c r="AP134" s="1351" t="e">
        <f t="shared" si="1"/>
        <v>#REF!</v>
      </c>
      <c r="AQ134" s="1351" t="e">
        <f t="shared" si="1"/>
        <v>#REF!</v>
      </c>
      <c r="AR134" s="1351" t="e">
        <f t="shared" si="1"/>
        <v>#REF!</v>
      </c>
      <c r="AS134" s="287" t="s">
        <v>358</v>
      </c>
    </row>
    <row r="135" ht="17.5" customHeight="1" spans="4:45" x14ac:dyDescent="0.25">
      <c r="D135" s="1335">
        <v>10</v>
      </c>
      <c r="E135" s="1719">
        <v>40569</v>
      </c>
      <c r="F135" s="1349" t="s">
        <v>596</v>
      </c>
      <c r="G135" s="26" t="s">
        <v>1581</v>
      </c>
      <c r="H135" s="1458" t="s">
        <v>1582</v>
      </c>
      <c r="I135" s="1458"/>
      <c r="J135" s="1458"/>
      <c r="K135" s="1458"/>
      <c r="L135" s="1458"/>
      <c r="M135" s="1458"/>
      <c r="N135" s="1376">
        <f t="shared" si="0"/>
        <v>0</v>
      </c>
      <c r="O135" s="419" t="e">
        <f t="shared" si="0"/>
        <v>#REF!</v>
      </c>
      <c r="P135" s="419" t="e">
        <f t="shared" si="1"/>
        <v>#REF!</v>
      </c>
      <c r="Q135" s="419" t="e">
        <f t="shared" si="1"/>
        <v>#REF!</v>
      </c>
      <c r="R135" s="419" t="e">
        <f t="shared" si="1"/>
        <v>#REF!</v>
      </c>
      <c r="S135" s="419" t="e">
        <f t="shared" si="1"/>
        <v>#REF!</v>
      </c>
      <c r="T135" s="419" t="e">
        <f t="shared" si="1"/>
        <v>#REF!</v>
      </c>
      <c r="U135" s="419" t="e">
        <f t="shared" si="1"/>
        <v>#REF!</v>
      </c>
      <c r="V135" s="419" t="e">
        <f t="shared" si="1"/>
        <v>#REF!</v>
      </c>
      <c r="W135" s="419" t="e">
        <f t="shared" si="1"/>
        <v>#REF!</v>
      </c>
      <c r="X135" s="419" t="e">
        <f t="shared" si="1"/>
        <v>#REF!</v>
      </c>
      <c r="Y135" s="419" t="e">
        <f t="shared" ref="P135:AR144" si="3">Y76-Y17</f>
        <v>#REF!</v>
      </c>
      <c r="Z135" s="419" t="e">
        <f t="shared" si="3"/>
        <v>#REF!</v>
      </c>
      <c r="AA135" s="419" t="e">
        <f t="shared" si="3"/>
        <v>#REF!</v>
      </c>
      <c r="AB135" s="419" t="e">
        <f t="shared" si="3"/>
        <v>#REF!</v>
      </c>
      <c r="AC135" s="1351" t="e">
        <f t="shared" si="3"/>
        <v>#REF!</v>
      </c>
      <c r="AD135" s="1351" t="e">
        <f t="shared" si="3"/>
        <v>#REF!</v>
      </c>
      <c r="AE135" s="1351" t="e">
        <f t="shared" si="3"/>
        <v>#REF!</v>
      </c>
      <c r="AF135" s="1351" t="e">
        <f t="shared" si="3"/>
        <v>#REF!</v>
      </c>
      <c r="AG135" s="1351" t="e">
        <f t="shared" si="3"/>
        <v>#REF!</v>
      </c>
      <c r="AH135" s="1351" t="e">
        <f t="shared" si="3"/>
        <v>#REF!</v>
      </c>
      <c r="AI135" s="1351" t="e">
        <f t="shared" si="3"/>
        <v>#REF!</v>
      </c>
      <c r="AJ135" s="1351" t="e">
        <f t="shared" si="3"/>
        <v>#REF!</v>
      </c>
      <c r="AK135" s="1351" t="e">
        <f t="shared" si="3"/>
        <v>#REF!</v>
      </c>
      <c r="AL135" s="1351" t="e">
        <f t="shared" si="3"/>
        <v>#REF!</v>
      </c>
      <c r="AM135" s="1351" t="e">
        <f t="shared" si="3"/>
        <v>#REF!</v>
      </c>
      <c r="AN135" s="1351" t="e">
        <f t="shared" si="3"/>
        <v>#REF!</v>
      </c>
      <c r="AO135" s="1351" t="e">
        <f t="shared" si="3"/>
        <v>#REF!</v>
      </c>
      <c r="AP135" s="1351" t="e">
        <f t="shared" si="3"/>
        <v>#REF!</v>
      </c>
      <c r="AQ135" s="1351" t="e">
        <f t="shared" si="3"/>
        <v>#REF!</v>
      </c>
      <c r="AR135" s="1351" t="e">
        <f t="shared" si="3"/>
        <v>#REF!</v>
      </c>
      <c r="AS135" s="287" t="s">
        <v>596</v>
      </c>
    </row>
    <row r="136" ht="17.5" customHeight="1" spans="4:45" x14ac:dyDescent="0.25">
      <c r="D136" s="1335">
        <v>11</v>
      </c>
      <c r="E136" s="1719">
        <v>40571</v>
      </c>
      <c r="F136" s="1349" t="s">
        <v>661</v>
      </c>
      <c r="G136" s="26" t="s">
        <v>919</v>
      </c>
      <c r="H136" s="1458" t="s">
        <v>1583</v>
      </c>
      <c r="I136" s="1458"/>
      <c r="J136" s="1458"/>
      <c r="K136" s="1458"/>
      <c r="L136" s="1458"/>
      <c r="M136" s="1458"/>
      <c r="N136" s="1376">
        <f t="shared" si="0"/>
        <v>0</v>
      </c>
      <c r="O136" s="419" t="e">
        <f t="shared" si="0"/>
        <v>#REF!</v>
      </c>
      <c r="P136" s="419" t="e">
        <f t="shared" si="3"/>
        <v>#REF!</v>
      </c>
      <c r="Q136" s="419" t="e">
        <f t="shared" si="3"/>
        <v>#REF!</v>
      </c>
      <c r="R136" s="419" t="e">
        <f t="shared" si="3"/>
        <v>#REF!</v>
      </c>
      <c r="S136" s="419" t="e">
        <f t="shared" si="3"/>
        <v>#REF!</v>
      </c>
      <c r="T136" s="419" t="e">
        <f t="shared" si="3"/>
        <v>#REF!</v>
      </c>
      <c r="U136" s="419" t="e">
        <f t="shared" si="3"/>
        <v>#REF!</v>
      </c>
      <c r="V136" s="419" t="e">
        <f t="shared" si="3"/>
        <v>#REF!</v>
      </c>
      <c r="W136" s="419" t="e">
        <f t="shared" si="3"/>
        <v>#REF!</v>
      </c>
      <c r="X136" s="419" t="e">
        <f t="shared" si="3"/>
        <v>#REF!</v>
      </c>
      <c r="Y136" s="419" t="e">
        <f t="shared" si="3"/>
        <v>#REF!</v>
      </c>
      <c r="Z136" s="419" t="e">
        <f t="shared" si="3"/>
        <v>#REF!</v>
      </c>
      <c r="AA136" s="419" t="e">
        <f t="shared" si="3"/>
        <v>#REF!</v>
      </c>
      <c r="AB136" s="419" t="e">
        <f t="shared" si="3"/>
        <v>#REF!</v>
      </c>
      <c r="AC136" s="1351" t="e">
        <f t="shared" si="3"/>
        <v>#REF!</v>
      </c>
      <c r="AD136" s="1351" t="e">
        <f t="shared" si="3"/>
        <v>#REF!</v>
      </c>
      <c r="AE136" s="1351" t="e">
        <f t="shared" si="3"/>
        <v>#REF!</v>
      </c>
      <c r="AF136" s="1351" t="e">
        <f t="shared" si="3"/>
        <v>#REF!</v>
      </c>
      <c r="AG136" s="1351" t="e">
        <f t="shared" si="3"/>
        <v>#REF!</v>
      </c>
      <c r="AH136" s="1351" t="e">
        <f t="shared" si="3"/>
        <v>#REF!</v>
      </c>
      <c r="AI136" s="1351" t="e">
        <f t="shared" si="3"/>
        <v>#REF!</v>
      </c>
      <c r="AJ136" s="1351" t="e">
        <f t="shared" si="3"/>
        <v>#REF!</v>
      </c>
      <c r="AK136" s="1351" t="e">
        <f t="shared" si="3"/>
        <v>#REF!</v>
      </c>
      <c r="AL136" s="1351" t="e">
        <f t="shared" si="3"/>
        <v>#REF!</v>
      </c>
      <c r="AM136" s="1351" t="e">
        <f t="shared" si="3"/>
        <v>#REF!</v>
      </c>
      <c r="AN136" s="1351" t="e">
        <f t="shared" si="3"/>
        <v>#REF!</v>
      </c>
      <c r="AO136" s="1351" t="e">
        <f t="shared" si="3"/>
        <v>#REF!</v>
      </c>
      <c r="AP136" s="1351" t="e">
        <f t="shared" si="3"/>
        <v>#REF!</v>
      </c>
      <c r="AQ136" s="1351" t="e">
        <f t="shared" si="3"/>
        <v>#REF!</v>
      </c>
      <c r="AR136" s="1351" t="e">
        <f t="shared" si="3"/>
        <v>#REF!</v>
      </c>
      <c r="AS136" s="287" t="s">
        <v>661</v>
      </c>
    </row>
    <row r="137" ht="17.5" customHeight="1" spans="4:45" x14ac:dyDescent="0.25">
      <c r="D137" s="1335">
        <v>12</v>
      </c>
      <c r="E137" s="1719">
        <v>40558</v>
      </c>
      <c r="F137" s="1349" t="s">
        <v>381</v>
      </c>
      <c r="G137" s="26" t="s">
        <v>866</v>
      </c>
      <c r="H137" s="1458" t="s">
        <v>1584</v>
      </c>
      <c r="I137" s="1458"/>
      <c r="J137" s="1458"/>
      <c r="K137" s="1458"/>
      <c r="L137" s="1458"/>
      <c r="M137" s="1458"/>
      <c r="N137" s="1376">
        <f t="shared" si="0"/>
        <v>0</v>
      </c>
      <c r="O137" s="419">
        <f t="shared" si="0"/>
        <v>0</v>
      </c>
      <c r="P137" s="419">
        <f t="shared" si="3"/>
        <v>0</v>
      </c>
      <c r="Q137" s="419">
        <f t="shared" si="3"/>
        <v>0</v>
      </c>
      <c r="R137" s="419">
        <f t="shared" si="3"/>
        <v>0</v>
      </c>
      <c r="S137" s="419">
        <f t="shared" si="3"/>
        <v>0</v>
      </c>
      <c r="T137" s="419">
        <f t="shared" si="3"/>
        <v>0</v>
      </c>
      <c r="U137" s="419">
        <f t="shared" si="3"/>
        <v>0</v>
      </c>
      <c r="V137" s="419">
        <f t="shared" si="3"/>
        <v>0</v>
      </c>
      <c r="W137" s="419">
        <f t="shared" si="3"/>
        <v>0</v>
      </c>
      <c r="X137" s="419">
        <f t="shared" si="3"/>
        <v>0</v>
      </c>
      <c r="Y137" s="419">
        <f t="shared" si="3"/>
        <v>0</v>
      </c>
      <c r="Z137" s="419">
        <f t="shared" si="3"/>
        <v>-0.002533254425953757</v>
      </c>
      <c r="AA137" s="419">
        <f t="shared" si="3"/>
        <v>-0.004759478415481411</v>
      </c>
      <c r="AB137" s="419">
        <f t="shared" si="3"/>
        <v>-0.005178312516044059</v>
      </c>
      <c r="AC137" s="1351">
        <f t="shared" si="3"/>
        <v>0.08522040346706561</v>
      </c>
      <c r="AD137" s="1351">
        <f t="shared" si="3"/>
        <v>-0.022798430653496737</v>
      </c>
      <c r="AE137" s="1351">
        <f t="shared" si="3"/>
        <v>-0.013530346213313393</v>
      </c>
      <c r="AF137" s="1351">
        <f t="shared" si="3"/>
        <v>0.050105321445482076</v>
      </c>
      <c r="AG137" s="1351">
        <f t="shared" si="3"/>
        <v>1.2877394399627882</v>
      </c>
      <c r="AH137" s="1351">
        <f t="shared" si="3"/>
        <v>2.688248519454241</v>
      </c>
      <c r="AI137" s="1351">
        <f t="shared" si="3"/>
        <v>2.8989172981600397</v>
      </c>
      <c r="AJ137" s="1351">
        <f t="shared" si="3"/>
        <v>2.6192930007071276</v>
      </c>
      <c r="AK137" s="1351">
        <f t="shared" si="3"/>
        <v>2.7789872347727744</v>
      </c>
      <c r="AL137" s="1351">
        <f t="shared" si="3"/>
        <v>2.8711664230675495</v>
      </c>
      <c r="AM137" s="1351">
        <f t="shared" si="3"/>
        <v>3.390746416651975</v>
      </c>
      <c r="AN137" s="1351">
        <f t="shared" si="3"/>
        <v>3.9686228933779404</v>
      </c>
      <c r="AO137" s="1351">
        <f t="shared" si="3"/>
        <v>4.587643368617005</v>
      </c>
      <c r="AP137" s="1351">
        <f t="shared" si="3"/>
        <v>5.250232547535131</v>
      </c>
      <c r="AQ137" s="1351">
        <f t="shared" si="3"/>
        <v>5.958947395713778</v>
      </c>
      <c r="AR137" s="1351">
        <f t="shared" si="3"/>
        <v>6.716484082925415</v>
      </c>
      <c r="AS137" s="287" t="s">
        <v>381</v>
      </c>
    </row>
    <row r="138" ht="17.5" customHeight="1" spans="4:45" x14ac:dyDescent="0.25">
      <c r="D138" s="1335">
        <v>13</v>
      </c>
      <c r="E138" s="1722">
        <v>40554</v>
      </c>
      <c r="F138" s="1349" t="s">
        <v>121</v>
      </c>
      <c r="G138" s="26" t="s">
        <v>866</v>
      </c>
      <c r="H138" s="1458" t="s">
        <v>1585</v>
      </c>
      <c r="I138" s="1458"/>
      <c r="J138" s="1458"/>
      <c r="K138" s="1458"/>
      <c r="L138" s="1458"/>
      <c r="M138" s="1458"/>
      <c r="N138" s="1376">
        <f t="shared" si="0"/>
        <v>0</v>
      </c>
      <c r="O138" s="419">
        <f t="shared" si="0"/>
        <v>0</v>
      </c>
      <c r="P138" s="419">
        <f t="shared" si="3"/>
        <v>0</v>
      </c>
      <c r="Q138" s="419">
        <f t="shared" si="3"/>
        <v>0</v>
      </c>
      <c r="R138" s="419">
        <f t="shared" si="3"/>
        <v>0</v>
      </c>
      <c r="S138" s="419">
        <f t="shared" si="3"/>
        <v>0</v>
      </c>
      <c r="T138" s="419">
        <f t="shared" si="3"/>
        <v>0</v>
      </c>
      <c r="U138" s="419">
        <f t="shared" si="3"/>
        <v>0</v>
      </c>
      <c r="V138" s="419">
        <f t="shared" si="3"/>
        <v>0</v>
      </c>
      <c r="W138" s="419">
        <f t="shared" si="3"/>
        <v>0</v>
      </c>
      <c r="X138" s="419">
        <f t="shared" si="3"/>
        <v>0</v>
      </c>
      <c r="Y138" s="419">
        <f t="shared" si="3"/>
        <v>0</v>
      </c>
      <c r="Z138" s="419">
        <f t="shared" si="3"/>
        <v>-0.00029999999999996696</v>
      </c>
      <c r="AA138" s="419">
        <f t="shared" si="3"/>
        <v>-0.00019999999999997797</v>
      </c>
      <c r="AB138" s="419">
        <f t="shared" si="3"/>
        <v>0</v>
      </c>
      <c r="AC138" s="1351">
        <f t="shared" si="3"/>
        <v>0.007800000000000029</v>
      </c>
      <c r="AD138" s="1351">
        <f t="shared" si="3"/>
        <v>-0.009000000000000119</v>
      </c>
      <c r="AE138" s="1351">
        <f t="shared" si="3"/>
        <v>0.0008000000000001339</v>
      </c>
      <c r="AF138" s="1351">
        <f t="shared" si="3"/>
        <v>0.0044999999999999485</v>
      </c>
      <c r="AG138" s="1351">
        <f t="shared" si="3"/>
        <v>0.08099999999999996</v>
      </c>
      <c r="AH138" s="1351">
        <f t="shared" si="3"/>
        <v>0.07699999999999996</v>
      </c>
      <c r="AI138" s="1351">
        <f t="shared" si="3"/>
        <v>0.0039000000000000146</v>
      </c>
      <c r="AJ138" s="1351">
        <f t="shared" si="3"/>
        <v>-0.01990000000000003</v>
      </c>
      <c r="AK138" s="1351">
        <f t="shared" si="3"/>
        <v>0.0025999999999999357</v>
      </c>
      <c r="AL138" s="1351">
        <f t="shared" si="3"/>
        <v>0.00039999999999995595</v>
      </c>
      <c r="AM138" s="1351">
        <f t="shared" si="3"/>
        <v>0.019099999999999895</v>
      </c>
      <c r="AN138" s="1351">
        <f t="shared" si="3"/>
        <v>0.020000000000000018</v>
      </c>
      <c r="AO138" s="1351">
        <f t="shared" si="3"/>
        <v>0.020000000000000018</v>
      </c>
      <c r="AP138" s="1351">
        <f t="shared" si="3"/>
        <v>0.020000000000000018</v>
      </c>
      <c r="AQ138" s="1351">
        <f t="shared" si="3"/>
        <v>0.020000000000000018</v>
      </c>
      <c r="AR138" s="1351">
        <f t="shared" si="3"/>
        <v>0.020000000000000018</v>
      </c>
      <c r="AS138" s="287" t="s">
        <v>121</v>
      </c>
    </row>
    <row r="139" ht="17.5" customHeight="1" spans="4:45" x14ac:dyDescent="0.25">
      <c r="D139" s="1335">
        <v>14</v>
      </c>
      <c r="E139" s="1719">
        <v>40560</v>
      </c>
      <c r="F139" s="1349" t="s">
        <v>441</v>
      </c>
      <c r="G139" s="26" t="s">
        <v>1013</v>
      </c>
      <c r="H139" s="1458" t="s">
        <v>1586</v>
      </c>
      <c r="I139" s="1458"/>
      <c r="J139" s="1458"/>
      <c r="K139" s="1458"/>
      <c r="L139" s="1458"/>
      <c r="M139" s="1458"/>
      <c r="N139" s="1376">
        <f t="shared" si="0"/>
        <v>0</v>
      </c>
      <c r="O139" s="1351">
        <f t="shared" si="0"/>
        <v>-15.570510673284815</v>
      </c>
      <c r="P139" s="1351">
        <f t="shared" si="3"/>
        <v>-18.93704444199556</v>
      </c>
      <c r="Q139" s="1351">
        <f t="shared" si="3"/>
        <v>-20.14846778438911</v>
      </c>
      <c r="R139" s="1351">
        <f t="shared" si="3"/>
        <v>-28.401133926735408</v>
      </c>
      <c r="S139" s="1351">
        <f t="shared" si="3"/>
        <v>-41.356039592807974</v>
      </c>
      <c r="T139" s="1351">
        <f t="shared" si="3"/>
        <v>-53.73059309728583</v>
      </c>
      <c r="U139" s="1351">
        <f t="shared" si="3"/>
        <v>-68.8979269818815</v>
      </c>
      <c r="V139" s="1351">
        <f t="shared" si="3"/>
        <v>-82.91711464764742</v>
      </c>
      <c r="W139" s="1351">
        <f t="shared" si="3"/>
        <v>-103.38196457751305</v>
      </c>
      <c r="X139" s="1351">
        <f t="shared" si="3"/>
        <v>-121.30476422160481</v>
      </c>
      <c r="Y139" s="1351">
        <f t="shared" si="3"/>
        <v>-150.9426121122823</v>
      </c>
      <c r="Z139" s="1351">
        <f t="shared" si="3"/>
        <v>-189.77332363654145</v>
      </c>
      <c r="AA139" s="1351">
        <f t="shared" si="3"/>
        <v>-237.430924192197</v>
      </c>
      <c r="AB139" s="1351">
        <f t="shared" si="3"/>
        <v>-254.90527282716073</v>
      </c>
      <c r="AC139" s="1351">
        <f t="shared" ref="AC139:AR139" si="4">AC80-AC21</f>
        <v>-299.9741270445683</v>
      </c>
      <c r="AD139" s="1351">
        <f t="shared" si="4"/>
        <v>-339.4549637987228</v>
      </c>
      <c r="AE139" s="1351">
        <f t="shared" si="4"/>
        <v>-375.2983504260412</v>
      </c>
      <c r="AF139" s="1351">
        <f t="shared" si="4"/>
        <v>-408.0401314250616</v>
      </c>
      <c r="AG139" s="1351">
        <f t="shared" si="4"/>
        <v>-438.0326740138386</v>
      </c>
      <c r="AH139" s="1351">
        <f t="shared" si="4"/>
        <v>-466.3704400219558</v>
      </c>
      <c r="AI139" s="1351">
        <f t="shared" si="4"/>
        <v>-493.77561123821073</v>
      </c>
      <c r="AJ139" s="1351">
        <f t="shared" si="4"/>
        <v>-518.9848976448177</v>
      </c>
      <c r="AK139" s="1351">
        <f t="shared" si="4"/>
        <v>-541.9205650304566</v>
      </c>
      <c r="AL139" s="1351">
        <f t="shared" si="4"/>
        <v>-559.7472737183393</v>
      </c>
      <c r="AM139" s="1351">
        <f t="shared" si="4"/>
        <v>-577.6710070722442</v>
      </c>
      <c r="AN139" s="1351">
        <f t="shared" si="4"/>
        <v>-595.8168155020493</v>
      </c>
      <c r="AO139" s="1351">
        <f t="shared" si="4"/>
        <v>-614.2794239620275</v>
      </c>
      <c r="AP139" s="1351">
        <f t="shared" si="4"/>
        <v>-633.1318296612234</v>
      </c>
      <c r="AQ139" s="1351">
        <f t="shared" si="4"/>
        <v>-652.4315051198814</v>
      </c>
      <c r="AR139" s="1351">
        <f t="shared" si="4"/>
        <v>-672.2248748035983</v>
      </c>
      <c r="AS139" s="287" t="s">
        <v>441</v>
      </c>
    </row>
    <row r="140" ht="17.5" customHeight="1" spans="4:45" x14ac:dyDescent="0.25">
      <c r="D140" s="1335">
        <v>15</v>
      </c>
      <c r="E140" s="1719">
        <v>40571</v>
      </c>
      <c r="F140" s="1349" t="s">
        <v>445</v>
      </c>
      <c r="G140" s="26" t="s">
        <v>866</v>
      </c>
      <c r="H140" s="1458" t="s">
        <v>1587</v>
      </c>
      <c r="I140" s="1458"/>
      <c r="J140" s="1458"/>
      <c r="K140" s="1458"/>
      <c r="L140" s="1458"/>
      <c r="M140" s="1458"/>
      <c r="N140" s="1376">
        <f t="shared" si="0"/>
        <v>0</v>
      </c>
      <c r="O140" s="419">
        <f t="shared" si="0"/>
        <v>19.196612970025043</v>
      </c>
      <c r="P140" s="419">
        <f t="shared" si="3"/>
        <v>17.67189625492901</v>
      </c>
      <c r="Q140" s="419">
        <f t="shared" si="3"/>
        <v>11.875997236514307</v>
      </c>
      <c r="R140" s="419">
        <f t="shared" si="3"/>
        <v>16.849078158393446</v>
      </c>
      <c r="S140" s="419">
        <f t="shared" si="3"/>
        <v>27.269166636396097</v>
      </c>
      <c r="T140" s="419">
        <f t="shared" si="3"/>
        <v>23.270759438323314</v>
      </c>
      <c r="U140" s="419">
        <f t="shared" si="3"/>
        <v>23.741956476825223</v>
      </c>
      <c r="V140" s="419">
        <f t="shared" si="3"/>
        <v>27.548189953753653</v>
      </c>
      <c r="W140" s="419">
        <f t="shared" si="3"/>
        <v>36.79109083538012</v>
      </c>
      <c r="X140" s="419">
        <f t="shared" si="3"/>
        <v>52.80351579062664</v>
      </c>
      <c r="Y140" s="419">
        <f t="shared" si="3"/>
        <v>63.57748071417933</v>
      </c>
      <c r="Z140" s="419">
        <f t="shared" si="3"/>
        <v>70.65230462859772</v>
      </c>
      <c r="AA140" s="419">
        <f t="shared" si="3"/>
        <v>95.43880738723075</v>
      </c>
      <c r="AB140" s="419">
        <f t="shared" si="3"/>
        <v>59.66873990300865</v>
      </c>
      <c r="AC140" s="1351">
        <f t="shared" si="3"/>
        <v>77.16873990300864</v>
      </c>
      <c r="AD140" s="1351">
        <f t="shared" si="3"/>
        <v>108.42873990300865</v>
      </c>
      <c r="AE140" s="1351">
        <f t="shared" si="3"/>
        <v>108.73073990300865</v>
      </c>
      <c r="AF140" s="1351">
        <f t="shared" si="3"/>
        <v>106.06213990300864</v>
      </c>
      <c r="AG140" s="1351">
        <f t="shared" si="3"/>
        <v>96.11411990300866</v>
      </c>
      <c r="AH140" s="1351">
        <f t="shared" si="3"/>
        <v>49.58050590300865</v>
      </c>
      <c r="AI140" s="1351">
        <f t="shared" si="3"/>
        <v>41.15697610300865</v>
      </c>
      <c r="AJ140" s="1351">
        <f t="shared" si="3"/>
        <v>52.140505243008654</v>
      </c>
      <c r="AK140" s="1351">
        <f t="shared" si="3"/>
        <v>67.12897564100865</v>
      </c>
      <c r="AL140" s="1351">
        <f t="shared" si="3"/>
        <v>69.12090491960865</v>
      </c>
      <c r="AM140" s="1351">
        <f t="shared" si="3"/>
        <v>37.11525541462865</v>
      </c>
      <c r="AN140" s="1351">
        <f t="shared" si="3"/>
        <v>47.11130076114265</v>
      </c>
      <c r="AO140" s="1351">
        <f t="shared" si="3"/>
        <v>55.10853250370245</v>
      </c>
      <c r="AP140" s="1351">
        <f t="shared" si="3"/>
        <v>61.50659472349432</v>
      </c>
      <c r="AQ140" s="1351">
        <f t="shared" si="3"/>
        <v>66.62523827734863</v>
      </c>
      <c r="AR140" s="1351">
        <f t="shared" si="3"/>
        <v>70.72028876504663</v>
      </c>
      <c r="AS140" s="287" t="s">
        <v>445</v>
      </c>
    </row>
    <row r="141" ht="17.5" customHeight="1" spans="4:45" x14ac:dyDescent="0.25">
      <c r="D141" s="1335">
        <v>16</v>
      </c>
      <c r="E141" s="1719">
        <v>40561</v>
      </c>
      <c r="F141" s="1349" t="s">
        <v>631</v>
      </c>
      <c r="G141" s="26" t="s">
        <v>866</v>
      </c>
      <c r="H141" s="1458" t="s">
        <v>1588</v>
      </c>
      <c r="I141" s="1458"/>
      <c r="J141" s="1458"/>
      <c r="K141" s="1458"/>
      <c r="L141" s="1458"/>
      <c r="M141" s="1458"/>
      <c r="N141" s="1376">
        <f t="shared" si="0"/>
        <v>0</v>
      </c>
      <c r="O141" s="419">
        <f t="shared" si="0"/>
        <v>-1.3189257552818991</v>
      </c>
      <c r="P141" s="419">
        <f t="shared" si="3"/>
        <v>-1.517071107364595</v>
      </c>
      <c r="Q141" s="419">
        <f t="shared" si="3"/>
        <v>-2.220359861827969</v>
      </c>
      <c r="R141" s="419">
        <f t="shared" si="3"/>
        <v>-4.486177066207388</v>
      </c>
      <c r="S141" s="419">
        <f t="shared" si="3"/>
        <v>-4.871703916899405</v>
      </c>
      <c r="T141" s="419">
        <f t="shared" si="3"/>
        <v>-6.038978498350465</v>
      </c>
      <c r="U141" s="419">
        <f t="shared" si="3"/>
        <v>-6.842708357675729</v>
      </c>
      <c r="V141" s="419">
        <f t="shared" si="3"/>
        <v>-7.616104211007146</v>
      </c>
      <c r="W141" s="419">
        <f t="shared" si="3"/>
        <v>-8.796445207472216</v>
      </c>
      <c r="X141" s="419">
        <f t="shared" si="3"/>
        <v>-9.812333196860438</v>
      </c>
      <c r="Y141" s="419">
        <f t="shared" si="3"/>
        <v>-10.970771455402737</v>
      </c>
      <c r="Z141" s="419">
        <f t="shared" si="3"/>
        <v>-12.708456854617253</v>
      </c>
      <c r="AA141" s="419">
        <f t="shared" si="3"/>
        <v>-15.095617781924338</v>
      </c>
      <c r="AB141" s="419">
        <f t="shared" si="3"/>
        <v>-16.889193178651254</v>
      </c>
      <c r="AC141" s="1351">
        <f t="shared" si="3"/>
        <v>-18.308390828272863</v>
      </c>
      <c r="AD141" s="1351">
        <f t="shared" si="3"/>
        <v>-19.523378776722407</v>
      </c>
      <c r="AE141" s="1351">
        <f t="shared" si="3"/>
        <v>-20.57835719660262</v>
      </c>
      <c r="AF141" s="1351">
        <f t="shared" si="3"/>
        <v>-21.48044507953696</v>
      </c>
      <c r="AG141" s="1351">
        <f t="shared" si="3"/>
        <v>-22.26695350432476</v>
      </c>
      <c r="AH141" s="1351">
        <f t="shared" si="3"/>
        <v>-22.945712771956135</v>
      </c>
      <c r="AI141" s="1351">
        <f t="shared" si="3"/>
        <v>-23.499151787849737</v>
      </c>
      <c r="AJ141" s="1351">
        <f t="shared" si="3"/>
        <v>-23.94663753238969</v>
      </c>
      <c r="AK141" s="1351">
        <f t="shared" si="3"/>
        <v>-24.344726632108934</v>
      </c>
      <c r="AL141" s="1351">
        <f t="shared" si="3"/>
        <v>-24.683004306880132</v>
      </c>
      <c r="AM141" s="1351">
        <f t="shared" si="3"/>
        <v>-24.97048149444155</v>
      </c>
      <c r="AN141" s="1351">
        <f t="shared" si="3"/>
        <v>-25.214801802272294</v>
      </c>
      <c r="AO141" s="1351">
        <f t="shared" si="3"/>
        <v>-25.422452882970553</v>
      </c>
      <c r="AP141" s="1351">
        <f t="shared" si="3"/>
        <v>-25.59894359298935</v>
      </c>
      <c r="AQ141" s="1351">
        <f t="shared" si="3"/>
        <v>-25.74895307136049</v>
      </c>
      <c r="AR141" s="1351">
        <f t="shared" si="3"/>
        <v>-25.87645655288906</v>
      </c>
      <c r="AS141" s="287" t="s">
        <v>631</v>
      </c>
    </row>
    <row r="142" ht="17.5" customHeight="1" spans="4:45" x14ac:dyDescent="0.25">
      <c r="D142" s="1335">
        <v>17</v>
      </c>
      <c r="E142" s="1719">
        <v>40561</v>
      </c>
      <c r="F142" s="1349" t="s">
        <v>387</v>
      </c>
      <c r="G142" s="26" t="s">
        <v>866</v>
      </c>
      <c r="H142" s="1458" t="s">
        <v>1036</v>
      </c>
      <c r="I142" s="1458"/>
      <c r="J142" s="1458"/>
      <c r="K142" s="1458"/>
      <c r="L142" s="1458"/>
      <c r="M142" s="1458"/>
      <c r="N142" s="1376">
        <f t="shared" si="0"/>
        <v>0</v>
      </c>
      <c r="O142" s="419">
        <f t="shared" si="0"/>
        <v>0</v>
      </c>
      <c r="P142" s="419">
        <f t="shared" si="3"/>
        <v>0</v>
      </c>
      <c r="Q142" s="419">
        <f t="shared" si="3"/>
        <v>0</v>
      </c>
      <c r="R142" s="419">
        <f t="shared" si="3"/>
        <v>0</v>
      </c>
      <c r="S142" s="419">
        <f t="shared" si="3"/>
        <v>0</v>
      </c>
      <c r="T142" s="419">
        <f t="shared" si="3"/>
        <v>0</v>
      </c>
      <c r="U142" s="419">
        <f t="shared" si="3"/>
        <v>0</v>
      </c>
      <c r="V142" s="419">
        <f t="shared" si="3"/>
        <v>0</v>
      </c>
      <c r="W142" s="419">
        <f t="shared" si="3"/>
        <v>0</v>
      </c>
      <c r="X142" s="419">
        <f t="shared" si="3"/>
        <v>0</v>
      </c>
      <c r="Y142" s="419">
        <f t="shared" si="3"/>
        <v>0</v>
      </c>
      <c r="Z142" s="419">
        <f t="shared" si="3"/>
        <v>0</v>
      </c>
      <c r="AA142" s="419">
        <f t="shared" si="3"/>
        <v>-0.0050575870453126726</v>
      </c>
      <c r="AB142" s="419">
        <f t="shared" si="3"/>
        <v>-0.42801825048387876</v>
      </c>
      <c r="AC142" s="1351">
        <f t="shared" si="3"/>
        <v>-1.0918504078076996</v>
      </c>
      <c r="AD142" s="1351">
        <f t="shared" si="3"/>
        <v>0.22219554249127782</v>
      </c>
      <c r="AE142" s="1351">
        <f t="shared" si="3"/>
        <v>0.11917144213197162</v>
      </c>
      <c r="AF142" s="1351">
        <f t="shared" si="3"/>
        <v>0.08157063854293867</v>
      </c>
      <c r="AG142" s="1351">
        <f t="shared" si="3"/>
        <v>0.40834802136313897</v>
      </c>
      <c r="AH142" s="1351">
        <f t="shared" si="3"/>
        <v>2.3683542919269875</v>
      </c>
      <c r="AI142" s="1351">
        <f t="shared" si="3"/>
        <v>3.1616414554194634</v>
      </c>
      <c r="AJ142" s="1351">
        <f t="shared" si="3"/>
        <v>3.1283567667248207</v>
      </c>
      <c r="AK142" s="1351">
        <f t="shared" si="3"/>
        <v>3.306427100165447</v>
      </c>
      <c r="AL142" s="1351">
        <f t="shared" si="3"/>
        <v>3.6984377067582415</v>
      </c>
      <c r="AM142" s="1351">
        <f t="shared" si="3"/>
        <v>4.022409473584332</v>
      </c>
      <c r="AN142" s="1351">
        <f t="shared" si="3"/>
        <v>5.557405221123613</v>
      </c>
      <c r="AO142" s="1351">
        <f t="shared" si="3"/>
        <v>6.68697347759673</v>
      </c>
      <c r="AP142" s="1351">
        <f t="shared" si="3"/>
        <v>7.939910596294695</v>
      </c>
      <c r="AQ142" s="1351">
        <f t="shared" si="3"/>
        <v>9.315695975388632</v>
      </c>
      <c r="AR142" s="1351">
        <f t="shared" si="3"/>
        <v>10.814451887452226</v>
      </c>
      <c r="AS142" s="287" t="s">
        <v>387</v>
      </c>
    </row>
    <row r="143" ht="17.5" customHeight="1" spans="4:45" x14ac:dyDescent="0.25">
      <c r="D143" s="1335">
        <v>18</v>
      </c>
      <c r="E143" s="1719">
        <v>40561</v>
      </c>
      <c r="F143" s="1349" t="s">
        <v>636</v>
      </c>
      <c r="G143" s="26" t="s">
        <v>866</v>
      </c>
      <c r="H143" s="1458" t="s">
        <v>1038</v>
      </c>
      <c r="I143" s="1458"/>
      <c r="J143" s="1458"/>
      <c r="K143" s="1458"/>
      <c r="L143" s="1458"/>
      <c r="M143" s="1458"/>
      <c r="N143" s="1376">
        <f t="shared" si="0"/>
        <v>0</v>
      </c>
      <c r="O143" s="419">
        <f t="shared" si="0"/>
        <v>0</v>
      </c>
      <c r="P143" s="419">
        <f t="shared" si="3"/>
        <v>0</v>
      </c>
      <c r="Q143" s="419">
        <f t="shared" si="3"/>
        <v>0</v>
      </c>
      <c r="R143" s="419">
        <f t="shared" si="3"/>
        <v>0</v>
      </c>
      <c r="S143" s="419">
        <f t="shared" si="3"/>
        <v>0</v>
      </c>
      <c r="T143" s="419">
        <f t="shared" si="3"/>
        <v>0</v>
      </c>
      <c r="U143" s="419">
        <f t="shared" si="3"/>
        <v>0</v>
      </c>
      <c r="V143" s="419">
        <f t="shared" si="3"/>
        <v>0</v>
      </c>
      <c r="W143" s="419">
        <f t="shared" si="3"/>
        <v>0</v>
      </c>
      <c r="X143" s="419">
        <f t="shared" si="3"/>
        <v>0</v>
      </c>
      <c r="Y143" s="419">
        <f t="shared" si="3"/>
        <v>0</v>
      </c>
      <c r="Z143" s="419">
        <f t="shared" si="3"/>
        <v>0</v>
      </c>
      <c r="AA143" s="419">
        <f t="shared" si="3"/>
        <v>0.36067125101488884</v>
      </c>
      <c r="AB143" s="419">
        <f t="shared" si="3"/>
        <v>1.0352084040354335</v>
      </c>
      <c r="AC143" s="1351">
        <f t="shared" si="3"/>
        <v>1.9752102250217902</v>
      </c>
      <c r="AD143" s="1351">
        <f t="shared" si="3"/>
        <v>6.108680477258787</v>
      </c>
      <c r="AE143" s="1351">
        <f t="shared" si="3"/>
        <v>9.217018112187183</v>
      </c>
      <c r="AF143" s="1351">
        <f t="shared" si="3"/>
        <v>12.253596709370061</v>
      </c>
      <c r="AG143" s="1351">
        <f t="shared" si="3"/>
        <v>14.38647847024437</v>
      </c>
      <c r="AH143" s="1351">
        <f t="shared" si="3"/>
        <v>17.0669623839811</v>
      </c>
      <c r="AI143" s="1351">
        <f t="shared" si="3"/>
        <v>19.196242070377945</v>
      </c>
      <c r="AJ143" s="1351">
        <f t="shared" si="3"/>
        <v>20.469248433012513</v>
      </c>
      <c r="AK143" s="1351">
        <f t="shared" si="3"/>
        <v>24.17015060360244</v>
      </c>
      <c r="AL143" s="1351">
        <f t="shared" si="3"/>
        <v>24.944638918980598</v>
      </c>
      <c r="AM143" s="1351">
        <f t="shared" si="3"/>
        <v>27.689238362473574</v>
      </c>
      <c r="AN143" s="1351">
        <f t="shared" si="3"/>
        <v>30.656840686693627</v>
      </c>
      <c r="AO143" s="1351">
        <f t="shared" si="3"/>
        <v>33.79925668022951</v>
      </c>
      <c r="AP143" s="1351">
        <f t="shared" si="3"/>
        <v>37.119940315926044</v>
      </c>
      <c r="AQ143" s="1351">
        <f t="shared" si="3"/>
        <v>40.62357560739449</v>
      </c>
      <c r="AR143" s="1351">
        <f t="shared" si="3"/>
        <v>44.315926642626025</v>
      </c>
      <c r="AS143" s="287" t="s">
        <v>636</v>
      </c>
    </row>
    <row r="144" ht="17.5" customHeight="1" spans="4:45" x14ac:dyDescent="0.25">
      <c r="D144" s="1335">
        <v>19</v>
      </c>
      <c r="E144" s="1719">
        <v>40561</v>
      </c>
      <c r="F144" s="1349" t="s">
        <v>638</v>
      </c>
      <c r="G144" s="26" t="s">
        <v>866</v>
      </c>
      <c r="H144" s="1458" t="s">
        <v>1589</v>
      </c>
      <c r="I144" s="1458"/>
      <c r="J144" s="1458"/>
      <c r="K144" s="1458"/>
      <c r="L144" s="1458"/>
      <c r="M144" s="1458"/>
      <c r="N144" s="1376">
        <f t="shared" si="0"/>
        <v>0</v>
      </c>
      <c r="O144" s="419">
        <f t="shared" si="0"/>
        <v>0</v>
      </c>
      <c r="P144" s="419">
        <f t="shared" si="3"/>
        <v>0</v>
      </c>
      <c r="Q144" s="419">
        <f t="shared" si="3"/>
        <v>0</v>
      </c>
      <c r="R144" s="419">
        <f t="shared" si="3"/>
        <v>0</v>
      </c>
      <c r="S144" s="419">
        <f t="shared" ref="P144:AR152" si="5">S85-S26</f>
        <v>0</v>
      </c>
      <c r="T144" s="419">
        <f t="shared" si="5"/>
        <v>0</v>
      </c>
      <c r="U144" s="419">
        <f t="shared" si="5"/>
        <v>0</v>
      </c>
      <c r="V144" s="419">
        <f t="shared" si="5"/>
        <v>0</v>
      </c>
      <c r="W144" s="419">
        <f t="shared" si="5"/>
        <v>0</v>
      </c>
      <c r="X144" s="419">
        <f t="shared" si="5"/>
        <v>0</v>
      </c>
      <c r="Y144" s="419">
        <f t="shared" si="5"/>
        <v>0</v>
      </c>
      <c r="Z144" s="419">
        <f t="shared" si="5"/>
        <v>0</v>
      </c>
      <c r="AA144" s="419">
        <f t="shared" si="5"/>
        <v>0</v>
      </c>
      <c r="AB144" s="419">
        <f t="shared" si="5"/>
        <v>-0.04442613933931128</v>
      </c>
      <c r="AC144" s="1351">
        <f t="shared" si="5"/>
        <v>-0.49845484160658593</v>
      </c>
      <c r="AD144" s="1351">
        <f t="shared" si="5"/>
        <v>-0.8158502839429644</v>
      </c>
      <c r="AE144" s="1351">
        <f t="shared" si="5"/>
        <v>-0.20084394398431904</v>
      </c>
      <c r="AF144" s="1351">
        <f t="shared" si="5"/>
        <v>-0.2735470784684324</v>
      </c>
      <c r="AG144" s="1351">
        <f t="shared" si="5"/>
        <v>1.0105654455278739</v>
      </c>
      <c r="AH144" s="1351">
        <f t="shared" si="5"/>
        <v>2.3554936904727874</v>
      </c>
      <c r="AI144" s="1351">
        <f t="shared" si="5"/>
        <v>3.3691191097315887</v>
      </c>
      <c r="AJ144" s="1351">
        <f t="shared" si="5"/>
        <v>4.9195900735439295</v>
      </c>
      <c r="AK144" s="1351">
        <f t="shared" si="5"/>
        <v>6.413988047878053</v>
      </c>
      <c r="AL144" s="1351">
        <f t="shared" si="5"/>
        <v>6.878744590301697</v>
      </c>
      <c r="AM144" s="1351">
        <f t="shared" si="5"/>
        <v>7.446538104351976</v>
      </c>
      <c r="AN144" s="1351">
        <f t="shared" si="5"/>
        <v>8.127152196757493</v>
      </c>
      <c r="AO144" s="1351">
        <f t="shared" si="5"/>
        <v>8.901225840594353</v>
      </c>
      <c r="AP144" s="1351">
        <f t="shared" si="5"/>
        <v>9.770460571093572</v>
      </c>
      <c r="AQ144" s="1351">
        <f t="shared" si="5"/>
        <v>10.736791572364737</v>
      </c>
      <c r="AR144" s="1351">
        <f t="shared" si="5"/>
        <v>11.802391931234105</v>
      </c>
      <c r="AS144" s="287" t="s">
        <v>638</v>
      </c>
    </row>
    <row r="145" ht="17.5" customHeight="1" spans="4:45" x14ac:dyDescent="0.25">
      <c r="D145" s="1335">
        <v>20</v>
      </c>
      <c r="E145" s="1719">
        <v>40561</v>
      </c>
      <c r="F145" s="1349" t="s">
        <v>640</v>
      </c>
      <c r="G145" s="26" t="s">
        <v>866</v>
      </c>
      <c r="H145" s="1458" t="s">
        <v>1590</v>
      </c>
      <c r="I145" s="1458"/>
      <c r="J145" s="1458"/>
      <c r="K145" s="1458"/>
      <c r="L145" s="1458"/>
      <c r="M145" s="1458"/>
      <c r="N145" s="1376">
        <f t="shared" si="0"/>
        <v>0</v>
      </c>
      <c r="O145" s="419">
        <f t="shared" si="0"/>
        <v>-0.20027004746537158</v>
      </c>
      <c r="P145" s="419">
        <f t="shared" si="5"/>
        <v>-0.3436657583578946</v>
      </c>
      <c r="Q145" s="419">
        <f t="shared" si="5"/>
        <v>-0.86312561883619</v>
      </c>
      <c r="R145" s="419">
        <f t="shared" si="5"/>
        <v>-3.2717512782434754</v>
      </c>
      <c r="S145" s="419">
        <f t="shared" si="5"/>
        <v>-5.003488875041071</v>
      </c>
      <c r="T145" s="419">
        <f t="shared" si="5"/>
        <v>-4.886777283746651</v>
      </c>
      <c r="U145" s="419">
        <f t="shared" si="5"/>
        <v>-5.161631597504037</v>
      </c>
      <c r="V145" s="419">
        <f t="shared" si="5"/>
        <v>-5.682219397810089</v>
      </c>
      <c r="W145" s="419">
        <f t="shared" si="5"/>
        <v>-6.642051376558926</v>
      </c>
      <c r="X145" s="419">
        <f t="shared" si="5"/>
        <v>-8.464735253595782</v>
      </c>
      <c r="Y145" s="419">
        <f t="shared" si="5"/>
        <v>-9.512402184752709</v>
      </c>
      <c r="Z145" s="419">
        <f t="shared" si="5"/>
        <v>-9.893368251788377</v>
      </c>
      <c r="AA145" s="419">
        <f t="shared" si="5"/>
        <v>-12.895217886873839</v>
      </c>
      <c r="AB145" s="419">
        <f t="shared" si="5"/>
        <v>-11.325480239013421</v>
      </c>
      <c r="AC145" s="1351">
        <f t="shared" si="5"/>
        <v>-12.896021009509747</v>
      </c>
      <c r="AD145" s="1351">
        <f t="shared" si="5"/>
        <v>-13.81009999883425</v>
      </c>
      <c r="AE145" s="1351">
        <f t="shared" si="5"/>
        <v>-14.691519734206716</v>
      </c>
      <c r="AF145" s="1351">
        <f t="shared" si="5"/>
        <v>-15.559355497229127</v>
      </c>
      <c r="AG145" s="1351">
        <f t="shared" si="5"/>
        <v>-16.395097333204923</v>
      </c>
      <c r="AH145" s="1351">
        <f t="shared" si="5"/>
        <v>-17.247154394056743</v>
      </c>
      <c r="AI145" s="1351">
        <f t="shared" si="5"/>
        <v>-18.0842124355072</v>
      </c>
      <c r="AJ145" s="1351">
        <f t="shared" si="5"/>
        <v>-18.87794932007012</v>
      </c>
      <c r="AK145" s="1351">
        <f t="shared" si="5"/>
        <v>-19.589933285174183</v>
      </c>
      <c r="AL145" s="1351">
        <f t="shared" si="5"/>
        <v>-20.14048574617628</v>
      </c>
      <c r="AM145" s="1351">
        <f t="shared" si="5"/>
        <v>-20.70969844227438</v>
      </c>
      <c r="AN145" s="1351">
        <f t="shared" si="5"/>
        <v>-21.298023997458063</v>
      </c>
      <c r="AO145" s="1351">
        <f t="shared" si="5"/>
        <v>-21.905933973589768</v>
      </c>
      <c r="AP145" s="1351">
        <f t="shared" si="5"/>
        <v>-22.533919170583307</v>
      </c>
      <c r="AQ145" s="1351">
        <f t="shared" si="5"/>
        <v>-23.18248994898564</v>
      </c>
      <c r="AR145" s="1351">
        <f t="shared" si="5"/>
        <v>-23.852176574964087</v>
      </c>
      <c r="AS145" s="287" t="s">
        <v>640</v>
      </c>
    </row>
    <row r="146" ht="17.5" customHeight="1" spans="4:45" x14ac:dyDescent="0.25">
      <c r="D146" s="1335">
        <v>21</v>
      </c>
      <c r="E146" s="1719">
        <v>40561</v>
      </c>
      <c r="F146" s="1349" t="s">
        <v>390</v>
      </c>
      <c r="G146" s="26" t="s">
        <v>866</v>
      </c>
      <c r="H146" s="1458" t="s">
        <v>1051</v>
      </c>
      <c r="I146" s="1458"/>
      <c r="J146" s="1458"/>
      <c r="K146" s="1458"/>
      <c r="L146" s="1458"/>
      <c r="M146" s="1458"/>
      <c r="N146" s="1376">
        <f t="shared" ref="N146:O165" si="6">N87-N28</f>
        <v>0</v>
      </c>
      <c r="O146" s="419">
        <f t="shared" si="6"/>
        <v>-0.024359452216353272</v>
      </c>
      <c r="P146" s="419">
        <f t="shared" si="5"/>
        <v>-0.1513942585308905</v>
      </c>
      <c r="Q146" s="419">
        <f t="shared" si="5"/>
        <v>-0.3018675028429598</v>
      </c>
      <c r="R146" s="419">
        <f t="shared" si="5"/>
        <v>-0.5106538011030421</v>
      </c>
      <c r="S146" s="419">
        <f t="shared" si="5"/>
        <v>0.28105940528286855</v>
      </c>
      <c r="T146" s="419">
        <f t="shared" si="5"/>
        <v>0.07275386803734385</v>
      </c>
      <c r="U146" s="419">
        <f t="shared" si="5"/>
        <v>-0.10654907489376342</v>
      </c>
      <c r="V146" s="419">
        <f t="shared" si="5"/>
        <v>0.3128258029698445</v>
      </c>
      <c r="W146" s="419">
        <f t="shared" si="5"/>
        <v>1.2142949983021118</v>
      </c>
      <c r="X146" s="419">
        <f t="shared" si="5"/>
        <v>2.08665530739845</v>
      </c>
      <c r="Y146" s="419">
        <f t="shared" si="5"/>
        <v>2.6282960658400745</v>
      </c>
      <c r="Z146" s="419">
        <f t="shared" si="5"/>
        <v>2.5887313402523864</v>
      </c>
      <c r="AA146" s="419">
        <f t="shared" si="5"/>
        <v>3.742865005214261</v>
      </c>
      <c r="AB146" s="419">
        <f t="shared" si="5"/>
        <v>2.37345132328117</v>
      </c>
      <c r="AC146" s="1351">
        <f t="shared" si="5"/>
        <v>2.506910124208792</v>
      </c>
      <c r="AD146" s="1351">
        <f t="shared" si="5"/>
        <v>3.5832584682942734</v>
      </c>
      <c r="AE146" s="1351">
        <f t="shared" si="5"/>
        <v>3.0605146945431407</v>
      </c>
      <c r="AF146" s="1351">
        <f t="shared" si="5"/>
        <v>1.8016166251838648</v>
      </c>
      <c r="AG146" s="1351">
        <f t="shared" si="5"/>
        <v>4.7770246286682525</v>
      </c>
      <c r="AH146" s="1351">
        <f t="shared" si="5"/>
        <v>9.927957272565765</v>
      </c>
      <c r="AI146" s="1351">
        <f t="shared" si="5"/>
        <v>8.378798793058639</v>
      </c>
      <c r="AJ146" s="1351">
        <f t="shared" si="5"/>
        <v>6.711210646707066</v>
      </c>
      <c r="AK146" s="1351">
        <f t="shared" si="5"/>
        <v>11.139357611644254</v>
      </c>
      <c r="AL146" s="1351">
        <f t="shared" si="5"/>
        <v>9.865652084952224</v>
      </c>
      <c r="AM146" s="1351">
        <f t="shared" si="5"/>
        <v>11.278334691708324</v>
      </c>
      <c r="AN146" s="1351">
        <f t="shared" si="5"/>
        <v>12.878924480692618</v>
      </c>
      <c r="AO146" s="1351">
        <f t="shared" si="5"/>
        <v>14.648047158399738</v>
      </c>
      <c r="AP146" s="1351">
        <f t="shared" si="5"/>
        <v>16.60231283002731</v>
      </c>
      <c r="AQ146" s="1351">
        <f t="shared" si="5"/>
        <v>18.759974266630955</v>
      </c>
      <c r="AR146" s="1351">
        <f t="shared" si="5"/>
        <v>21.141091485554636</v>
      </c>
      <c r="AS146" s="287" t="s">
        <v>390</v>
      </c>
    </row>
    <row r="147" ht="17.5" customHeight="1" spans="4:45" x14ac:dyDescent="0.25">
      <c r="D147" s="1335">
        <v>22</v>
      </c>
      <c r="E147" s="1719">
        <v>40561</v>
      </c>
      <c r="F147" s="1349" t="s">
        <v>644</v>
      </c>
      <c r="G147" s="26" t="s">
        <v>866</v>
      </c>
      <c r="H147" s="1458" t="s">
        <v>1591</v>
      </c>
      <c r="I147" s="1458"/>
      <c r="J147" s="1458"/>
      <c r="K147" s="1458"/>
      <c r="L147" s="1458"/>
      <c r="M147" s="1458"/>
      <c r="N147" s="1376">
        <f t="shared" si="6"/>
        <v>0</v>
      </c>
      <c r="O147" s="419">
        <f t="shared" si="6"/>
        <v>-1.7194377618988257</v>
      </c>
      <c r="P147" s="419">
        <f t="shared" si="5"/>
        <v>-1.9680277801214479</v>
      </c>
      <c r="Q147" s="419">
        <f t="shared" si="5"/>
        <v>-2.2270348811115843</v>
      </c>
      <c r="R147" s="419">
        <f t="shared" si="5"/>
        <v>-3.493098424873765</v>
      </c>
      <c r="S147" s="419">
        <f t="shared" si="5"/>
        <v>-5.171262749607017</v>
      </c>
      <c r="T147" s="419">
        <f t="shared" si="5"/>
        <v>-6.070726846853921</v>
      </c>
      <c r="U147" s="419">
        <f t="shared" si="5"/>
        <v>-6.916750986271129</v>
      </c>
      <c r="V147" s="419">
        <f t="shared" si="5"/>
        <v>-7.627368919343924</v>
      </c>
      <c r="W147" s="419">
        <f t="shared" si="5"/>
        <v>-8.790413317796471</v>
      </c>
      <c r="X147" s="419">
        <f t="shared" si="5"/>
        <v>-9.990624552690374</v>
      </c>
      <c r="Y147" s="419">
        <f t="shared" si="5"/>
        <v>-11.213557335183449</v>
      </c>
      <c r="Z147" s="419">
        <f t="shared" si="5"/>
        <v>-12.976654669654488</v>
      </c>
      <c r="AA147" s="419">
        <f t="shared" si="5"/>
        <v>-15.438804338129833</v>
      </c>
      <c r="AB147" s="419">
        <f t="shared" si="5"/>
        <v>-16.637405826995906</v>
      </c>
      <c r="AC147" s="1351">
        <f t="shared" si="5"/>
        <v>-17.71614716697537</v>
      </c>
      <c r="AD147" s="1351">
        <f t="shared" si="5"/>
        <v>-18.68701437295689</v>
      </c>
      <c r="AE147" s="1351">
        <f t="shared" si="5"/>
        <v>-19.56079485834026</v>
      </c>
      <c r="AF147" s="1351">
        <f t="shared" si="5"/>
        <v>-20.34719729518529</v>
      </c>
      <c r="AG147" s="1351">
        <f t="shared" si="5"/>
        <v>-21.054959488345816</v>
      </c>
      <c r="AH147" s="1351">
        <f t="shared" si="5"/>
        <v>-21.69194546219029</v>
      </c>
      <c r="AI147" s="1351">
        <f t="shared" si="5"/>
        <v>-22.265232838650316</v>
      </c>
      <c r="AJ147" s="1351">
        <f t="shared" si="5"/>
        <v>-22.78119147746434</v>
      </c>
      <c r="AK147" s="1351">
        <f t="shared" si="5"/>
        <v>-23.24555425239696</v>
      </c>
      <c r="AL147" s="1351">
        <f t="shared" si="5"/>
        <v>-23.663480749836317</v>
      </c>
      <c r="AM147" s="1351">
        <f t="shared" si="5"/>
        <v>-24.039614597531738</v>
      </c>
      <c r="AN147" s="1351">
        <f t="shared" si="5"/>
        <v>-24.378135060457616</v>
      </c>
      <c r="AO147" s="1351">
        <f t="shared" si="5"/>
        <v>-24.682803477090907</v>
      </c>
      <c r="AP147" s="1351">
        <f t="shared" si="5"/>
        <v>-24.957005052060868</v>
      </c>
      <c r="AQ147" s="1351">
        <f t="shared" si="5"/>
        <v>-25.20378646953383</v>
      </c>
      <c r="AR147" s="1351">
        <f t="shared" si="5"/>
        <v>-25.425889745259497</v>
      </c>
      <c r="AS147" s="287" t="s">
        <v>644</v>
      </c>
    </row>
    <row r="148" ht="17.5" customHeight="1" spans="4:45" x14ac:dyDescent="0.25">
      <c r="D148" s="1335">
        <v>23</v>
      </c>
      <c r="E148" s="1719">
        <v>40561</v>
      </c>
      <c r="F148" s="1349" t="s">
        <v>646</v>
      </c>
      <c r="G148" s="26" t="s">
        <v>866</v>
      </c>
      <c r="H148" s="1458" t="s">
        <v>1047</v>
      </c>
      <c r="I148" s="1458"/>
      <c r="J148" s="1458"/>
      <c r="K148" s="1458"/>
      <c r="L148" s="1458"/>
      <c r="M148" s="1458"/>
      <c r="N148" s="1732">
        <f t="shared" si="6"/>
        <v>0</v>
      </c>
      <c r="O148" s="1733">
        <f t="shared" si="6"/>
        <v>-0.7417983257978731</v>
      </c>
      <c r="P148" s="1733">
        <f t="shared" si="5"/>
        <v>-0.5384877818030853</v>
      </c>
      <c r="Q148" s="1733">
        <f t="shared" si="5"/>
        <v>-0.44586364855173555</v>
      </c>
      <c r="R148" s="1733">
        <f t="shared" si="5"/>
        <v>0.7973499201121621</v>
      </c>
      <c r="S148" s="1733">
        <f t="shared" si="5"/>
        <v>1.896269453741827</v>
      </c>
      <c r="T148" s="1733">
        <f t="shared" si="5"/>
        <v>2.2711066318976867</v>
      </c>
      <c r="U148" s="1733">
        <f t="shared" si="5"/>
        <v>2.3579291033289707</v>
      </c>
      <c r="V148" s="1733">
        <f t="shared" si="5"/>
        <v>1.9847225680472285</v>
      </c>
      <c r="W148" s="1733">
        <f t="shared" si="5"/>
        <v>2.3213588229592466</v>
      </c>
      <c r="X148" s="1733">
        <f t="shared" si="5"/>
        <v>2.3796957394998532</v>
      </c>
      <c r="Y148" s="1733">
        <f t="shared" si="5"/>
        <v>2.54449723862262</v>
      </c>
      <c r="Z148" s="1733">
        <f t="shared" si="5"/>
        <v>2.019662150199725</v>
      </c>
      <c r="AA148" s="1733">
        <f t="shared" si="5"/>
        <v>2.046092001080643</v>
      </c>
      <c r="AB148" s="1733">
        <f t="shared" si="5"/>
        <v>0.8194862439959998</v>
      </c>
      <c r="AC148" s="1351">
        <f t="shared" si="5"/>
        <v>0.414792073593933</v>
      </c>
      <c r="AD148" s="1351">
        <f t="shared" si="5"/>
        <v>0.5252415887515802</v>
      </c>
      <c r="AE148" s="1351">
        <f t="shared" si="5"/>
        <v>0.5985924806244576</v>
      </c>
      <c r="AF148" s="1351">
        <f t="shared" si="5"/>
        <v>0.7872357932764587</v>
      </c>
      <c r="AG148" s="1351">
        <f t="shared" si="5"/>
        <v>0.9721630718796348</v>
      </c>
      <c r="AH148" s="1351">
        <f t="shared" si="5"/>
        <v>2.7727445244884343</v>
      </c>
      <c r="AI148" s="1351">
        <f t="shared" si="5"/>
        <v>3.7405548852149835</v>
      </c>
      <c r="AJ148" s="1351">
        <f t="shared" si="5"/>
        <v>4.191187093377877</v>
      </c>
      <c r="AK148" s="1351">
        <f t="shared" si="5"/>
        <v>5.198876175750691</v>
      </c>
      <c r="AL148" s="1351">
        <f t="shared" si="5"/>
        <v>5.884009576776577</v>
      </c>
      <c r="AM148" s="1351">
        <f t="shared" si="5"/>
        <v>6.978999888616649</v>
      </c>
      <c r="AN148" s="1351">
        <f t="shared" si="5"/>
        <v>9.090819507622612</v>
      </c>
      <c r="AO148" s="1351">
        <f t="shared" si="5"/>
        <v>10.924312150727712</v>
      </c>
      <c r="AP148" s="1351">
        <f t="shared" si="5"/>
        <v>12.89799916266458</v>
      </c>
      <c r="AQ148" s="1351">
        <f t="shared" si="5"/>
        <v>15.011612301373319</v>
      </c>
      <c r="AR148" s="1351">
        <f t="shared" si="5"/>
        <v>17.265961606766282</v>
      </c>
      <c r="AS148" s="287" t="s">
        <v>646</v>
      </c>
    </row>
    <row r="149" ht="17.5" customHeight="1" spans="4:45" x14ac:dyDescent="0.25">
      <c r="D149" s="1335">
        <v>24</v>
      </c>
      <c r="E149" s="1719">
        <v>40561</v>
      </c>
      <c r="F149" s="1349" t="s">
        <v>648</v>
      </c>
      <c r="G149" s="26" t="s">
        <v>866</v>
      </c>
      <c r="H149" s="1458" t="s">
        <v>1268</v>
      </c>
      <c r="I149" s="1458"/>
      <c r="J149" s="1458"/>
      <c r="K149" s="1458"/>
      <c r="L149" s="1458"/>
      <c r="M149" s="1458"/>
      <c r="N149" s="1376">
        <f t="shared" si="6"/>
        <v>0</v>
      </c>
      <c r="O149" s="419">
        <f t="shared" si="6"/>
        <v>0.7517510739992028</v>
      </c>
      <c r="P149" s="419">
        <f t="shared" si="5"/>
        <v>0.5527467748523809</v>
      </c>
      <c r="Q149" s="419">
        <f t="shared" si="5"/>
        <v>0.1211203140267667</v>
      </c>
      <c r="R149" s="419">
        <f t="shared" si="5"/>
        <v>-0.6681380652236921</v>
      </c>
      <c r="S149" s="419">
        <f t="shared" si="5"/>
        <v>-0.5080883157101579</v>
      </c>
      <c r="T149" s="419">
        <f t="shared" si="5"/>
        <v>-0.4538170936634227</v>
      </c>
      <c r="U149" s="419">
        <f t="shared" si="5"/>
        <v>-1.1535729342451884</v>
      </c>
      <c r="V149" s="419">
        <f t="shared" si="5"/>
        <v>-0.1499716969070013</v>
      </c>
      <c r="W149" s="419">
        <f t="shared" si="5"/>
        <v>0.7423570068842622</v>
      </c>
      <c r="X149" s="419">
        <f t="shared" si="5"/>
        <v>-0.1126445670804701</v>
      </c>
      <c r="Y149" s="419">
        <f t="shared" si="5"/>
        <v>1.108566846748733</v>
      </c>
      <c r="Z149" s="419">
        <f t="shared" si="5"/>
        <v>2.440059321668066</v>
      </c>
      <c r="AA149" s="419">
        <f t="shared" si="5"/>
        <v>3.0335665616347285</v>
      </c>
      <c r="AB149" s="419">
        <f t="shared" si="5"/>
        <v>2.8674506744770483</v>
      </c>
      <c r="AC149" s="1351">
        <f t="shared" si="5"/>
        <v>3.1606393243005932</v>
      </c>
      <c r="AD149" s="1351">
        <f t="shared" si="5"/>
        <v>3.831432042088011</v>
      </c>
      <c r="AE149" s="1351">
        <f t="shared" si="5"/>
        <v>4.125731505681294</v>
      </c>
      <c r="AF149" s="1351">
        <f t="shared" si="5"/>
        <v>4.22579556929554</v>
      </c>
      <c r="AG149" s="1351">
        <f t="shared" si="5"/>
        <v>4.541938316200266</v>
      </c>
      <c r="AH149" s="1351">
        <f t="shared" si="5"/>
        <v>4.8043993373982765</v>
      </c>
      <c r="AI149" s="1351">
        <f t="shared" si="5"/>
        <v>6.003825583471709</v>
      </c>
      <c r="AJ149" s="1351">
        <f t="shared" si="5"/>
        <v>5.745951344999849</v>
      </c>
      <c r="AK149" s="1351">
        <f t="shared" si="5"/>
        <v>5.427112174955212</v>
      </c>
      <c r="AL149" s="1351">
        <f t="shared" si="5"/>
        <v>6.310605947515022</v>
      </c>
      <c r="AM149" s="1351">
        <f t="shared" si="5"/>
        <v>6.865832266942519</v>
      </c>
      <c r="AN149" s="1351">
        <f t="shared" si="5"/>
        <v>7.530108258717359</v>
      </c>
      <c r="AO149" s="1351">
        <f t="shared" si="5"/>
        <v>8.284160870203635</v>
      </c>
      <c r="AP149" s="1351">
        <f t="shared" si="5"/>
        <v>9.130386108042387</v>
      </c>
      <c r="AQ149" s="1351">
        <f t="shared" si="5"/>
        <v>10.07137721370744</v>
      </c>
      <c r="AR149" s="1351">
        <f t="shared" si="5"/>
        <v>11.109931660170545</v>
      </c>
      <c r="AS149" s="287" t="s">
        <v>648</v>
      </c>
    </row>
    <row r="150" ht="17.5" customHeight="1" spans="4:45" x14ac:dyDescent="0.25">
      <c r="D150" s="1335">
        <v>25</v>
      </c>
      <c r="E150" s="1722">
        <v>40577</v>
      </c>
      <c r="F150" s="1349" t="s">
        <v>547</v>
      </c>
      <c r="G150" s="26" t="s">
        <v>866</v>
      </c>
      <c r="H150" s="1458" t="s">
        <v>1592</v>
      </c>
      <c r="I150" s="1458"/>
      <c r="J150" s="1458"/>
      <c r="K150" s="1458"/>
      <c r="L150" s="1458"/>
      <c r="M150" s="1458"/>
      <c r="N150" s="1376">
        <f t="shared" si="6"/>
        <v>0</v>
      </c>
      <c r="O150" s="419" t="e">
        <f t="shared" si="6"/>
        <v>#VALUE!</v>
      </c>
      <c r="P150" s="419">
        <f t="shared" si="5"/>
        <v>-0.3071293062362513</v>
      </c>
      <c r="Q150" s="419">
        <f t="shared" si="5"/>
        <v>-0.26369933638084325</v>
      </c>
      <c r="R150" s="419">
        <f t="shared" si="5"/>
        <v>0.7701638366941552</v>
      </c>
      <c r="S150" s="419">
        <f t="shared" si="5"/>
        <v>0.7334021807565407</v>
      </c>
      <c r="T150" s="419">
        <f t="shared" si="5"/>
        <v>0.7208917896400662</v>
      </c>
      <c r="U150" s="419">
        <f t="shared" si="5"/>
        <v>0.7031498037032148</v>
      </c>
      <c r="V150" s="419">
        <f t="shared" si="5"/>
        <v>0.6735964541345991</v>
      </c>
      <c r="W150" s="419">
        <f t="shared" si="5"/>
        <v>0.5163973038331271</v>
      </c>
      <c r="X150" s="419">
        <f t="shared" si="5"/>
        <v>0.322415465226517</v>
      </c>
      <c r="Y150" s="419">
        <f t="shared" si="5"/>
        <v>0.2710086114990459</v>
      </c>
      <c r="Z150" s="419">
        <f t="shared" si="5"/>
        <v>0.24147679906901665</v>
      </c>
      <c r="AA150" s="419">
        <f t="shared" si="5"/>
        <v>0.2052369828312981</v>
      </c>
      <c r="AB150" s="419">
        <f t="shared" si="5"/>
        <v>0.2761919819241076</v>
      </c>
      <c r="AC150" s="1351">
        <f t="shared" si="5"/>
        <v>0.23319985438861335</v>
      </c>
      <c r="AD150" s="1351">
        <f t="shared" si="5"/>
        <v>0.1601764726431808</v>
      </c>
      <c r="AE150" s="1351">
        <f t="shared" si="5"/>
        <v>0.13391309441496635</v>
      </c>
      <c r="AF150" s="1351">
        <f t="shared" si="5"/>
        <v>0.1163081911690741</v>
      </c>
      <c r="AG150" s="1351">
        <f t="shared" si="5"/>
        <v>0.11136778779362844</v>
      </c>
      <c r="AH150" s="1351">
        <f t="shared" si="5"/>
        <v>0.09045501837467484</v>
      </c>
      <c r="AI150" s="1351">
        <f t="shared" si="5"/>
        <v>0.09868312412742242</v>
      </c>
      <c r="AJ150" s="1351">
        <f t="shared" si="5"/>
        <v>0.10426517012707037</v>
      </c>
      <c r="AK150" s="1351">
        <f t="shared" si="5"/>
        <v>0.1354275958705461</v>
      </c>
      <c r="AL150" s="1351">
        <f t="shared" si="5"/>
        <v>0.16577098944055124</v>
      </c>
      <c r="AM150" s="1351">
        <f t="shared" si="5"/>
        <v>0.19548412026850004</v>
      </c>
      <c r="AN150" s="1351">
        <f t="shared" si="5"/>
        <v>0.22477588287878414</v>
      </c>
      <c r="AO150" s="1351">
        <f t="shared" si="5"/>
        <v>0.2538802033470333</v>
      </c>
      <c r="AP150" s="1351">
        <f t="shared" si="5"/>
        <v>0.28306188297804513</v>
      </c>
      <c r="AQ150" s="1351">
        <f t="shared" si="5"/>
        <v>0.31262356885091647</v>
      </c>
      <c r="AR150" s="1351">
        <f t="shared" si="5"/>
        <v>0.3429140786982364</v>
      </c>
      <c r="AS150" s="287" t="s">
        <v>547</v>
      </c>
    </row>
    <row r="151" ht="17.5" customHeight="1" spans="4:45" x14ac:dyDescent="0.25">
      <c r="D151" s="1335">
        <v>26</v>
      </c>
      <c r="E151" s="1719">
        <v>40569</v>
      </c>
      <c r="F151" s="1349" t="s">
        <v>601</v>
      </c>
      <c r="G151" s="26" t="s">
        <v>866</v>
      </c>
      <c r="H151" s="1458" t="s">
        <v>1593</v>
      </c>
      <c r="I151" s="1458"/>
      <c r="J151" s="1458"/>
      <c r="K151" s="1458"/>
      <c r="L151" s="1458"/>
      <c r="M151" s="1458"/>
      <c r="N151" s="1376">
        <f t="shared" si="6"/>
        <v>0</v>
      </c>
      <c r="O151" s="419">
        <f t="shared" si="6"/>
        <v>-0.2387898233810517</v>
      </c>
      <c r="P151" s="419">
        <f t="shared" si="5"/>
        <v>-0.1907008245976738</v>
      </c>
      <c r="Q151" s="419">
        <f t="shared" si="5"/>
        <v>-0.26151042766793886</v>
      </c>
      <c r="R151" s="419">
        <f t="shared" si="5"/>
        <v>-0.2054564044198982</v>
      </c>
      <c r="S151" s="419">
        <f t="shared" si="5"/>
        <v>0.1400667727077809</v>
      </c>
      <c r="T151" s="419">
        <f t="shared" si="5"/>
        <v>0.34233925025847256</v>
      </c>
      <c r="U151" s="419">
        <f t="shared" si="5"/>
        <v>0.5087107518272049</v>
      </c>
      <c r="V151" s="419">
        <f t="shared" si="5"/>
        <v>0.6900980657297329</v>
      </c>
      <c r="W151" s="419">
        <f t="shared" si="5"/>
        <v>0.8833683597119688</v>
      </c>
      <c r="X151" s="419">
        <f t="shared" si="5"/>
        <v>1.0421505801620434</v>
      </c>
      <c r="Y151" s="419">
        <f t="shared" si="5"/>
        <v>1.2829757836169293</v>
      </c>
      <c r="Z151" s="419">
        <f t="shared" si="5"/>
        <v>1.5900882565862084</v>
      </c>
      <c r="AA151" s="419">
        <f t="shared" si="5"/>
        <v>1.7966624532865305</v>
      </c>
      <c r="AB151" s="419">
        <f t="shared" si="5"/>
        <v>0.9320505362598562</v>
      </c>
      <c r="AC151" s="1351">
        <f t="shared" si="5"/>
        <v>1.4238258613182302</v>
      </c>
      <c r="AD151" s="1351">
        <f t="shared" si="5"/>
        <v>1.7871153875062822</v>
      </c>
      <c r="AE151" s="1351">
        <f t="shared" si="5"/>
        <v>1.8929293351533811</v>
      </c>
      <c r="AF151" s="1351">
        <f t="shared" si="5"/>
        <v>1.8945806674422994</v>
      </c>
      <c r="AG151" s="1351">
        <f t="shared" si="5"/>
        <v>1.6587916894516739</v>
      </c>
      <c r="AH151" s="1351">
        <f t="shared" si="5"/>
        <v>1.3021137028512495</v>
      </c>
      <c r="AI151" s="1351">
        <f t="shared" si="5"/>
        <v>1.2923512055938413</v>
      </c>
      <c r="AJ151" s="1351">
        <f t="shared" si="5"/>
        <v>1.5781835448269401</v>
      </c>
      <c r="AK151" s="1351">
        <f t="shared" si="5"/>
        <v>1.6621832613985215</v>
      </c>
      <c r="AL151" s="1351">
        <f t="shared" si="5"/>
        <v>1.7125830913414704</v>
      </c>
      <c r="AM151" s="1351">
        <f t="shared" si="5"/>
        <v>1.74282298930724</v>
      </c>
      <c r="AN151" s="1351">
        <f t="shared" si="5"/>
        <v>1.7609669280867017</v>
      </c>
      <c r="AO151" s="1351">
        <f t="shared" si="5"/>
        <v>1.771853291354379</v>
      </c>
      <c r="AP151" s="1351">
        <f t="shared" si="5"/>
        <v>1.7783851093149854</v>
      </c>
      <c r="AQ151" s="1351">
        <f t="shared" si="5"/>
        <v>1.7823042000913494</v>
      </c>
      <c r="AR151" s="1351">
        <f t="shared" si="5"/>
        <v>1.784655654557168</v>
      </c>
      <c r="AS151" s="287" t="s">
        <v>601</v>
      </c>
    </row>
    <row r="152" ht="17.5" customHeight="1" spans="4:45" x14ac:dyDescent="0.25">
      <c r="D152" s="1335">
        <v>27</v>
      </c>
      <c r="E152" s="1719">
        <v>40559</v>
      </c>
      <c r="F152" s="1349" t="s">
        <v>480</v>
      </c>
      <c r="G152" s="26" t="s">
        <v>866</v>
      </c>
      <c r="H152" s="1458" t="s">
        <v>1594</v>
      </c>
      <c r="I152" s="1458"/>
      <c r="J152" s="1458"/>
      <c r="K152" s="1458"/>
      <c r="L152" s="1458"/>
      <c r="M152" s="1458"/>
      <c r="N152" s="1376">
        <f t="shared" si="6"/>
        <v>0</v>
      </c>
      <c r="O152" s="419">
        <f t="shared" si="6"/>
        <v>5300.646721757584</v>
      </c>
      <c r="P152" s="419">
        <f t="shared" si="5"/>
        <v>5279.441635747484</v>
      </c>
      <c r="Q152" s="419">
        <f t="shared" si="5"/>
        <v>5263.598888382477</v>
      </c>
      <c r="R152" s="419">
        <f t="shared" si="5"/>
        <v>5274.120396892261</v>
      </c>
      <c r="S152" s="419">
        <f t="shared" si="5"/>
        <v>5300.484557651495</v>
      </c>
      <c r="T152" s="419">
        <f t="shared" si="5"/>
        <v>5348.186989013327</v>
      </c>
      <c r="U152" s="419">
        <f t="shared" si="5"/>
        <v>5401.672629995061</v>
      </c>
      <c r="V152" s="419">
        <f t="shared" si="5"/>
        <v>5471.89281922305</v>
      </c>
      <c r="W152" s="419">
        <f t="shared" si="5"/>
        <v>5559.4389227465745</v>
      </c>
      <c r="X152" s="419">
        <f t="shared" si="5"/>
        <v>5665.059664013946</v>
      </c>
      <c r="Y152" s="419">
        <f t="shared" si="5"/>
        <v>5801.0214366893415</v>
      </c>
      <c r="Z152" s="419">
        <f t="shared" si="5"/>
        <v>5980.858455764453</v>
      </c>
      <c r="AA152" s="419">
        <f t="shared" si="5"/>
        <v>6196.170240790422</v>
      </c>
      <c r="AB152" s="419">
        <f t="shared" si="5"/>
        <v>6394.464040881441</v>
      </c>
      <c r="AC152" s="1351">
        <f t="shared" si="5"/>
        <v>6586.292046448811</v>
      </c>
      <c r="AD152" s="1351">
        <f t="shared" si="5"/>
        <v>6849.7413952545585</v>
      </c>
      <c r="AE152" s="1351">
        <f t="shared" si="5"/>
        <v>7144.281697261036</v>
      </c>
      <c r="AF152" s="1351">
        <f t="shared" si="5"/>
        <v>7437.198638909615</v>
      </c>
      <c r="AG152" s="1351">
        <f t="shared" si="5"/>
        <v>7712.376762225207</v>
      </c>
      <c r="AH152" s="1351">
        <f t="shared" si="5"/>
        <v>7959.17465040283</v>
      </c>
      <c r="AI152" s="1351">
        <f t="shared" si="5"/>
        <v>8269.585284852015</v>
      </c>
      <c r="AJ152" s="1351">
        <f t="shared" si="5"/>
        <v>8583.832507899937</v>
      </c>
      <c r="AK152" s="1351">
        <f t="shared" si="5"/>
        <v>8944.357001437937</v>
      </c>
      <c r="AL152" s="1351">
        <f t="shared" si="5"/>
        <v>9315.386166549599</v>
      </c>
      <c r="AM152" s="1351">
        <f t="shared" si="5"/>
        <v>9701.470018003658</v>
      </c>
      <c r="AN152" s="1351">
        <f t="shared" si="5"/>
        <v>10100.35545229347</v>
      </c>
      <c r="AO152" s="1351">
        <f t="shared" si="5"/>
        <v>10526.138876674888</v>
      </c>
      <c r="AP152" s="1351">
        <f t="shared" ref="P152:AR161" si="7">AP93-AP34</f>
        <v>10976.033617476618</v>
      </c>
      <c r="AQ152" s="1351">
        <f t="shared" si="7"/>
        <v>11450.28267467819</v>
      </c>
      <c r="AR152" s="1351">
        <f t="shared" si="7"/>
        <v>11948.280658034986</v>
      </c>
      <c r="AS152" s="287" t="s">
        <v>480</v>
      </c>
    </row>
    <row r="153" ht="17.5" customHeight="1" spans="4:45" x14ac:dyDescent="0.25">
      <c r="D153" s="1335">
        <v>28</v>
      </c>
      <c r="E153" s="1719">
        <v>40559</v>
      </c>
      <c r="F153" s="1349" t="s">
        <v>483</v>
      </c>
      <c r="G153" s="26" t="s">
        <v>866</v>
      </c>
      <c r="H153" s="1458" t="s">
        <v>1595</v>
      </c>
      <c r="I153" s="1458"/>
      <c r="J153" s="1458"/>
      <c r="K153" s="1458"/>
      <c r="L153" s="1458"/>
      <c r="M153" s="1458"/>
      <c r="N153" s="1376">
        <f t="shared" si="6"/>
        <v>0</v>
      </c>
      <c r="O153" s="419">
        <f t="shared" si="6"/>
        <v>-0.06744382725080347</v>
      </c>
      <c r="P153" s="419">
        <f t="shared" si="7"/>
        <v>-0.07337842274391265</v>
      </c>
      <c r="Q153" s="419">
        <f t="shared" si="7"/>
        <v>-0.08044425149690274</v>
      </c>
      <c r="R153" s="419">
        <f t="shared" si="7"/>
        <v>-0.0792547653553883</v>
      </c>
      <c r="S153" s="419">
        <f t="shared" si="7"/>
        <v>-0.08725766032131918</v>
      </c>
      <c r="T153" s="419">
        <f t="shared" si="7"/>
        <v>-0.0775390856929812</v>
      </c>
      <c r="U153" s="419">
        <f t="shared" si="7"/>
        <v>-0.08544188057752926</v>
      </c>
      <c r="V153" s="419">
        <f t="shared" si="7"/>
        <v>-0.07993808753736403</v>
      </c>
      <c r="W153" s="419">
        <f t="shared" si="7"/>
        <v>-0.08644196204397055</v>
      </c>
      <c r="X153" s="419">
        <f t="shared" si="7"/>
        <v>-0.10195514871018198</v>
      </c>
      <c r="Y153" s="419">
        <f t="shared" si="7"/>
        <v>-0.10383564125667144</v>
      </c>
      <c r="Z153" s="419">
        <f t="shared" si="7"/>
        <v>-0.09757961920258694</v>
      </c>
      <c r="AA153" s="419">
        <f t="shared" si="7"/>
        <v>-0.10133409582628937</v>
      </c>
      <c r="AB153" s="419">
        <f t="shared" si="7"/>
        <v>-0.08341536383400193</v>
      </c>
      <c r="AC153" s="1351">
        <f t="shared" si="7"/>
        <v>-0.09259529212606195</v>
      </c>
      <c r="AD153" s="1351">
        <f t="shared" si="7"/>
        <v>-0.09934207516959845</v>
      </c>
      <c r="AE153" s="1351">
        <f t="shared" si="7"/>
        <v>-0.10175458984726128</v>
      </c>
      <c r="AF153" s="1351">
        <f t="shared" si="7"/>
        <v>-0.10461442517360398</v>
      </c>
      <c r="AG153" s="1351">
        <f t="shared" si="7"/>
        <v>-0.10661630990204386</v>
      </c>
      <c r="AH153" s="1351">
        <f t="shared" si="7"/>
        <v>-0.10801762921195178</v>
      </c>
      <c r="AI153" s="1351">
        <f t="shared" si="7"/>
        <v>-0.10899855272888732</v>
      </c>
      <c r="AJ153" s="1351">
        <f t="shared" si="7"/>
        <v>-0.10968519919074221</v>
      </c>
      <c r="AK153" s="1351">
        <f t="shared" si="7"/>
        <v>-0.11016585171404063</v>
      </c>
      <c r="AL153" s="1351">
        <f t="shared" si="7"/>
        <v>-0.11050230848034952</v>
      </c>
      <c r="AM153" s="1351">
        <f t="shared" si="7"/>
        <v>-0.11073782821676574</v>
      </c>
      <c r="AN153" s="1351">
        <f t="shared" si="7"/>
        <v>-0.1109026920322571</v>
      </c>
      <c r="AO153" s="1351">
        <f t="shared" si="7"/>
        <v>-0.11101809670310105</v>
      </c>
      <c r="AP153" s="1351">
        <f t="shared" si="7"/>
        <v>-0.11109887997269181</v>
      </c>
      <c r="AQ153" s="1351">
        <f t="shared" si="7"/>
        <v>-0.11115542826140536</v>
      </c>
      <c r="AR153" s="1351">
        <f t="shared" si="7"/>
        <v>-0.11119501206350484</v>
      </c>
      <c r="AS153" s="287" t="s">
        <v>483</v>
      </c>
    </row>
    <row r="154" ht="17.5" customHeight="1" spans="4:45" x14ac:dyDescent="0.25">
      <c r="D154" s="1335">
        <v>29</v>
      </c>
      <c r="E154" s="1719">
        <v>40559</v>
      </c>
      <c r="F154" s="1349" t="s">
        <v>1596</v>
      </c>
      <c r="G154" s="26" t="s">
        <v>866</v>
      </c>
      <c r="H154" s="1458" t="s">
        <v>1597</v>
      </c>
      <c r="I154" s="1458"/>
      <c r="J154" s="1458"/>
      <c r="K154" s="1458"/>
      <c r="L154" s="1458"/>
      <c r="M154" s="1458"/>
      <c r="N154" s="1376">
        <f t="shared" si="6"/>
        <v>0</v>
      </c>
      <c r="O154" s="419">
        <f t="shared" si="6"/>
        <v>-0.37225193107546045</v>
      </c>
      <c r="P154" s="419">
        <f t="shared" si="7"/>
        <v>-0.24807644576818072</v>
      </c>
      <c r="Q154" s="419">
        <f t="shared" si="7"/>
        <v>-0.21669287800494275</v>
      </c>
      <c r="R154" s="419">
        <f t="shared" si="7"/>
        <v>-0.13888277985484934</v>
      </c>
      <c r="S154" s="419">
        <f t="shared" si="7"/>
        <v>-0.1469046607168154</v>
      </c>
      <c r="T154" s="419">
        <f t="shared" si="7"/>
        <v>-0.1785941475826972</v>
      </c>
      <c r="U154" s="419">
        <f t="shared" si="7"/>
        <v>-0.24370430544272947</v>
      </c>
      <c r="V154" s="419">
        <f t="shared" si="7"/>
        <v>-0.2884040119655112</v>
      </c>
      <c r="W154" s="419">
        <f t="shared" si="7"/>
        <v>-0.3324675324675324</v>
      </c>
      <c r="X154" s="419">
        <f t="shared" si="7"/>
        <v>-0.3513824884792627</v>
      </c>
      <c r="Y154" s="419">
        <f t="shared" si="7"/>
        <v>-0.3484696939387878</v>
      </c>
      <c r="Z154" s="419">
        <f t="shared" si="7"/>
        <v>-0.36575600565237865</v>
      </c>
      <c r="AA154" s="419">
        <f t="shared" si="7"/>
        <v>-0.28776706371714883</v>
      </c>
      <c r="AB154" s="419">
        <f t="shared" si="7"/>
        <v>-0.3484032195248604</v>
      </c>
      <c r="AC154" s="1351">
        <f t="shared" si="7"/>
        <v>-0.378</v>
      </c>
      <c r="AD154" s="1351">
        <f t="shared" si="7"/>
        <v>-0.38</v>
      </c>
      <c r="AE154" s="1351">
        <f t="shared" si="7"/>
        <v>-0.368</v>
      </c>
      <c r="AF154" s="1351">
        <f t="shared" si="7"/>
        <v>-0.3584</v>
      </c>
      <c r="AG154" s="1351">
        <f t="shared" si="7"/>
        <v>-0.35072</v>
      </c>
      <c r="AH154" s="1351">
        <f t="shared" si="7"/>
        <v>-0.34457599999999994</v>
      </c>
      <c r="AI154" s="1351">
        <f t="shared" si="7"/>
        <v>-0.33966079999999993</v>
      </c>
      <c r="AJ154" s="1351">
        <f t="shared" si="7"/>
        <v>-0.3357286399999999</v>
      </c>
      <c r="AK154" s="1351">
        <f t="shared" si="7"/>
        <v>-0.3325829119999999</v>
      </c>
      <c r="AL154" s="1351">
        <f t="shared" si="7"/>
        <v>-0.3300663295999999</v>
      </c>
      <c r="AM154" s="1351">
        <f t="shared" si="7"/>
        <v>-0.32805306367999987</v>
      </c>
      <c r="AN154" s="1351">
        <f t="shared" si="7"/>
        <v>-0.3264424509439999</v>
      </c>
      <c r="AO154" s="1351">
        <f t="shared" si="7"/>
        <v>-0.32515396075519987</v>
      </c>
      <c r="AP154" s="1351">
        <f t="shared" si="7"/>
        <v>-0.32412316860415985</v>
      </c>
      <c r="AQ154" s="1351">
        <f t="shared" si="7"/>
        <v>-0.3232985348833278</v>
      </c>
      <c r="AR154" s="1351">
        <f t="shared" si="7"/>
        <v>-0.3226388279066622</v>
      </c>
      <c r="AS154" s="287" t="s">
        <v>1596</v>
      </c>
    </row>
    <row r="155" ht="17.5" customHeight="1" spans="4:45" x14ac:dyDescent="0.25">
      <c r="D155" s="1335">
        <v>30</v>
      </c>
      <c r="E155" s="1719">
        <v>40558</v>
      </c>
      <c r="F155" s="1349" t="s">
        <v>427</v>
      </c>
      <c r="G155" s="26" t="s">
        <v>277</v>
      </c>
      <c r="H155" s="1458" t="s">
        <v>1598</v>
      </c>
      <c r="I155" s="1458"/>
      <c r="J155" s="1458"/>
      <c r="K155" s="1458"/>
      <c r="L155" s="1458"/>
      <c r="M155" s="1458"/>
      <c r="N155" s="1376">
        <f t="shared" si="6"/>
        <v>0</v>
      </c>
      <c r="O155" s="419" t="e">
        <f t="shared" si="6"/>
        <v>#REF!</v>
      </c>
      <c r="P155" s="419" t="e">
        <f t="shared" si="7"/>
        <v>#REF!</v>
      </c>
      <c r="Q155" s="419" t="e">
        <f t="shared" si="7"/>
        <v>#REF!</v>
      </c>
      <c r="R155" s="419" t="e">
        <f t="shared" si="7"/>
        <v>#REF!</v>
      </c>
      <c r="S155" s="419" t="e">
        <f t="shared" si="7"/>
        <v>#REF!</v>
      </c>
      <c r="T155" s="419" t="e">
        <f t="shared" si="7"/>
        <v>#REF!</v>
      </c>
      <c r="U155" s="419" t="e">
        <f t="shared" si="7"/>
        <v>#REF!</v>
      </c>
      <c r="V155" s="419" t="e">
        <f t="shared" si="7"/>
        <v>#REF!</v>
      </c>
      <c r="W155" s="419" t="e">
        <f t="shared" si="7"/>
        <v>#REF!</v>
      </c>
      <c r="X155" s="419" t="e">
        <f t="shared" si="7"/>
        <v>#REF!</v>
      </c>
      <c r="Y155" s="419" t="e">
        <f t="shared" si="7"/>
        <v>#REF!</v>
      </c>
      <c r="Z155" s="419" t="e">
        <f t="shared" si="7"/>
        <v>#REF!</v>
      </c>
      <c r="AA155" s="419" t="e">
        <f t="shared" si="7"/>
        <v>#REF!</v>
      </c>
      <c r="AB155" s="419" t="e">
        <f t="shared" si="7"/>
        <v>#REF!</v>
      </c>
      <c r="AC155" s="1351" t="e">
        <f t="shared" si="7"/>
        <v>#REF!</v>
      </c>
      <c r="AD155" s="1351" t="e">
        <f t="shared" si="7"/>
        <v>#REF!</v>
      </c>
      <c r="AE155" s="1351" t="e">
        <f t="shared" si="7"/>
        <v>#REF!</v>
      </c>
      <c r="AF155" s="1351" t="e">
        <f t="shared" si="7"/>
        <v>#REF!</v>
      </c>
      <c r="AG155" s="1351" t="e">
        <f t="shared" si="7"/>
        <v>#REF!</v>
      </c>
      <c r="AH155" s="1351" t="e">
        <f t="shared" si="7"/>
        <v>#REF!</v>
      </c>
      <c r="AI155" s="1351" t="e">
        <f t="shared" si="7"/>
        <v>#REF!</v>
      </c>
      <c r="AJ155" s="1351" t="e">
        <f t="shared" si="7"/>
        <v>#REF!</v>
      </c>
      <c r="AK155" s="1351" t="e">
        <f t="shared" si="7"/>
        <v>#REF!</v>
      </c>
      <c r="AL155" s="1351" t="e">
        <f t="shared" si="7"/>
        <v>#REF!</v>
      </c>
      <c r="AM155" s="1351" t="e">
        <f t="shared" si="7"/>
        <v>#REF!</v>
      </c>
      <c r="AN155" s="1351" t="e">
        <f t="shared" si="7"/>
        <v>#REF!</v>
      </c>
      <c r="AO155" s="1351" t="e">
        <f t="shared" si="7"/>
        <v>#REF!</v>
      </c>
      <c r="AP155" s="1351" t="e">
        <f t="shared" si="7"/>
        <v>#REF!</v>
      </c>
      <c r="AQ155" s="1351" t="e">
        <f t="shared" si="7"/>
        <v>#REF!</v>
      </c>
      <c r="AR155" s="1351" t="e">
        <f t="shared" si="7"/>
        <v>#REF!</v>
      </c>
      <c r="AS155" s="287" t="s">
        <v>427</v>
      </c>
    </row>
    <row r="156" ht="17.5" customHeight="1" spans="4:45" x14ac:dyDescent="0.25">
      <c r="D156" s="1335">
        <v>31</v>
      </c>
      <c r="E156" s="1719">
        <v>40558</v>
      </c>
      <c r="F156" s="1349" t="s">
        <v>424</v>
      </c>
      <c r="G156" s="26" t="s">
        <v>277</v>
      </c>
      <c r="H156" s="1458" t="s">
        <v>1599</v>
      </c>
      <c r="I156" s="1458"/>
      <c r="J156" s="1458"/>
      <c r="K156" s="1458"/>
      <c r="L156" s="1458"/>
      <c r="M156" s="1458"/>
      <c r="N156" s="1376">
        <f t="shared" si="6"/>
        <v>0</v>
      </c>
      <c r="O156" s="419" t="e">
        <f t="shared" si="6"/>
        <v>#REF!</v>
      </c>
      <c r="P156" s="419" t="e">
        <f t="shared" si="7"/>
        <v>#REF!</v>
      </c>
      <c r="Q156" s="419" t="e">
        <f t="shared" si="7"/>
        <v>#REF!</v>
      </c>
      <c r="R156" s="419" t="e">
        <f t="shared" si="7"/>
        <v>#REF!</v>
      </c>
      <c r="S156" s="419" t="e">
        <f t="shared" si="7"/>
        <v>#REF!</v>
      </c>
      <c r="T156" s="419" t="e">
        <f t="shared" si="7"/>
        <v>#REF!</v>
      </c>
      <c r="U156" s="419" t="e">
        <f t="shared" si="7"/>
        <v>#REF!</v>
      </c>
      <c r="V156" s="419" t="e">
        <f t="shared" si="7"/>
        <v>#REF!</v>
      </c>
      <c r="W156" s="419" t="e">
        <f t="shared" si="7"/>
        <v>#REF!</v>
      </c>
      <c r="X156" s="419" t="e">
        <f t="shared" si="7"/>
        <v>#REF!</v>
      </c>
      <c r="Y156" s="419" t="e">
        <f t="shared" si="7"/>
        <v>#REF!</v>
      </c>
      <c r="Z156" s="419" t="e">
        <f t="shared" si="7"/>
        <v>#REF!</v>
      </c>
      <c r="AA156" s="419" t="e">
        <f t="shared" si="7"/>
        <v>#REF!</v>
      </c>
      <c r="AB156" s="419" t="e">
        <f t="shared" si="7"/>
        <v>#REF!</v>
      </c>
      <c r="AC156" s="1351" t="e">
        <f t="shared" si="7"/>
        <v>#REF!</v>
      </c>
      <c r="AD156" s="1351" t="e">
        <f t="shared" si="7"/>
        <v>#REF!</v>
      </c>
      <c r="AE156" s="1351" t="e">
        <f t="shared" si="7"/>
        <v>#REF!</v>
      </c>
      <c r="AF156" s="1351" t="e">
        <f t="shared" si="7"/>
        <v>#REF!</v>
      </c>
      <c r="AG156" s="1351" t="e">
        <f t="shared" si="7"/>
        <v>#REF!</v>
      </c>
      <c r="AH156" s="1351" t="e">
        <f t="shared" si="7"/>
        <v>#REF!</v>
      </c>
      <c r="AI156" s="1351" t="e">
        <f t="shared" si="7"/>
        <v>#REF!</v>
      </c>
      <c r="AJ156" s="1351" t="e">
        <f t="shared" si="7"/>
        <v>#REF!</v>
      </c>
      <c r="AK156" s="1351" t="e">
        <f t="shared" si="7"/>
        <v>#REF!</v>
      </c>
      <c r="AL156" s="1351" t="e">
        <f t="shared" si="7"/>
        <v>#REF!</v>
      </c>
      <c r="AM156" s="1351" t="e">
        <f t="shared" si="7"/>
        <v>#REF!</v>
      </c>
      <c r="AN156" s="1351" t="e">
        <f t="shared" si="7"/>
        <v>#REF!</v>
      </c>
      <c r="AO156" s="1351" t="e">
        <f t="shared" si="7"/>
        <v>#REF!</v>
      </c>
      <c r="AP156" s="1351" t="e">
        <f t="shared" si="7"/>
        <v>#REF!</v>
      </c>
      <c r="AQ156" s="1351" t="e">
        <f t="shared" si="7"/>
        <v>#REF!</v>
      </c>
      <c r="AR156" s="1351" t="e">
        <f t="shared" si="7"/>
        <v>#REF!</v>
      </c>
      <c r="AS156" s="287" t="s">
        <v>424</v>
      </c>
    </row>
    <row r="157" ht="17.5" customHeight="1" spans="4:45" x14ac:dyDescent="0.25">
      <c r="D157" s="1335">
        <v>32</v>
      </c>
      <c r="E157" s="1719">
        <v>40558</v>
      </c>
      <c r="F157" s="1349" t="s">
        <v>1076</v>
      </c>
      <c r="G157" s="26" t="s">
        <v>277</v>
      </c>
      <c r="H157" s="1458" t="s">
        <v>1258</v>
      </c>
      <c r="I157" s="1458"/>
      <c r="J157" s="1458"/>
      <c r="K157" s="1458"/>
      <c r="L157" s="1458"/>
      <c r="M157" s="1458"/>
      <c r="N157" s="1376">
        <f t="shared" si="6"/>
        <v>0</v>
      </c>
      <c r="O157" s="419" t="e">
        <f t="shared" si="6"/>
        <v>#REF!</v>
      </c>
      <c r="P157" s="419" t="e">
        <f t="shared" si="7"/>
        <v>#REF!</v>
      </c>
      <c r="Q157" s="419" t="e">
        <f t="shared" si="7"/>
        <v>#REF!</v>
      </c>
      <c r="R157" s="419" t="e">
        <f t="shared" si="7"/>
        <v>#REF!</v>
      </c>
      <c r="S157" s="419" t="e">
        <f t="shared" si="7"/>
        <v>#REF!</v>
      </c>
      <c r="T157" s="419" t="e">
        <f t="shared" si="7"/>
        <v>#REF!</v>
      </c>
      <c r="U157" s="419" t="e">
        <f t="shared" si="7"/>
        <v>#REF!</v>
      </c>
      <c r="V157" s="419" t="e">
        <f t="shared" si="7"/>
        <v>#REF!</v>
      </c>
      <c r="W157" s="419" t="e">
        <f t="shared" si="7"/>
        <v>#REF!</v>
      </c>
      <c r="X157" s="419" t="e">
        <f t="shared" si="7"/>
        <v>#REF!</v>
      </c>
      <c r="Y157" s="419" t="e">
        <f t="shared" si="7"/>
        <v>#REF!</v>
      </c>
      <c r="Z157" s="419" t="e">
        <f t="shared" si="7"/>
        <v>#REF!</v>
      </c>
      <c r="AA157" s="419" t="e">
        <f t="shared" si="7"/>
        <v>#REF!</v>
      </c>
      <c r="AB157" s="419" t="e">
        <f t="shared" si="7"/>
        <v>#REF!</v>
      </c>
      <c r="AC157" s="1351" t="e">
        <f t="shared" si="7"/>
        <v>#REF!</v>
      </c>
      <c r="AD157" s="1351" t="e">
        <f t="shared" si="7"/>
        <v>#REF!</v>
      </c>
      <c r="AE157" s="1351" t="e">
        <f t="shared" si="7"/>
        <v>#REF!</v>
      </c>
      <c r="AF157" s="1351" t="e">
        <f t="shared" si="7"/>
        <v>#REF!</v>
      </c>
      <c r="AG157" s="1351" t="e">
        <f t="shared" si="7"/>
        <v>#REF!</v>
      </c>
      <c r="AH157" s="1351" t="e">
        <f t="shared" si="7"/>
        <v>#REF!</v>
      </c>
      <c r="AI157" s="1351" t="e">
        <f t="shared" si="7"/>
        <v>#REF!</v>
      </c>
      <c r="AJ157" s="1351" t="e">
        <f t="shared" si="7"/>
        <v>#REF!</v>
      </c>
      <c r="AK157" s="1351" t="e">
        <f t="shared" si="7"/>
        <v>#REF!</v>
      </c>
      <c r="AL157" s="1351" t="e">
        <f t="shared" si="7"/>
        <v>#REF!</v>
      </c>
      <c r="AM157" s="1351" t="e">
        <f t="shared" si="7"/>
        <v>#REF!</v>
      </c>
      <c r="AN157" s="1351" t="e">
        <f t="shared" si="7"/>
        <v>#REF!</v>
      </c>
      <c r="AO157" s="1351" t="e">
        <f t="shared" si="7"/>
        <v>#REF!</v>
      </c>
      <c r="AP157" s="1351" t="e">
        <f t="shared" si="7"/>
        <v>#REF!</v>
      </c>
      <c r="AQ157" s="1351" t="e">
        <f t="shared" si="7"/>
        <v>#REF!</v>
      </c>
      <c r="AR157" s="1351" t="e">
        <f t="shared" si="7"/>
        <v>#REF!</v>
      </c>
      <c r="AS157" s="287" t="s">
        <v>1076</v>
      </c>
    </row>
    <row r="158" ht="17.5" customHeight="1" spans="4:45" x14ac:dyDescent="0.25">
      <c r="D158" s="1335">
        <v>33</v>
      </c>
      <c r="E158" s="1719">
        <v>40558</v>
      </c>
      <c r="F158" s="1349" t="s">
        <v>281</v>
      </c>
      <c r="G158" s="26" t="s">
        <v>277</v>
      </c>
      <c r="H158" s="1458" t="s">
        <v>1600</v>
      </c>
      <c r="I158" s="1458"/>
      <c r="J158" s="1458"/>
      <c r="K158" s="1458"/>
      <c r="L158" s="1458"/>
      <c r="M158" s="1458"/>
      <c r="N158" s="1376">
        <f t="shared" si="6"/>
        <v>0</v>
      </c>
      <c r="O158" s="419">
        <f t="shared" si="6"/>
        <v>0</v>
      </c>
      <c r="P158" s="419">
        <f t="shared" si="7"/>
        <v>0</v>
      </c>
      <c r="Q158" s="419">
        <f t="shared" si="7"/>
        <v>0</v>
      </c>
      <c r="R158" s="419">
        <f t="shared" si="7"/>
        <v>0</v>
      </c>
      <c r="S158" s="419">
        <f t="shared" si="7"/>
        <v>0</v>
      </c>
      <c r="T158" s="419">
        <f t="shared" si="7"/>
        <v>0</v>
      </c>
      <c r="U158" s="419">
        <f t="shared" si="7"/>
        <v>0</v>
      </c>
      <c r="V158" s="419">
        <f t="shared" si="7"/>
        <v>0</v>
      </c>
      <c r="W158" s="419">
        <f t="shared" si="7"/>
        <v>0</v>
      </c>
      <c r="X158" s="419">
        <f t="shared" si="7"/>
        <v>0</v>
      </c>
      <c r="Y158" s="419">
        <f t="shared" si="7"/>
        <v>0</v>
      </c>
      <c r="Z158" s="419">
        <f t="shared" si="7"/>
        <v>0</v>
      </c>
      <c r="AA158" s="419">
        <f t="shared" si="7"/>
        <v>0</v>
      </c>
      <c r="AB158" s="419">
        <f t="shared" si="7"/>
        <v>0</v>
      </c>
      <c r="AC158" s="1351">
        <f t="shared" si="7"/>
        <v>0</v>
      </c>
      <c r="AD158" s="1351">
        <f t="shared" si="7"/>
        <v>0</v>
      </c>
      <c r="AE158" s="1351">
        <f t="shared" si="7"/>
        <v>0</v>
      </c>
      <c r="AF158" s="1351">
        <f t="shared" si="7"/>
        <v>0</v>
      </c>
      <c r="AG158" s="1351">
        <f t="shared" si="7"/>
        <v>0</v>
      </c>
      <c r="AH158" s="1351">
        <f t="shared" si="7"/>
        <v>0</v>
      </c>
      <c r="AI158" s="1351">
        <f t="shared" si="7"/>
        <v>0</v>
      </c>
      <c r="AJ158" s="1351">
        <f t="shared" si="7"/>
        <v>0</v>
      </c>
      <c r="AK158" s="1351">
        <f t="shared" si="7"/>
        <v>0</v>
      </c>
      <c r="AL158" s="1351">
        <f t="shared" si="7"/>
        <v>0</v>
      </c>
      <c r="AM158" s="1351">
        <f t="shared" si="7"/>
        <v>0</v>
      </c>
      <c r="AN158" s="1351">
        <f t="shared" si="7"/>
        <v>0</v>
      </c>
      <c r="AO158" s="1351">
        <f t="shared" si="7"/>
        <v>0</v>
      </c>
      <c r="AP158" s="1351">
        <f t="shared" si="7"/>
        <v>0</v>
      </c>
      <c r="AQ158" s="1351">
        <f t="shared" si="7"/>
        <v>0</v>
      </c>
      <c r="AR158" s="1351">
        <f t="shared" si="7"/>
        <v>0</v>
      </c>
      <c r="AS158" s="287" t="s">
        <v>281</v>
      </c>
    </row>
    <row r="159" ht="17.5" customHeight="1" spans="4:45" x14ac:dyDescent="0.25">
      <c r="D159" s="1335">
        <v>34</v>
      </c>
      <c r="E159" s="1719">
        <v>40558</v>
      </c>
      <c r="F159" s="1349" t="s">
        <v>316</v>
      </c>
      <c r="G159" s="26" t="s">
        <v>277</v>
      </c>
      <c r="H159" s="1458" t="s">
        <v>1601</v>
      </c>
      <c r="I159" s="1458"/>
      <c r="J159" s="1458"/>
      <c r="K159" s="1458"/>
      <c r="L159" s="1458"/>
      <c r="M159" s="1458"/>
      <c r="N159" s="1376">
        <f t="shared" si="6"/>
        <v>0</v>
      </c>
      <c r="O159" s="419">
        <f t="shared" si="6"/>
        <v>0</v>
      </c>
      <c r="P159" s="419">
        <f t="shared" si="7"/>
        <v>0</v>
      </c>
      <c r="Q159" s="419">
        <f t="shared" si="7"/>
        <v>0</v>
      </c>
      <c r="R159" s="419">
        <f t="shared" si="7"/>
        <v>0</v>
      </c>
      <c r="S159" s="419">
        <f t="shared" si="7"/>
        <v>0</v>
      </c>
      <c r="T159" s="419">
        <f t="shared" si="7"/>
        <v>0</v>
      </c>
      <c r="U159" s="419">
        <f t="shared" si="7"/>
        <v>0</v>
      </c>
      <c r="V159" s="419">
        <f t="shared" si="7"/>
        <v>0</v>
      </c>
      <c r="W159" s="419">
        <f t="shared" si="7"/>
        <v>0</v>
      </c>
      <c r="X159" s="419">
        <f t="shared" si="7"/>
        <v>0</v>
      </c>
      <c r="Y159" s="419">
        <f t="shared" si="7"/>
        <v>0</v>
      </c>
      <c r="Z159" s="419">
        <f t="shared" si="7"/>
        <v>0</v>
      </c>
      <c r="AA159" s="419">
        <f t="shared" si="7"/>
        <v>0</v>
      </c>
      <c r="AB159" s="419">
        <f t="shared" si="7"/>
        <v>0</v>
      </c>
      <c r="AC159" s="1351">
        <f t="shared" si="7"/>
        <v>0</v>
      </c>
      <c r="AD159" s="1351">
        <f t="shared" si="7"/>
        <v>0</v>
      </c>
      <c r="AE159" s="1351">
        <f t="shared" si="7"/>
        <v>0</v>
      </c>
      <c r="AF159" s="1351">
        <f t="shared" si="7"/>
        <v>0</v>
      </c>
      <c r="AG159" s="1351">
        <f t="shared" si="7"/>
        <v>0</v>
      </c>
      <c r="AH159" s="1351">
        <f t="shared" si="7"/>
        <v>0</v>
      </c>
      <c r="AI159" s="1351">
        <f t="shared" si="7"/>
        <v>0</v>
      </c>
      <c r="AJ159" s="1351">
        <f t="shared" si="7"/>
        <v>0</v>
      </c>
      <c r="AK159" s="1351">
        <f t="shared" si="7"/>
        <v>0</v>
      </c>
      <c r="AL159" s="1351">
        <f t="shared" si="7"/>
        <v>0</v>
      </c>
      <c r="AM159" s="1351">
        <f t="shared" si="7"/>
        <v>0</v>
      </c>
      <c r="AN159" s="1351">
        <f t="shared" si="7"/>
        <v>0</v>
      </c>
      <c r="AO159" s="1351">
        <f t="shared" si="7"/>
        <v>0</v>
      </c>
      <c r="AP159" s="1351">
        <f t="shared" si="7"/>
        <v>0</v>
      </c>
      <c r="AQ159" s="1351">
        <f t="shared" si="7"/>
        <v>0</v>
      </c>
      <c r="AR159" s="1351">
        <f t="shared" si="7"/>
        <v>0</v>
      </c>
      <c r="AS159" s="287" t="s">
        <v>316</v>
      </c>
    </row>
    <row r="160" ht="17.5" customHeight="1" spans="4:45" x14ac:dyDescent="0.25">
      <c r="D160" s="1335">
        <v>35</v>
      </c>
      <c r="E160" s="1719">
        <v>40558</v>
      </c>
      <c r="F160" s="1349" t="s">
        <v>1602</v>
      </c>
      <c r="G160" s="26" t="s">
        <v>277</v>
      </c>
      <c r="H160" s="1458" t="s">
        <v>1603</v>
      </c>
      <c r="I160" s="1458"/>
      <c r="J160" s="1458"/>
      <c r="K160" s="1458"/>
      <c r="L160" s="1458"/>
      <c r="M160" s="1458"/>
      <c r="N160" s="1376">
        <f t="shared" si="6"/>
        <v>0</v>
      </c>
      <c r="O160" s="419">
        <f t="shared" si="6"/>
        <v>0.5075047014598465</v>
      </c>
      <c r="P160" s="419">
        <f t="shared" si="7"/>
        <v>0.5166764731729763</v>
      </c>
      <c r="Q160" s="419">
        <f t="shared" si="7"/>
        <v>0.4918013771726725</v>
      </c>
      <c r="R160" s="419">
        <f t="shared" si="7"/>
        <v>0.5192872824837201</v>
      </c>
      <c r="S160" s="419">
        <f t="shared" si="7"/>
        <v>0.5652739174499402</v>
      </c>
      <c r="T160" s="419">
        <f t="shared" si="7"/>
        <v>0.587683190688788</v>
      </c>
      <c r="U160" s="419">
        <f t="shared" si="7"/>
        <v>0.6074665852268265</v>
      </c>
      <c r="V160" s="419">
        <f t="shared" si="7"/>
        <v>0.6452458496585047</v>
      </c>
      <c r="W160" s="419">
        <f t="shared" si="7"/>
        <v>0.6858912575110089</v>
      </c>
      <c r="X160" s="419">
        <f t="shared" si="7"/>
        <v>0.7114691454260414</v>
      </c>
      <c r="Y160" s="419">
        <f t="shared" si="7"/>
        <v>0.7566307611024992</v>
      </c>
      <c r="Z160" s="419">
        <f t="shared" si="7"/>
        <v>0.7984619477007946</v>
      </c>
      <c r="AA160" s="419">
        <f t="shared" si="7"/>
        <v>0.8092519740210756</v>
      </c>
      <c r="AB160" s="419">
        <f t="shared" si="7"/>
        <v>0.7261311317282132</v>
      </c>
      <c r="AC160" s="1351">
        <f t="shared" si="7"/>
        <v>0.7402307653540036</v>
      </c>
      <c r="AD160" s="1351">
        <f t="shared" si="7"/>
        <v>0.7423660464079095</v>
      </c>
      <c r="AE160" s="1351">
        <f t="shared" si="7"/>
        <v>0.7395190050027017</v>
      </c>
      <c r="AF160" s="1351">
        <f t="shared" si="7"/>
        <v>0.7253111470775779</v>
      </c>
      <c r="AG160" s="1351">
        <f t="shared" si="7"/>
        <v>0.7050276145170672</v>
      </c>
      <c r="AH160" s="1351">
        <f t="shared" si="7"/>
        <v>0.6742851313259158</v>
      </c>
      <c r="AI160" s="1351">
        <f t="shared" si="7"/>
        <v>0.6567628035628748</v>
      </c>
      <c r="AJ160" s="1351">
        <f t="shared" si="7"/>
        <v>0.6485374505317406</v>
      </c>
      <c r="AK160" s="1351">
        <f t="shared" si="7"/>
        <v>0.6379567051775759</v>
      </c>
      <c r="AL160" s="1351">
        <f t="shared" si="7"/>
        <v>0</v>
      </c>
      <c r="AM160" s="1351">
        <f t="shared" si="7"/>
        <v>0</v>
      </c>
      <c r="AN160" s="1351">
        <f t="shared" si="7"/>
        <v>0</v>
      </c>
      <c r="AO160" s="1351">
        <f t="shared" si="7"/>
        <v>0</v>
      </c>
      <c r="AP160" s="1351">
        <f t="shared" si="7"/>
        <v>0</v>
      </c>
      <c r="AQ160" s="1351">
        <f t="shared" si="7"/>
        <v>0</v>
      </c>
      <c r="AR160" s="1351">
        <f t="shared" si="7"/>
        <v>0</v>
      </c>
      <c r="AS160" s="287" t="s">
        <v>1602</v>
      </c>
    </row>
    <row r="161" ht="17.5" customHeight="1" spans="4:45" x14ac:dyDescent="0.25">
      <c r="D161" s="1335">
        <v>36</v>
      </c>
      <c r="E161" s="1719">
        <v>40569</v>
      </c>
      <c r="F161" s="1349" t="s">
        <v>1604</v>
      </c>
      <c r="G161" s="26" t="s">
        <v>866</v>
      </c>
      <c r="H161" s="1458" t="s">
        <v>1605</v>
      </c>
      <c r="I161" s="1458"/>
      <c r="J161" s="1458"/>
      <c r="K161" s="1458"/>
      <c r="L161" s="1458"/>
      <c r="M161" s="1458"/>
      <c r="N161" s="1376">
        <f t="shared" si="6"/>
        <v>0</v>
      </c>
      <c r="O161" s="419">
        <f t="shared" si="6"/>
        <v>-0.776555210525589</v>
      </c>
      <c r="P161" s="419">
        <f t="shared" si="7"/>
        <v>-0.8071713032263155</v>
      </c>
      <c r="Q161" s="419">
        <f t="shared" si="7"/>
        <v>-0.8739585652326259</v>
      </c>
      <c r="R161" s="419">
        <f t="shared" si="7"/>
        <v>-0.9248532480883009</v>
      </c>
      <c r="S161" s="419">
        <f t="shared" si="7"/>
        <v>-1.034422041677154</v>
      </c>
      <c r="T161" s="419">
        <f t="shared" si="7"/>
        <v>-1.1090558577234368</v>
      </c>
      <c r="U161" s="419">
        <f t="shared" si="7"/>
        <v>-1.1359730880008065</v>
      </c>
      <c r="V161" s="419">
        <f t="shared" si="7"/>
        <v>-1.1539329950945498</v>
      </c>
      <c r="W161" s="419">
        <f t="shared" si="7"/>
        <v>-1.1467396221612893</v>
      </c>
      <c r="X161" s="419">
        <f t="shared" si="7"/>
        <v>-1.1411128525118628</v>
      </c>
      <c r="Y161" s="419">
        <f t="shared" si="7"/>
        <v>-1.1484117630115258</v>
      </c>
      <c r="Z161" s="419">
        <f t="shared" si="7"/>
        <v>-1.1621660110973329</v>
      </c>
      <c r="AA161" s="419">
        <f t="shared" si="7"/>
        <v>-1.1761384153208247</v>
      </c>
      <c r="AB161" s="419">
        <f t="shared" si="7"/>
        <v>-1.1</v>
      </c>
      <c r="AC161" s="1351">
        <f t="shared" si="7"/>
        <v>-1.12</v>
      </c>
      <c r="AD161" s="1351">
        <f t="shared" si="7"/>
        <v>-1.1340000000000001</v>
      </c>
      <c r="AE161" s="1351">
        <f t="shared" si="7"/>
        <v>-1.1438000000000001</v>
      </c>
      <c r="AF161" s="1351">
        <f t="shared" si="7"/>
        <v>-1.1506600000000002</v>
      </c>
      <c r="AG161" s="1351">
        <f t="shared" si="7"/>
        <v>-1.1554620000000002</v>
      </c>
      <c r="AH161" s="1351">
        <f t="shared" si="7"/>
        <v>-1.1514620000000002</v>
      </c>
      <c r="AI161" s="1351">
        <f t="shared" si="7"/>
        <v>-1.1434620000000002</v>
      </c>
      <c r="AJ161" s="1351">
        <f t="shared" ref="P161:AR170" si="8">AJ102-AJ43</f>
        <v>-1.1314620000000002</v>
      </c>
      <c r="AK161" s="1351">
        <f t="shared" si="8"/>
        <v>-1.1154620000000002</v>
      </c>
      <c r="AL161" s="1351">
        <f t="shared" si="8"/>
        <v>-1.0954620000000002</v>
      </c>
      <c r="AM161" s="1351">
        <f t="shared" si="8"/>
        <v>-1.0714620000000001</v>
      </c>
      <c r="AN161" s="1351">
        <f t="shared" si="8"/>
        <v>-1.0434620000000001</v>
      </c>
      <c r="AO161" s="1351">
        <f t="shared" si="8"/>
        <v>-1.011462</v>
      </c>
      <c r="AP161" s="1351">
        <f t="shared" si="8"/>
        <v>-0.975462</v>
      </c>
      <c r="AQ161" s="1351">
        <f t="shared" si="8"/>
        <v>-0.935462</v>
      </c>
      <c r="AR161" s="1351">
        <f t="shared" si="8"/>
        <v>-0.891462</v>
      </c>
      <c r="AS161" s="287" t="s">
        <v>1604</v>
      </c>
    </row>
    <row r="162" ht="17.5" customHeight="1" spans="4:45" x14ac:dyDescent="0.25">
      <c r="D162" s="1335">
        <v>37</v>
      </c>
      <c r="E162" s="1719">
        <v>40570</v>
      </c>
      <c r="F162" s="1349" t="s">
        <v>540</v>
      </c>
      <c r="G162" s="26" t="s">
        <v>866</v>
      </c>
      <c r="H162" s="1458" t="s">
        <v>1606</v>
      </c>
      <c r="I162" s="1458"/>
      <c r="J162" s="1458"/>
      <c r="K162" s="1458"/>
      <c r="L162" s="1458"/>
      <c r="M162" s="1458"/>
      <c r="N162" s="1376">
        <f t="shared" si="6"/>
        <v>-0.006999999999999999</v>
      </c>
      <c r="O162" s="419">
        <f t="shared" si="6"/>
        <v>1995.966438790049</v>
      </c>
      <c r="P162" s="419">
        <f t="shared" si="8"/>
        <v>1996.9661996508958</v>
      </c>
      <c r="Q162" s="419">
        <f t="shared" si="8"/>
        <v>1997.964480145005</v>
      </c>
      <c r="R162" s="419">
        <f t="shared" si="8"/>
        <v>1998.9624547727963</v>
      </c>
      <c r="S162" s="419">
        <f t="shared" si="8"/>
        <v>1999.9628663863134</v>
      </c>
      <c r="T162" s="419">
        <f t="shared" si="8"/>
        <v>2000.9541523714693</v>
      </c>
      <c r="U162" s="419">
        <f t="shared" si="8"/>
        <v>2001.9564286940392</v>
      </c>
      <c r="V162" s="419">
        <f t="shared" si="8"/>
        <v>2002.9535411544732</v>
      </c>
      <c r="W162" s="419">
        <f t="shared" si="8"/>
        <v>2003.95037809546</v>
      </c>
      <c r="X162" s="419">
        <f t="shared" si="8"/>
        <v>2004.9473067775205</v>
      </c>
      <c r="Y162" s="419">
        <f t="shared" si="8"/>
        <v>2005.9423161616303</v>
      </c>
      <c r="Z162" s="419">
        <f t="shared" si="8"/>
        <v>2006.933601595069</v>
      </c>
      <c r="AA162" s="419">
        <f t="shared" si="8"/>
        <v>2007.9283043825203</v>
      </c>
      <c r="AB162" s="419">
        <f t="shared" si="8"/>
        <v>2008.9238017518542</v>
      </c>
      <c r="AC162" s="1351">
        <f t="shared" si="8"/>
        <v>2009.9199745157878</v>
      </c>
      <c r="AD162" s="1351">
        <f t="shared" si="8"/>
        <v>2010.9167213651315</v>
      </c>
      <c r="AE162" s="1351">
        <f t="shared" si="8"/>
        <v>2011.9139561870736</v>
      </c>
      <c r="AF162" s="1351">
        <f t="shared" si="8"/>
        <v>2012.9116057857245</v>
      </c>
      <c r="AG162" s="1351">
        <f t="shared" si="8"/>
        <v>2013.9096079445776</v>
      </c>
      <c r="AH162" s="1351">
        <f t="shared" si="8"/>
        <v>2014.9079097796027</v>
      </c>
      <c r="AI162" s="1351">
        <f t="shared" si="8"/>
        <v>2015.9064663393742</v>
      </c>
      <c r="AJ162" s="1351">
        <f t="shared" si="8"/>
        <v>2016.90523941518</v>
      </c>
      <c r="AK162" s="1351">
        <f t="shared" si="8"/>
        <v>2017.9041965296149</v>
      </c>
      <c r="AL162" s="1351">
        <f t="shared" si="8"/>
        <v>2018.9033100768843</v>
      </c>
      <c r="AM162" s="1351">
        <f t="shared" si="8"/>
        <v>2019.9025565920635</v>
      </c>
      <c r="AN162" s="1351">
        <f t="shared" si="8"/>
        <v>2020.901916129966</v>
      </c>
      <c r="AO162" s="1351">
        <f t="shared" si="8"/>
        <v>2021.901371737183</v>
      </c>
      <c r="AP162" s="1351">
        <f t="shared" si="8"/>
        <v>2022.9009090033173</v>
      </c>
      <c r="AQ162" s="1351">
        <f t="shared" si="8"/>
        <v>2023.9005156795315</v>
      </c>
      <c r="AR162" s="1351">
        <f t="shared" si="8"/>
        <v>2024.9001813543136</v>
      </c>
      <c r="AS162" s="287" t="s">
        <v>540</v>
      </c>
    </row>
    <row r="163" ht="17.5" customHeight="1" spans="4:45" x14ac:dyDescent="0.25">
      <c r="D163" s="1335">
        <v>38</v>
      </c>
      <c r="E163" s="1719">
        <v>40559</v>
      </c>
      <c r="F163" s="1349" t="s">
        <v>459</v>
      </c>
      <c r="G163" s="26" t="s">
        <v>866</v>
      </c>
      <c r="H163" s="1458" t="s">
        <v>1607</v>
      </c>
      <c r="I163" s="1458"/>
      <c r="J163" s="1458"/>
      <c r="K163" s="1458"/>
      <c r="L163" s="1458"/>
      <c r="M163" s="1458"/>
      <c r="N163" s="1376">
        <f t="shared" si="6"/>
        <v>0</v>
      </c>
      <c r="O163" s="419" t="e">
        <f t="shared" si="6"/>
        <v>#REF!</v>
      </c>
      <c r="P163" s="419" t="e">
        <f t="shared" si="8"/>
        <v>#REF!</v>
      </c>
      <c r="Q163" s="419" t="e">
        <f t="shared" si="8"/>
        <v>#REF!</v>
      </c>
      <c r="R163" s="419" t="e">
        <f t="shared" si="8"/>
        <v>#REF!</v>
      </c>
      <c r="S163" s="419">
        <f t="shared" si="8"/>
        <v>-0.5624698229682159</v>
      </c>
      <c r="T163" s="419">
        <f t="shared" si="8"/>
        <v>-0.6075711333388443</v>
      </c>
      <c r="U163" s="419">
        <f t="shared" si="8"/>
        <v>-0.5675837302398972</v>
      </c>
      <c r="V163" s="419">
        <f t="shared" si="8"/>
        <v>-0.5968293525687911</v>
      </c>
      <c r="W163" s="419">
        <f t="shared" si="8"/>
        <v>-0.6188437158703985</v>
      </c>
      <c r="X163" s="419">
        <f t="shared" si="8"/>
        <v>-0.5345451279946046</v>
      </c>
      <c r="Y163" s="419" t="e">
        <f t="shared" si="8"/>
        <v>#REF!</v>
      </c>
      <c r="Z163" s="419">
        <f t="shared" si="8"/>
        <v>-0.5054202818665039</v>
      </c>
      <c r="AA163" s="419">
        <f t="shared" si="8"/>
        <v>-0.5142104211413152</v>
      </c>
      <c r="AB163" s="419">
        <f t="shared" si="8"/>
        <v>-0.4904746359427478</v>
      </c>
      <c r="AC163" s="1351">
        <f t="shared" si="8"/>
        <v>-0.4854202818665039</v>
      </c>
      <c r="AD163" s="1351">
        <f t="shared" si="8"/>
        <v>-0.4804202818665039</v>
      </c>
      <c r="AE163" s="1351">
        <f t="shared" si="8"/>
        <v>-0.47542028186650387</v>
      </c>
      <c r="AF163" s="1351">
        <f t="shared" si="8"/>
        <v>-0.47342028186650387</v>
      </c>
      <c r="AG163" s="1351">
        <f t="shared" si="8"/>
        <v>-0.46842028186650386</v>
      </c>
      <c r="AH163" s="1351">
        <f t="shared" si="8"/>
        <v>-0.46592028186650386</v>
      </c>
      <c r="AI163" s="1351">
        <f t="shared" si="8"/>
        <v>-0.46467028186650383</v>
      </c>
      <c r="AJ163" s="1351">
        <f t="shared" si="8"/>
        <v>-0.46404528186650384</v>
      </c>
      <c r="AK163" s="1351">
        <f t="shared" si="8"/>
        <v>-0.46373278186650385</v>
      </c>
      <c r="AL163" s="1351">
        <f t="shared" si="8"/>
        <v>-0.4635765318665038</v>
      </c>
      <c r="AM163" s="1351">
        <f t="shared" si="8"/>
        <v>-0.4634984068665038</v>
      </c>
      <c r="AN163" s="1351">
        <f t="shared" si="8"/>
        <v>-0.46345934436650377</v>
      </c>
      <c r="AO163" s="1351">
        <f t="shared" si="8"/>
        <v>-0.46343981311650373</v>
      </c>
      <c r="AP163" s="1351">
        <f t="shared" si="8"/>
        <v>-0.46343004749150374</v>
      </c>
      <c r="AQ163" s="1351">
        <f t="shared" si="8"/>
        <v>-0.46342516467900374</v>
      </c>
      <c r="AR163" s="1351">
        <f t="shared" si="8"/>
        <v>-0.46342272327275374</v>
      </c>
      <c r="AS163" s="287" t="s">
        <v>459</v>
      </c>
    </row>
    <row r="164" ht="17.5" customHeight="1" spans="4:45" x14ac:dyDescent="0.25">
      <c r="D164" s="1335">
        <v>39</v>
      </c>
      <c r="E164" s="1719">
        <v>40559</v>
      </c>
      <c r="F164" s="1349" t="s">
        <v>462</v>
      </c>
      <c r="G164" s="26" t="s">
        <v>866</v>
      </c>
      <c r="H164" s="1458" t="s">
        <v>1608</v>
      </c>
      <c r="I164" s="1458"/>
      <c r="J164" s="1458"/>
      <c r="K164" s="1458"/>
      <c r="L164" s="1458"/>
      <c r="M164" s="1458"/>
      <c r="N164" s="1376">
        <f t="shared" si="6"/>
        <v>0</v>
      </c>
      <c r="O164" s="419" t="e">
        <f t="shared" si="6"/>
        <v>#REF!</v>
      </c>
      <c r="P164" s="419" t="e">
        <f t="shared" si="8"/>
        <v>#REF!</v>
      </c>
      <c r="Q164" s="419" t="e">
        <f t="shared" si="8"/>
        <v>#REF!</v>
      </c>
      <c r="R164" s="419" t="e">
        <f t="shared" si="8"/>
        <v>#REF!</v>
      </c>
      <c r="S164" s="419" t="e">
        <f t="shared" si="8"/>
        <v>#REF!</v>
      </c>
      <c r="T164" s="419" t="e">
        <f t="shared" si="8"/>
        <v>#REF!</v>
      </c>
      <c r="U164" s="419">
        <f t="shared" si="8"/>
        <v>-0.12822885194167666</v>
      </c>
      <c r="V164" s="419">
        <f t="shared" si="8"/>
        <v>-0.13951403566294232</v>
      </c>
      <c r="W164" s="419">
        <f t="shared" si="8"/>
        <v>-0.13006831273957645</v>
      </c>
      <c r="X164" s="419">
        <f t="shared" si="8"/>
        <v>-0.11965349089522916</v>
      </c>
      <c r="Y164" s="419" t="e">
        <f t="shared" si="8"/>
        <v>#REF!</v>
      </c>
      <c r="Z164" s="419">
        <f t="shared" si="8"/>
        <v>-0.1251333043549027</v>
      </c>
      <c r="AA164" s="419">
        <f t="shared" si="8"/>
        <v>-0.12991843501345215</v>
      </c>
      <c r="AB164" s="419">
        <f t="shared" si="8"/>
        <v>-0.10130116585557349</v>
      </c>
      <c r="AC164" s="1351">
        <f t="shared" si="8"/>
        <v>-0.131</v>
      </c>
      <c r="AD164" s="1351">
        <f t="shared" si="8"/>
        <v>-0.13</v>
      </c>
      <c r="AE164" s="1351">
        <f t="shared" si="8"/>
        <v>-0.13</v>
      </c>
      <c r="AF164" s="1351">
        <f t="shared" si="8"/>
        <v>-0.13</v>
      </c>
      <c r="AG164" s="1351">
        <f t="shared" si="8"/>
        <v>-0.13</v>
      </c>
      <c r="AH164" s="1351">
        <f t="shared" si="8"/>
        <v>-0.13</v>
      </c>
      <c r="AI164" s="1351">
        <f t="shared" si="8"/>
        <v>-0.13</v>
      </c>
      <c r="AJ164" s="1351">
        <f t="shared" si="8"/>
        <v>-0.13</v>
      </c>
      <c r="AK164" s="1351">
        <f t="shared" si="8"/>
        <v>-0.13</v>
      </c>
      <c r="AL164" s="1351">
        <f t="shared" si="8"/>
        <v>-0.13</v>
      </c>
      <c r="AM164" s="1351">
        <f t="shared" si="8"/>
        <v>-0.13</v>
      </c>
      <c r="AN164" s="1351">
        <f t="shared" si="8"/>
        <v>-0.13</v>
      </c>
      <c r="AO164" s="1351">
        <f t="shared" si="8"/>
        <v>-0.13</v>
      </c>
      <c r="AP164" s="1351">
        <f t="shared" si="8"/>
        <v>-0.13</v>
      </c>
      <c r="AQ164" s="1351">
        <f t="shared" si="8"/>
        <v>-0.13</v>
      </c>
      <c r="AR164" s="1351">
        <f t="shared" si="8"/>
        <v>-0.13</v>
      </c>
      <c r="AS164" s="287" t="s">
        <v>462</v>
      </c>
    </row>
    <row r="165" ht="17.5" customHeight="1" spans="4:45" x14ac:dyDescent="0.25">
      <c r="D165" s="1335">
        <v>40</v>
      </c>
      <c r="E165" s="1719">
        <v>40559</v>
      </c>
      <c r="F165" s="1349" t="s">
        <v>465</v>
      </c>
      <c r="G165" s="26" t="s">
        <v>866</v>
      </c>
      <c r="H165" s="1458" t="s">
        <v>1609</v>
      </c>
      <c r="I165" s="1458"/>
      <c r="J165" s="1458"/>
      <c r="K165" s="1458"/>
      <c r="L165" s="1458"/>
      <c r="M165" s="1458"/>
      <c r="N165" s="1376">
        <f t="shared" si="6"/>
        <v>0</v>
      </c>
      <c r="O165" s="419" t="e">
        <f t="shared" si="6"/>
        <v>#REF!</v>
      </c>
      <c r="P165" s="419" t="e">
        <f t="shared" si="8"/>
        <v>#REF!</v>
      </c>
      <c r="Q165" s="419" t="e">
        <f t="shared" si="8"/>
        <v>#REF!</v>
      </c>
      <c r="R165" s="419" t="e">
        <f t="shared" si="8"/>
        <v>#REF!</v>
      </c>
      <c r="S165" s="419" t="e">
        <f t="shared" si="8"/>
        <v>#REF!</v>
      </c>
      <c r="T165" s="419" t="e">
        <f t="shared" si="8"/>
        <v>#REF!</v>
      </c>
      <c r="U165" s="419" t="e">
        <f t="shared" si="8"/>
        <v>#REF!</v>
      </c>
      <c r="V165" s="419" t="e">
        <f t="shared" si="8"/>
        <v>#REF!</v>
      </c>
      <c r="W165" s="419" t="e">
        <f t="shared" si="8"/>
        <v>#REF!</v>
      </c>
      <c r="X165" s="419" t="e">
        <f t="shared" si="8"/>
        <v>#REF!</v>
      </c>
      <c r="Y165" s="419" t="e">
        <f t="shared" si="8"/>
        <v>#REF!</v>
      </c>
      <c r="Z165" s="419" t="e">
        <f t="shared" si="8"/>
        <v>#REF!</v>
      </c>
      <c r="AA165" s="419" t="e">
        <f t="shared" si="8"/>
        <v>#REF!</v>
      </c>
      <c r="AB165" s="419">
        <f t="shared" si="8"/>
        <v>-0.2115644908107519</v>
      </c>
      <c r="AC165" s="1351">
        <f t="shared" si="8"/>
        <v>-0.165</v>
      </c>
      <c r="AD165" s="1351">
        <f t="shared" si="8"/>
        <v>-0.165</v>
      </c>
      <c r="AE165" s="1351">
        <f t="shared" si="8"/>
        <v>-0.165</v>
      </c>
      <c r="AF165" s="1351">
        <f t="shared" si="8"/>
        <v>-0.165</v>
      </c>
      <c r="AG165" s="1351">
        <f t="shared" si="8"/>
        <v>-0.165</v>
      </c>
      <c r="AH165" s="1351">
        <f t="shared" si="8"/>
        <v>-0.165</v>
      </c>
      <c r="AI165" s="1351">
        <f t="shared" si="8"/>
        <v>-0.165</v>
      </c>
      <c r="AJ165" s="1351">
        <f t="shared" si="8"/>
        <v>-0.165</v>
      </c>
      <c r="AK165" s="1351">
        <f t="shared" si="8"/>
        <v>-0.165</v>
      </c>
      <c r="AL165" s="1351">
        <f t="shared" si="8"/>
        <v>-0.165</v>
      </c>
      <c r="AM165" s="1351">
        <f t="shared" si="8"/>
        <v>-0.165</v>
      </c>
      <c r="AN165" s="1351">
        <f t="shared" si="8"/>
        <v>-0.165</v>
      </c>
      <c r="AO165" s="1351">
        <f t="shared" si="8"/>
        <v>-0.165</v>
      </c>
      <c r="AP165" s="1351">
        <f t="shared" si="8"/>
        <v>-0.165</v>
      </c>
      <c r="AQ165" s="1351">
        <f t="shared" si="8"/>
        <v>-0.165</v>
      </c>
      <c r="AR165" s="1351">
        <f t="shared" si="8"/>
        <v>-0.165</v>
      </c>
      <c r="AS165" s="287" t="s">
        <v>465</v>
      </c>
    </row>
    <row r="166" ht="17.5" customHeight="1" spans="4:45" x14ac:dyDescent="0.25">
      <c r="D166" s="1335">
        <v>41</v>
      </c>
      <c r="E166" s="1719">
        <v>40559</v>
      </c>
      <c r="F166" s="1349" t="s">
        <v>468</v>
      </c>
      <c r="G166" s="26" t="s">
        <v>866</v>
      </c>
      <c r="H166" s="1458" t="s">
        <v>1610</v>
      </c>
      <c r="I166" s="1458"/>
      <c r="J166" s="1458"/>
      <c r="K166" s="1458"/>
      <c r="L166" s="1458"/>
      <c r="M166" s="1458"/>
      <c r="N166" s="1376">
        <f t="shared" ref="N166:O179" si="9">N107-N48</f>
        <v>0</v>
      </c>
      <c r="O166" s="419" t="e">
        <f t="shared" si="9"/>
        <v>#REF!</v>
      </c>
      <c r="P166" s="419" t="e">
        <f t="shared" si="8"/>
        <v>#REF!</v>
      </c>
      <c r="Q166" s="419" t="e">
        <f t="shared" si="8"/>
        <v>#REF!</v>
      </c>
      <c r="R166" s="419" t="e">
        <f t="shared" si="8"/>
        <v>#REF!</v>
      </c>
      <c r="S166" s="419" t="e">
        <f t="shared" si="8"/>
        <v>#REF!</v>
      </c>
      <c r="T166" s="419">
        <f t="shared" si="8"/>
        <v>-0.8107929512937024</v>
      </c>
      <c r="U166" s="419">
        <f t="shared" si="8"/>
        <v>-0.7918544429805299</v>
      </c>
      <c r="V166" s="419">
        <f t="shared" si="8"/>
        <v>-0.7344982304364923</v>
      </c>
      <c r="W166" s="419">
        <f t="shared" si="8"/>
        <v>-0.7687913140129188</v>
      </c>
      <c r="X166" s="419">
        <f t="shared" si="8"/>
        <v>-0.7708848541862653</v>
      </c>
      <c r="Y166" s="419">
        <f t="shared" si="8"/>
        <v>-0.750418935801041</v>
      </c>
      <c r="Z166" s="419">
        <f t="shared" si="8"/>
        <v>-0.7522400431681682</v>
      </c>
      <c r="AA166" s="419">
        <f t="shared" si="8"/>
        <v>-0.7929951020408164</v>
      </c>
      <c r="AB166" s="419">
        <f t="shared" si="8"/>
        <v>-0.739813774471967</v>
      </c>
      <c r="AC166" s="1351">
        <f t="shared" si="8"/>
        <v>-0.76</v>
      </c>
      <c r="AD166" s="1351">
        <f t="shared" si="8"/>
        <v>-0.759</v>
      </c>
      <c r="AE166" s="1351">
        <f t="shared" si="8"/>
        <v>-0.758</v>
      </c>
      <c r="AF166" s="1351">
        <f t="shared" si="8"/>
        <v>-0.757</v>
      </c>
      <c r="AG166" s="1351">
        <f t="shared" si="8"/>
        <v>-0.756</v>
      </c>
      <c r="AH166" s="1351">
        <f t="shared" si="8"/>
        <v>-0.755</v>
      </c>
      <c r="AI166" s="1351">
        <f t="shared" si="8"/>
        <v>-0.754</v>
      </c>
      <c r="AJ166" s="1351">
        <f t="shared" si="8"/>
        <v>-0.753</v>
      </c>
      <c r="AK166" s="1351">
        <f t="shared" si="8"/>
        <v>-0.752</v>
      </c>
      <c r="AL166" s="1351">
        <f t="shared" si="8"/>
        <v>-0.751</v>
      </c>
      <c r="AM166" s="1351">
        <f t="shared" si="8"/>
        <v>-0.75</v>
      </c>
      <c r="AN166" s="1351">
        <f t="shared" si="8"/>
        <v>-0.749</v>
      </c>
      <c r="AO166" s="1351">
        <f t="shared" si="8"/>
        <v>-0.748</v>
      </c>
      <c r="AP166" s="1351">
        <f t="shared" si="8"/>
        <v>-0.747</v>
      </c>
      <c r="AQ166" s="1351">
        <f t="shared" si="8"/>
        <v>-0.746</v>
      </c>
      <c r="AR166" s="1351">
        <f t="shared" si="8"/>
        <v>-0.745</v>
      </c>
      <c r="AS166" s="287" t="s">
        <v>468</v>
      </c>
    </row>
    <row r="167" ht="17.5" customHeight="1" spans="4:45" x14ac:dyDescent="0.25">
      <c r="D167" s="1335">
        <v>42</v>
      </c>
      <c r="E167" s="1719">
        <v>40559</v>
      </c>
      <c r="F167" s="1349" t="s">
        <v>471</v>
      </c>
      <c r="G167" s="26" t="s">
        <v>866</v>
      </c>
      <c r="H167" s="1458" t="s">
        <v>1611</v>
      </c>
      <c r="I167" s="1458"/>
      <c r="J167" s="1458"/>
      <c r="K167" s="1458"/>
      <c r="L167" s="1458"/>
      <c r="M167" s="1458"/>
      <c r="N167" s="1376">
        <f t="shared" si="9"/>
        <v>0</v>
      </c>
      <c r="O167" s="419" t="e">
        <f t="shared" si="9"/>
        <v>#REF!</v>
      </c>
      <c r="P167" s="419" t="e">
        <f t="shared" si="8"/>
        <v>#REF!</v>
      </c>
      <c r="Q167" s="419" t="e">
        <f t="shared" si="8"/>
        <v>#VALUE!</v>
      </c>
      <c r="R167" s="419">
        <f t="shared" si="8"/>
        <v>-0.08460888999690519</v>
      </c>
      <c r="S167" s="419" t="e">
        <f t="shared" si="8"/>
        <v>#REF!</v>
      </c>
      <c r="T167" s="419" t="e">
        <f t="shared" si="8"/>
        <v>#REF!</v>
      </c>
      <c r="U167" s="419" t="e">
        <f t="shared" si="8"/>
        <v>#REF!</v>
      </c>
      <c r="V167" s="419">
        <f t="shared" si="8"/>
        <v>-0.04298859614628392</v>
      </c>
      <c r="W167" s="419">
        <f t="shared" si="8"/>
        <v>-0.04071863925002048</v>
      </c>
      <c r="X167" s="419">
        <f t="shared" si="8"/>
        <v>-0.033970837253057384</v>
      </c>
      <c r="Y167" s="419">
        <f t="shared" si="8"/>
        <v>-0.03364893001735106</v>
      </c>
      <c r="Z167" s="419">
        <f t="shared" si="8"/>
        <v>-0.03277435660660659</v>
      </c>
      <c r="AA167" s="419">
        <f t="shared" si="8"/>
        <v>-0.03479928670497325</v>
      </c>
      <c r="AB167" s="419">
        <f t="shared" si="8"/>
        <v>-0.02782366149743878</v>
      </c>
      <c r="AC167" s="1351">
        <f t="shared" si="8"/>
        <v>-0.032</v>
      </c>
      <c r="AD167" s="1351">
        <f t="shared" si="8"/>
        <v>-0.032</v>
      </c>
      <c r="AE167" s="1351">
        <f t="shared" si="8"/>
        <v>-0.032</v>
      </c>
      <c r="AF167" s="1351">
        <f t="shared" si="8"/>
        <v>-0.032</v>
      </c>
      <c r="AG167" s="1351">
        <f t="shared" si="8"/>
        <v>-0.032</v>
      </c>
      <c r="AH167" s="1351">
        <f t="shared" si="8"/>
        <v>-0.032</v>
      </c>
      <c r="AI167" s="1351">
        <f t="shared" si="8"/>
        <v>-0.032</v>
      </c>
      <c r="AJ167" s="1351">
        <f t="shared" si="8"/>
        <v>-0.032</v>
      </c>
      <c r="AK167" s="1351">
        <f t="shared" si="8"/>
        <v>-0.032</v>
      </c>
      <c r="AL167" s="1351">
        <f t="shared" si="8"/>
        <v>-0.032</v>
      </c>
      <c r="AM167" s="1351">
        <f t="shared" si="8"/>
        <v>-0.032</v>
      </c>
      <c r="AN167" s="1351">
        <f t="shared" si="8"/>
        <v>-0.032</v>
      </c>
      <c r="AO167" s="1351">
        <f t="shared" si="8"/>
        <v>-0.032</v>
      </c>
      <c r="AP167" s="1351">
        <f t="shared" si="8"/>
        <v>-0.032</v>
      </c>
      <c r="AQ167" s="1351">
        <f t="shared" si="8"/>
        <v>-0.032</v>
      </c>
      <c r="AR167" s="1351">
        <f t="shared" si="8"/>
        <v>-0.032</v>
      </c>
      <c r="AS167" s="287" t="s">
        <v>471</v>
      </c>
    </row>
    <row r="168" ht="17.5" customHeight="1" spans="4:45" x14ac:dyDescent="0.25">
      <c r="D168" s="1335">
        <v>43</v>
      </c>
      <c r="E168" s="1719">
        <v>40559</v>
      </c>
      <c r="F168" s="1349" t="s">
        <v>474</v>
      </c>
      <c r="G168" s="26" t="s">
        <v>866</v>
      </c>
      <c r="H168" s="1458" t="s">
        <v>1612</v>
      </c>
      <c r="I168" s="1458"/>
      <c r="J168" s="1458"/>
      <c r="K168" s="1458"/>
      <c r="L168" s="1458"/>
      <c r="M168" s="1458"/>
      <c r="N168" s="1376">
        <f t="shared" si="9"/>
        <v>0</v>
      </c>
      <c r="O168" s="419">
        <f t="shared" si="9"/>
        <v>-0.08654860466679155</v>
      </c>
      <c r="P168" s="419">
        <f t="shared" si="8"/>
        <v>-0.1189844457803133</v>
      </c>
      <c r="Q168" s="419" t="e">
        <f t="shared" si="8"/>
        <v>#VALUE!</v>
      </c>
      <c r="R168" s="419">
        <f t="shared" si="8"/>
        <v>-0.07706152379444844</v>
      </c>
      <c r="S168" s="419">
        <f t="shared" si="8"/>
        <v>-0.11204415839266259</v>
      </c>
      <c r="T168" s="419" t="e">
        <f t="shared" si="8"/>
        <v>#REF!</v>
      </c>
      <c r="U168" s="419" t="e">
        <f t="shared" si="8"/>
        <v>#REF!</v>
      </c>
      <c r="V168" s="419">
        <f t="shared" si="8"/>
        <v>-0.18563368759464693</v>
      </c>
      <c r="W168" s="419">
        <f t="shared" si="8"/>
        <v>-0.21169378862685434</v>
      </c>
      <c r="X168" s="419">
        <f t="shared" si="8"/>
        <v>-0.2060309723953909</v>
      </c>
      <c r="Y168" s="419">
        <f t="shared" si="8"/>
        <v>-0.23589083916415302</v>
      </c>
      <c r="Z168" s="419">
        <f t="shared" si="8"/>
        <v>-0.30906078059544245</v>
      </c>
      <c r="AA168" s="419">
        <f t="shared" si="8"/>
        <v>-0.34816895368916795</v>
      </c>
      <c r="AB168" s="419">
        <f t="shared" si="8"/>
        <v>-0.35380105448926585</v>
      </c>
      <c r="AC168" s="1351">
        <f t="shared" si="8"/>
        <v>-0.365</v>
      </c>
      <c r="AD168" s="1351">
        <f t="shared" si="8"/>
        <v>-0.3739591564085873</v>
      </c>
      <c r="AE168" s="1351">
        <f t="shared" si="8"/>
        <v>-0.38112648153545714</v>
      </c>
      <c r="AF168" s="1351">
        <f t="shared" si="8"/>
        <v>-0.38686034163695304</v>
      </c>
      <c r="AG168" s="1351">
        <f t="shared" si="8"/>
        <v>-0.3914474297181498</v>
      </c>
      <c r="AH168" s="1351">
        <f t="shared" si="8"/>
        <v>-0.39511710018310714</v>
      </c>
      <c r="AI168" s="1351">
        <f t="shared" si="8"/>
        <v>-0.398052836555073</v>
      </c>
      <c r="AJ168" s="1351">
        <f t="shared" si="8"/>
        <v>-0.4004014256526457</v>
      </c>
      <c r="AK168" s="1351">
        <f t="shared" si="8"/>
        <v>-0.40228029693070383</v>
      </c>
      <c r="AL168" s="1351">
        <f t="shared" si="8"/>
        <v>-0.4037833939531503</v>
      </c>
      <c r="AM168" s="1351">
        <f t="shared" si="8"/>
        <v>-0.40498587157110755</v>
      </c>
      <c r="AN168" s="1351">
        <f t="shared" si="8"/>
        <v>-0.4059478536654733</v>
      </c>
      <c r="AO168" s="1351">
        <f t="shared" si="8"/>
        <v>-0.40671743934096594</v>
      </c>
      <c r="AP168" s="1351">
        <f t="shared" si="8"/>
        <v>-0.40733310788136</v>
      </c>
      <c r="AQ168" s="1351">
        <f t="shared" si="8"/>
        <v>-0.4078256427136753</v>
      </c>
      <c r="AR168" s="1351">
        <f t="shared" si="8"/>
        <v>-0.40821967057952746</v>
      </c>
      <c r="AS168" s="287" t="s">
        <v>474</v>
      </c>
    </row>
    <row r="169" ht="17.5" customHeight="1" spans="4:45" x14ac:dyDescent="0.25">
      <c r="D169" s="1335">
        <v>44</v>
      </c>
      <c r="E169" s="1719">
        <v>40559</v>
      </c>
      <c r="F169" s="1349" t="s">
        <v>477</v>
      </c>
      <c r="G169" s="26" t="s">
        <v>866</v>
      </c>
      <c r="H169" s="1458" t="s">
        <v>1613</v>
      </c>
      <c r="I169" s="1458"/>
      <c r="J169" s="1458"/>
      <c r="K169" s="1458"/>
      <c r="L169" s="1458"/>
      <c r="M169" s="1458"/>
      <c r="N169" s="1376">
        <f t="shared" si="9"/>
        <v>0</v>
      </c>
      <c r="O169" s="419" t="e">
        <f t="shared" si="9"/>
        <v>#REF!</v>
      </c>
      <c r="P169" s="419" t="e">
        <f t="shared" si="8"/>
        <v>#REF!</v>
      </c>
      <c r="Q169" s="419">
        <f t="shared" si="8"/>
        <v>-0.06899999999999995</v>
      </c>
      <c r="R169" s="419">
        <f t="shared" si="8"/>
        <v>-0.11299999999999999</v>
      </c>
      <c r="S169" s="419" t="e">
        <f t="shared" si="8"/>
        <v>#REF!</v>
      </c>
      <c r="T169" s="419">
        <f t="shared" si="8"/>
        <v>-0.145</v>
      </c>
      <c r="U169" s="419">
        <f t="shared" si="8"/>
        <v>-0.14300000000000002</v>
      </c>
      <c r="V169" s="419">
        <f t="shared" si="8"/>
        <v>-0.15900000000000003</v>
      </c>
      <c r="W169" s="419">
        <f t="shared" si="8"/>
        <v>-0.16600000000000004</v>
      </c>
      <c r="X169" s="419">
        <f t="shared" si="8"/>
        <v>-0.19399999999999995</v>
      </c>
      <c r="Y169" s="419">
        <f t="shared" si="8"/>
        <v>-0.18400000000000005</v>
      </c>
      <c r="Z169" s="419">
        <f t="shared" si="8"/>
        <v>-0.16</v>
      </c>
      <c r="AA169" s="419">
        <f t="shared" si="8"/>
        <v>-0.15</v>
      </c>
      <c r="AB169" s="419">
        <f t="shared" si="8"/>
        <v>-0.14</v>
      </c>
      <c r="AC169" s="1351">
        <f t="shared" si="8"/>
        <v>-0.14</v>
      </c>
      <c r="AD169" s="1351">
        <f t="shared" si="8"/>
        <v>-0.145</v>
      </c>
      <c r="AE169" s="1351">
        <f t="shared" si="8"/>
        <v>-0.155</v>
      </c>
      <c r="AF169" s="1351">
        <f t="shared" si="8"/>
        <v>-0.17</v>
      </c>
      <c r="AG169" s="1351">
        <f t="shared" si="8"/>
        <v>-0.18</v>
      </c>
      <c r="AH169" s="1351">
        <f t="shared" si="8"/>
        <v>-0.18699999999999997</v>
      </c>
      <c r="AI169" s="1351">
        <f t="shared" si="8"/>
        <v>-0.19189999999999996</v>
      </c>
      <c r="AJ169" s="1351">
        <f t="shared" si="8"/>
        <v>-0.19532999999999995</v>
      </c>
      <c r="AK169" s="1351">
        <f t="shared" si="8"/>
        <v>-0.19773099999999993</v>
      </c>
      <c r="AL169" s="1351">
        <f t="shared" si="8"/>
        <v>-0.19941169999999991</v>
      </c>
      <c r="AM169" s="1351">
        <f t="shared" si="8"/>
        <v>-0.2005881899999999</v>
      </c>
      <c r="AN169" s="1351">
        <f t="shared" si="8"/>
        <v>-0.20141173299999987</v>
      </c>
      <c r="AO169" s="1351">
        <f t="shared" si="8"/>
        <v>-0.20198821309999987</v>
      </c>
      <c r="AP169" s="1351">
        <f t="shared" si="8"/>
        <v>-0.20239174916999986</v>
      </c>
      <c r="AQ169" s="1351">
        <f t="shared" si="8"/>
        <v>-0.20267422441899985</v>
      </c>
      <c r="AR169" s="1351">
        <f t="shared" si="8"/>
        <v>-0.20287195709329983</v>
      </c>
      <c r="AS169" s="287" t="s">
        <v>477</v>
      </c>
    </row>
    <row r="170" ht="17.5" customHeight="1" spans="4:45" x14ac:dyDescent="0.25">
      <c r="D170" s="1335">
        <v>45</v>
      </c>
      <c r="E170" s="1719">
        <v>40559</v>
      </c>
      <c r="F170" s="1349" t="s">
        <v>1614</v>
      </c>
      <c r="G170" s="26" t="s">
        <v>866</v>
      </c>
      <c r="H170" s="1458" t="s">
        <v>1615</v>
      </c>
      <c r="I170" s="1458"/>
      <c r="J170" s="1458"/>
      <c r="K170" s="1458"/>
      <c r="L170" s="1458"/>
      <c r="M170" s="1458"/>
      <c r="N170" s="1376">
        <f t="shared" si="9"/>
        <v>0</v>
      </c>
      <c r="O170" s="419" t="e">
        <f t="shared" si="9"/>
        <v>#VALUE!</v>
      </c>
      <c r="P170" s="419">
        <f t="shared" si="8"/>
        <v>-0.05640309708159619</v>
      </c>
      <c r="Q170" s="419">
        <f t="shared" si="8"/>
        <v>-0.058051894074337966</v>
      </c>
      <c r="R170" s="419" t="e">
        <f t="shared" si="8"/>
        <v>#VALUE!</v>
      </c>
      <c r="S170" s="419">
        <f t="shared" si="8"/>
        <v>-0.040363501862149896</v>
      </c>
      <c r="T170" s="419">
        <f t="shared" si="8"/>
        <v>-0.04082908985698933</v>
      </c>
      <c r="U170" s="419" t="e">
        <f t="shared" si="8"/>
        <v>#REF!</v>
      </c>
      <c r="V170" s="419">
        <f t="shared" si="8"/>
        <v>-0.03907220863073469</v>
      </c>
      <c r="W170" s="419">
        <f t="shared" si="8"/>
        <v>-0.03202582607019723</v>
      </c>
      <c r="X170" s="419">
        <f t="shared" si="8"/>
        <v>-0.0204341113685013</v>
      </c>
      <c r="Y170" s="419">
        <f t="shared" si="8"/>
        <v>-0.018457780112713727</v>
      </c>
      <c r="Z170" s="419">
        <f t="shared" si="8"/>
        <v>-0.01633557374216708</v>
      </c>
      <c r="AA170" s="419">
        <f t="shared" si="8"/>
        <v>-0.015488549426277757</v>
      </c>
      <c r="AB170" s="419">
        <f t="shared" si="8"/>
        <v>-0.014541010574328746</v>
      </c>
      <c r="AC170" s="1351">
        <f t="shared" si="8"/>
        <v>-0.014488549426277756</v>
      </c>
      <c r="AD170" s="1351">
        <f t="shared" ref="P170:AR179" si="10">AD111-AD52</f>
        <v>-0.013988549426277756</v>
      </c>
      <c r="AE170" s="1351">
        <f t="shared" si="10"/>
        <v>-0.013488549426277755</v>
      </c>
      <c r="AF170" s="1351">
        <f t="shared" si="10"/>
        <v>-0.012988549426277755</v>
      </c>
      <c r="AG170" s="1351">
        <f t="shared" si="10"/>
        <v>-0.012488549426277754</v>
      </c>
      <c r="AH170" s="1351">
        <f t="shared" si="10"/>
        <v>-0.011988549426277754</v>
      </c>
      <c r="AI170" s="1351">
        <f t="shared" si="10"/>
        <v>-0.011488549426277753</v>
      </c>
      <c r="AJ170" s="1351">
        <f t="shared" si="10"/>
        <v>-0.010988549426277753</v>
      </c>
      <c r="AK170" s="1351">
        <f t="shared" si="10"/>
        <v>-0.010488549426277752</v>
      </c>
      <c r="AL170" s="1351">
        <f t="shared" si="10"/>
        <v>-0.009988549426277752</v>
      </c>
      <c r="AM170" s="1351">
        <f t="shared" si="10"/>
        <v>-0.009488549426277752</v>
      </c>
      <c r="AN170" s="1351">
        <f t="shared" si="10"/>
        <v>-0.008988549426277751</v>
      </c>
      <c r="AO170" s="1351">
        <f t="shared" si="10"/>
        <v>-0.00848854942627775</v>
      </c>
      <c r="AP170" s="1351">
        <f t="shared" si="10"/>
        <v>-0.00798854942627775</v>
      </c>
      <c r="AQ170" s="1351">
        <f t="shared" si="10"/>
        <v>-0.00748854942627775</v>
      </c>
      <c r="AR170" s="1351">
        <f t="shared" si="10"/>
        <v>-0.006988549426277749</v>
      </c>
      <c r="AS170" s="287" t="s">
        <v>1614</v>
      </c>
    </row>
    <row r="171" ht="17.5" customHeight="1" spans="4:45" x14ac:dyDescent="0.25">
      <c r="D171" s="1335">
        <v>46</v>
      </c>
      <c r="E171" s="1719">
        <v>40560</v>
      </c>
      <c r="F171" s="1349" t="s">
        <v>1616</v>
      </c>
      <c r="G171" s="26" t="s">
        <v>866</v>
      </c>
      <c r="H171" s="1458" t="s">
        <v>1617</v>
      </c>
      <c r="I171" s="1458"/>
      <c r="J171" s="1458"/>
      <c r="K171" s="1458"/>
      <c r="L171" s="1458"/>
      <c r="M171" s="1458"/>
      <c r="N171" s="1732">
        <f t="shared" si="9"/>
        <v>-0.03437121570989965</v>
      </c>
      <c r="O171" s="1733">
        <f t="shared" si="9"/>
        <v>-0.3250780994281772</v>
      </c>
      <c r="P171" s="1733">
        <f t="shared" si="10"/>
        <v>-0.35837570555083637</v>
      </c>
      <c r="Q171" s="1733">
        <f t="shared" si="10"/>
        <v>-0.32023603080122254</v>
      </c>
      <c r="R171" s="1733">
        <f t="shared" si="10"/>
        <v>-0.26082091121911194</v>
      </c>
      <c r="S171" s="1733" t="e">
        <f t="shared" si="10"/>
        <v>#REF!</v>
      </c>
      <c r="T171" s="1733">
        <f t="shared" si="10"/>
        <v>-0.27051799130250104</v>
      </c>
      <c r="U171" s="1733">
        <f t="shared" si="10"/>
        <v>-0.31631692817415186</v>
      </c>
      <c r="V171" s="1733">
        <f t="shared" si="10"/>
        <v>-0.3001839655503373</v>
      </c>
      <c r="W171" s="1733">
        <f t="shared" si="10"/>
        <v>-0.27424958276588063</v>
      </c>
      <c r="X171" s="1733">
        <f t="shared" si="10"/>
        <v>-0.3156258220386519</v>
      </c>
      <c r="Y171" s="1733">
        <f t="shared" si="10"/>
        <v>-0.3111467598559485</v>
      </c>
      <c r="Z171" s="1733">
        <f t="shared" si="10"/>
        <v>-0.34223846853003126</v>
      </c>
      <c r="AA171" s="1733">
        <f t="shared" si="10"/>
        <v>-0.3377328988086262</v>
      </c>
      <c r="AB171" s="1733">
        <f t="shared" si="10"/>
        <v>-0.41043560275290336</v>
      </c>
      <c r="AC171" s="1734">
        <f t="shared" si="10"/>
        <v>-0.39</v>
      </c>
      <c r="AD171" s="1734">
        <f t="shared" si="10"/>
        <v>-0.41000000000000003</v>
      </c>
      <c r="AE171" s="1734">
        <f t="shared" si="10"/>
        <v>-0.42200000000000004</v>
      </c>
      <c r="AF171" s="1734">
        <f t="shared" si="10"/>
        <v>-0.4292</v>
      </c>
      <c r="AG171" s="1734">
        <f t="shared" si="10"/>
        <v>-0.43352</v>
      </c>
      <c r="AH171" s="1734">
        <f t="shared" si="10"/>
        <v>-0.436112</v>
      </c>
      <c r="AI171" s="1734">
        <f t="shared" si="10"/>
        <v>-0.4376672</v>
      </c>
      <c r="AJ171" s="1734">
        <f t="shared" si="10"/>
        <v>-0.43860032</v>
      </c>
      <c r="AK171" s="1734">
        <f t="shared" si="10"/>
        <v>-0.439160192</v>
      </c>
      <c r="AL171" s="1734">
        <f t="shared" si="10"/>
        <v>-0.43949611520000004</v>
      </c>
      <c r="AM171" s="1734">
        <f t="shared" si="10"/>
        <v>-0.4396976691200001</v>
      </c>
      <c r="AN171" s="1734">
        <f t="shared" si="10"/>
        <v>-0.4398186014720001</v>
      </c>
      <c r="AO171" s="1734">
        <f t="shared" si="10"/>
        <v>-0.43989116088320007</v>
      </c>
      <c r="AP171" s="1734">
        <f t="shared" si="10"/>
        <v>-0.43993469652992007</v>
      </c>
      <c r="AQ171" s="1734">
        <f t="shared" si="10"/>
        <v>-0.43996081791795205</v>
      </c>
      <c r="AR171" s="1734">
        <f t="shared" si="10"/>
        <v>-0.4399764907507712</v>
      </c>
      <c r="AS171" s="287" t="s">
        <v>1616</v>
      </c>
    </row>
    <row r="172" ht="17.5" customHeight="1" spans="4:45" x14ac:dyDescent="0.25">
      <c r="D172" s="1335">
        <v>47</v>
      </c>
      <c r="E172" s="1719">
        <v>40560</v>
      </c>
      <c r="F172" s="1349" t="s">
        <v>553</v>
      </c>
      <c r="G172" s="26" t="s">
        <v>866</v>
      </c>
      <c r="H172" s="1458" t="s">
        <v>1618</v>
      </c>
      <c r="I172" s="1458"/>
      <c r="J172" s="1458"/>
      <c r="K172" s="1458"/>
      <c r="L172" s="1458"/>
      <c r="M172" s="1458"/>
      <c r="N172" s="1732">
        <f t="shared" si="9"/>
        <v>0.03437121570989965</v>
      </c>
      <c r="O172" s="1733" t="e">
        <f t="shared" si="9"/>
        <v>#REF!</v>
      </c>
      <c r="P172" s="1733" t="e">
        <f t="shared" si="10"/>
        <v>#REF!</v>
      </c>
      <c r="Q172" s="1733" t="e">
        <f t="shared" si="10"/>
        <v>#REF!</v>
      </c>
      <c r="R172" s="1733">
        <f t="shared" si="10"/>
        <v>-0.25161546729373147</v>
      </c>
      <c r="S172" s="1733" t="e">
        <f t="shared" si="10"/>
        <v>#REF!</v>
      </c>
      <c r="T172" s="1733">
        <f t="shared" si="10"/>
        <v>-0.3000699071085897</v>
      </c>
      <c r="U172" s="1733">
        <f t="shared" si="10"/>
        <v>-0.3252732179033034</v>
      </c>
      <c r="V172" s="1733" t="e">
        <f t="shared" si="10"/>
        <v>#REF!</v>
      </c>
      <c r="W172" s="1733">
        <f t="shared" si="10"/>
        <v>-0.3188958197444065</v>
      </c>
      <c r="X172" s="1733">
        <f t="shared" si="10"/>
        <v>-0.39702420648664605</v>
      </c>
      <c r="Y172" s="1733">
        <f t="shared" si="10"/>
        <v>-0.3947587210905216</v>
      </c>
      <c r="Z172" s="1733">
        <f t="shared" si="10"/>
        <v>-0.40208306466662297</v>
      </c>
      <c r="AA172" s="1733">
        <f t="shared" si="10"/>
        <v>-0.3863001662065936</v>
      </c>
      <c r="AB172" s="1733">
        <f t="shared" si="10"/>
        <v>-0.3478126073639364</v>
      </c>
      <c r="AC172" s="1734">
        <f t="shared" si="10"/>
        <v>-0.3778126073639364</v>
      </c>
      <c r="AD172" s="1734">
        <f t="shared" si="10"/>
        <v>-0.3988126073639364</v>
      </c>
      <c r="AE172" s="1734">
        <f t="shared" si="10"/>
        <v>-0.4135126073639364</v>
      </c>
      <c r="AF172" s="1734">
        <f t="shared" si="10"/>
        <v>-0.4238026073639364</v>
      </c>
      <c r="AG172" s="1734">
        <f t="shared" si="10"/>
        <v>-0.43100560736393634</v>
      </c>
      <c r="AH172" s="1734">
        <f t="shared" si="10"/>
        <v>-0.43604770736393633</v>
      </c>
      <c r="AI172" s="1734">
        <f t="shared" si="10"/>
        <v>-0.4395771773639363</v>
      </c>
      <c r="AJ172" s="1734">
        <f t="shared" si="10"/>
        <v>-0.4420478063639363</v>
      </c>
      <c r="AK172" s="1734">
        <f t="shared" si="10"/>
        <v>-0.4437772466639363</v>
      </c>
      <c r="AL172" s="1734">
        <f t="shared" si="10"/>
        <v>-0.44498785487393633</v>
      </c>
      <c r="AM172" s="1734">
        <f t="shared" si="10"/>
        <v>-0.44583528062093636</v>
      </c>
      <c r="AN172" s="1734">
        <f t="shared" si="10"/>
        <v>-0.4464284786438364</v>
      </c>
      <c r="AO172" s="1734">
        <f t="shared" si="10"/>
        <v>-0.44684371725986644</v>
      </c>
      <c r="AP172" s="1734">
        <f t="shared" si="10"/>
        <v>-0.4471343842910875</v>
      </c>
      <c r="AQ172" s="1734">
        <f t="shared" si="10"/>
        <v>-0.44733785121294223</v>
      </c>
      <c r="AR172" s="1734">
        <f t="shared" si="10"/>
        <v>-0.44748027805824053</v>
      </c>
      <c r="AS172" s="287" t="s">
        <v>553</v>
      </c>
    </row>
    <row r="173" ht="17.5" customHeight="1" spans="4:45" x14ac:dyDescent="0.25">
      <c r="D173" s="1335">
        <v>48</v>
      </c>
      <c r="E173" s="1719">
        <v>40558</v>
      </c>
      <c r="F173" s="1349" t="s">
        <v>612</v>
      </c>
      <c r="G173" s="26" t="s">
        <v>866</v>
      </c>
      <c r="H173" s="1458" t="s">
        <v>1619</v>
      </c>
      <c r="I173" s="1458"/>
      <c r="J173" s="1458"/>
      <c r="K173" s="1458"/>
      <c r="L173" s="1458"/>
      <c r="M173" s="1458"/>
      <c r="N173" s="1376">
        <f t="shared" si="9"/>
        <v>0</v>
      </c>
      <c r="O173" s="419">
        <f t="shared" si="9"/>
        <v>-0.02795820438115608</v>
      </c>
      <c r="P173" s="419">
        <f t="shared" si="10"/>
        <v>-0.02974721218072888</v>
      </c>
      <c r="Q173" s="419">
        <f t="shared" si="10"/>
        <v>0.010512157616833476</v>
      </c>
      <c r="R173" s="419">
        <f t="shared" si="10"/>
        <v>0.018366803715713895</v>
      </c>
      <c r="S173" s="419">
        <f t="shared" si="10"/>
        <v>-0.00940334483209172</v>
      </c>
      <c r="T173" s="419">
        <f t="shared" si="10"/>
        <v>-0.01543589803541465</v>
      </c>
      <c r="U173" s="419">
        <f t="shared" si="10"/>
        <v>-0.01042070684290726</v>
      </c>
      <c r="V173" s="419">
        <f t="shared" si="10"/>
        <v>-0.011378312982583544</v>
      </c>
      <c r="W173" s="419">
        <f t="shared" si="10"/>
        <v>-0.011495203825421829</v>
      </c>
      <c r="X173" s="419">
        <f t="shared" si="10"/>
        <v>-0.011017693783579013</v>
      </c>
      <c r="Y173" s="419">
        <f t="shared" si="10"/>
        <v>-0.01165095823940036</v>
      </c>
      <c r="Z173" s="419">
        <f t="shared" si="10"/>
        <v>-0.013921150402853136</v>
      </c>
      <c r="AA173" s="419">
        <f t="shared" si="10"/>
        <v>-0.01486969617555091</v>
      </c>
      <c r="AB173" s="419">
        <f t="shared" si="10"/>
        <v>0.01853089052607016</v>
      </c>
      <c r="AC173" s="1351">
        <f t="shared" si="10"/>
        <v>-0.01042070684290726</v>
      </c>
      <c r="AD173" s="1351">
        <f t="shared" si="10"/>
        <v>-0.011378312982583544</v>
      </c>
      <c r="AE173" s="1351">
        <f t="shared" si="10"/>
        <v>-0.011495203825421829</v>
      </c>
      <c r="AF173" s="1351">
        <f t="shared" si="10"/>
        <v>-0.011017693783579013</v>
      </c>
      <c r="AG173" s="1351">
        <f t="shared" si="10"/>
        <v>-0.01165095823940036</v>
      </c>
      <c r="AH173" s="1351">
        <f t="shared" si="10"/>
        <v>-0.011597070197194794</v>
      </c>
      <c r="AI173" s="1351">
        <f t="shared" si="10"/>
        <v>-0.011687951949467068</v>
      </c>
      <c r="AJ173" s="1351">
        <f t="shared" si="10"/>
        <v>-0.011721907406724724</v>
      </c>
      <c r="AK173" s="1351">
        <f t="shared" si="10"/>
        <v>-0.011945326795354073</v>
      </c>
      <c r="AL173" s="1351">
        <f t="shared" si="10"/>
        <v>-0.011968976517795528</v>
      </c>
      <c r="AM173" s="1351">
        <f t="shared" si="10"/>
        <v>-0.012085062050515287</v>
      </c>
      <c r="AN173" s="1351">
        <f t="shared" si="10"/>
        <v>-0.012178736906624776</v>
      </c>
      <c r="AO173" s="1351">
        <f t="shared" si="10"/>
        <v>-0.012299788454554962</v>
      </c>
      <c r="AP173" s="1351">
        <f t="shared" si="10"/>
        <v>-0.01237759182497853</v>
      </c>
      <c r="AQ173" s="1351">
        <f t="shared" si="10"/>
        <v>-0.01248786247056501</v>
      </c>
      <c r="AR173" s="1351">
        <f t="shared" si="10"/>
        <v>-0.01258537239538609</v>
      </c>
      <c r="AS173" s="287" t="s">
        <v>612</v>
      </c>
    </row>
    <row r="174" ht="17.5" customHeight="1" spans="4:45" x14ac:dyDescent="0.25">
      <c r="D174" s="1335">
        <v>49</v>
      </c>
      <c r="E174" s="1722">
        <v>40554</v>
      </c>
      <c r="F174" s="1349" t="s">
        <v>936</v>
      </c>
      <c r="G174" s="26" t="s">
        <v>866</v>
      </c>
      <c r="H174" s="1458" t="s">
        <v>1620</v>
      </c>
      <c r="I174" s="1458"/>
      <c r="J174" s="1458"/>
      <c r="K174" s="1458"/>
      <c r="L174" s="1458"/>
      <c r="M174" s="1458"/>
      <c r="N174" s="1376">
        <f t="shared" si="9"/>
        <v>0</v>
      </c>
      <c r="O174" s="419">
        <f t="shared" si="9"/>
        <v>-1.037</v>
      </c>
      <c r="P174" s="419">
        <f t="shared" ref="P174:U178" si="11">P115-P56</f>
        <v>-1.031815</v>
      </c>
      <c r="Q174" s="419">
        <f t="shared" si="11"/>
        <v>-1.0514194849999998</v>
      </c>
      <c r="R174" s="419">
        <f t="shared" si="11"/>
        <v>-1.1691784673199999</v>
      </c>
      <c r="S174" s="419">
        <f t="shared" si="11"/>
        <v>-1.2802504217153998</v>
      </c>
      <c r="T174" s="419">
        <f t="shared" si="11"/>
        <v>-1.3340209394274467</v>
      </c>
      <c r="U174" s="419">
        <f t="shared" si="11"/>
        <v>-1.4714250961884736</v>
      </c>
      <c r="V174" s="419">
        <f t="shared" si="10"/>
        <v>-1.6568246583082211</v>
      </c>
      <c r="W174" s="419">
        <f t="shared" si="10"/>
        <v>-1.8523299679885914</v>
      </c>
      <c r="X174" s="419">
        <f t="shared" si="10"/>
        <v>-1.9727314159078497</v>
      </c>
      <c r="Y174" s="419">
        <f t="shared" si="10"/>
        <v>-2.1167408092691224</v>
      </c>
      <c r="Z174" s="419">
        <f t="shared" si="10"/>
        <v>-2.2500954802530773</v>
      </c>
      <c r="AA174" s="419">
        <f t="shared" si="10"/>
        <v>-2.2635960531345956</v>
      </c>
      <c r="AB174" s="419">
        <f t="shared" si="10"/>
        <v>-2.1572070386372695</v>
      </c>
      <c r="AC174" s="1351">
        <f t="shared" si="10"/>
        <v>-2.301216431998542</v>
      </c>
      <c r="AD174" s="1351">
        <f t="shared" si="10"/>
        <v>-2.445225825359815</v>
      </c>
      <c r="AE174" s="1351">
        <f t="shared" si="10"/>
        <v>-2.5748342793849606</v>
      </c>
      <c r="AF174" s="1351">
        <f t="shared" si="10"/>
        <v>-2.6914818880075915</v>
      </c>
      <c r="AG174" s="1351">
        <f t="shared" si="10"/>
        <v>-2.7964647357679593</v>
      </c>
      <c r="AH174" s="1351">
        <f t="shared" si="10"/>
        <v>-2.8909492987522905</v>
      </c>
      <c r="AI174" s="1351">
        <f t="shared" si="10"/>
        <v>-2.9759854054381885</v>
      </c>
      <c r="AJ174" s="1351">
        <f t="shared" si="10"/>
        <v>-3.052517901455497</v>
      </c>
      <c r="AK174" s="1351">
        <f t="shared" si="10"/>
        <v>-3.1213971478710745</v>
      </c>
      <c r="AL174" s="1351">
        <f t="shared" si="10"/>
        <v>-3.1833884696450943</v>
      </c>
      <c r="AM174" s="1351">
        <f t="shared" si="10"/>
        <v>-3.239180659241712</v>
      </c>
      <c r="AN174" s="1351">
        <f t="shared" si="10"/>
        <v>-3.289393629878668</v>
      </c>
      <c r="AO174" s="1351">
        <f t="shared" si="10"/>
        <v>-3.334585303451928</v>
      </c>
      <c r="AP174" s="1351">
        <f t="shared" si="10"/>
        <v>-3.3752578096678625</v>
      </c>
      <c r="AQ174" s="1351">
        <f t="shared" si="10"/>
        <v>-3.4118630652622035</v>
      </c>
      <c r="AR174" s="1351">
        <f t="shared" si="10"/>
        <v>-3.4448077952971103</v>
      </c>
      <c r="AS174" s="287" t="s">
        <v>936</v>
      </c>
    </row>
    <row r="175" ht="17.5" customHeight="1" spans="4:45" x14ac:dyDescent="0.25">
      <c r="D175" s="1335">
        <v>50</v>
      </c>
      <c r="E175" s="1724"/>
      <c r="F175" s="1349" t="s">
        <v>1621</v>
      </c>
      <c r="G175" s="26" t="s">
        <v>277</v>
      </c>
      <c r="H175" s="1458" t="s">
        <v>928</v>
      </c>
      <c r="I175" s="1458"/>
      <c r="J175" s="1458"/>
      <c r="K175" s="1458"/>
      <c r="L175" s="1458"/>
      <c r="M175" s="1458"/>
      <c r="N175" s="1376">
        <f t="shared" si="9"/>
        <v>0</v>
      </c>
      <c r="O175" s="419" t="e">
        <f t="shared" si="9"/>
        <v>#REF!</v>
      </c>
      <c r="P175" s="419" t="e">
        <f t="shared" si="11"/>
        <v>#REF!</v>
      </c>
      <c r="Q175" s="419" t="e">
        <f t="shared" si="11"/>
        <v>#REF!</v>
      </c>
      <c r="R175" s="419" t="e">
        <f t="shared" si="11"/>
        <v>#REF!</v>
      </c>
      <c r="S175" s="419" t="e">
        <f t="shared" si="11"/>
        <v>#REF!</v>
      </c>
      <c r="T175" s="419" t="e">
        <f t="shared" si="11"/>
        <v>#REF!</v>
      </c>
      <c r="U175" s="419" t="e">
        <f t="shared" si="11"/>
        <v>#REF!</v>
      </c>
      <c r="V175" s="419" t="e">
        <f t="shared" si="10"/>
        <v>#REF!</v>
      </c>
      <c r="W175" s="419" t="e">
        <f t="shared" si="10"/>
        <v>#REF!</v>
      </c>
      <c r="X175" s="419" t="e">
        <f t="shared" si="10"/>
        <v>#REF!</v>
      </c>
      <c r="Y175" s="419" t="e">
        <f t="shared" si="10"/>
        <v>#REF!</v>
      </c>
      <c r="Z175" s="419" t="e">
        <f t="shared" si="10"/>
        <v>#REF!</v>
      </c>
      <c r="AA175" s="419" t="e">
        <f t="shared" si="10"/>
        <v>#REF!</v>
      </c>
      <c r="AB175" s="419">
        <f t="shared" si="10"/>
        <v>0</v>
      </c>
      <c r="AC175" s="1351">
        <f t="shared" si="10"/>
        <v>0</v>
      </c>
      <c r="AD175" s="1351">
        <f t="shared" si="10"/>
        <v>0</v>
      </c>
      <c r="AE175" s="1351">
        <f t="shared" si="10"/>
        <v>0</v>
      </c>
      <c r="AF175" s="1351">
        <f t="shared" si="10"/>
        <v>0</v>
      </c>
      <c r="AG175" s="1351">
        <f t="shared" si="10"/>
        <v>0</v>
      </c>
      <c r="AH175" s="1351">
        <f t="shared" si="10"/>
        <v>0</v>
      </c>
      <c r="AI175" s="1351">
        <f t="shared" si="10"/>
        <v>0</v>
      </c>
      <c r="AJ175" s="1351">
        <f t="shared" si="10"/>
        <v>0</v>
      </c>
      <c r="AK175" s="1351">
        <f t="shared" si="10"/>
        <v>0</v>
      </c>
      <c r="AL175" s="1351">
        <f t="shared" si="10"/>
        <v>0</v>
      </c>
      <c r="AM175" s="1351">
        <f t="shared" si="10"/>
        <v>0</v>
      </c>
      <c r="AN175" s="1351">
        <f t="shared" si="10"/>
        <v>0</v>
      </c>
      <c r="AO175" s="1351">
        <f t="shared" si="10"/>
        <v>0</v>
      </c>
      <c r="AP175" s="1351">
        <f t="shared" si="10"/>
        <v>0</v>
      </c>
      <c r="AQ175" s="1351">
        <f t="shared" si="10"/>
        <v>0</v>
      </c>
      <c r="AR175" s="1351">
        <f t="shared" si="10"/>
        <v>0</v>
      </c>
      <c r="AS175" s="287" t="s">
        <v>1621</v>
      </c>
    </row>
    <row r="176" ht="17.5" customHeight="1" spans="4:45" x14ac:dyDescent="0.25">
      <c r="D176" s="1335">
        <v>51</v>
      </c>
      <c r="E176" s="1724"/>
      <c r="F176" s="1349" t="s">
        <v>24</v>
      </c>
      <c r="G176" s="26" t="s">
        <v>277</v>
      </c>
      <c r="H176" s="1458" t="s">
        <v>952</v>
      </c>
      <c r="I176" s="1458"/>
      <c r="J176" s="1458"/>
      <c r="K176" s="1458"/>
      <c r="L176" s="1725">
        <v>392.2955639834661</v>
      </c>
      <c r="M176" s="1453">
        <v>296.96774193548384</v>
      </c>
      <c r="N176" s="1376">
        <f t="shared" si="9"/>
        <v>0</v>
      </c>
      <c r="O176" s="419" t="e">
        <f t="shared" si="9"/>
        <v>#REF!</v>
      </c>
      <c r="P176" s="419" t="e">
        <f t="shared" si="11"/>
        <v>#REF!</v>
      </c>
      <c r="Q176" s="419" t="e">
        <f t="shared" si="11"/>
        <v>#REF!</v>
      </c>
      <c r="R176" s="419" t="e">
        <f t="shared" si="11"/>
        <v>#REF!</v>
      </c>
      <c r="S176" s="419" t="e">
        <f t="shared" si="11"/>
        <v>#REF!</v>
      </c>
      <c r="T176" s="419" t="e">
        <f t="shared" si="11"/>
        <v>#REF!</v>
      </c>
      <c r="U176" s="419" t="e">
        <f t="shared" si="11"/>
        <v>#REF!</v>
      </c>
      <c r="V176" s="419" t="e">
        <f t="shared" si="10"/>
        <v>#REF!</v>
      </c>
      <c r="W176" s="419" t="e">
        <f t="shared" si="10"/>
        <v>#REF!</v>
      </c>
      <c r="X176" s="419" t="e">
        <f t="shared" si="10"/>
        <v>#REF!</v>
      </c>
      <c r="Y176" s="419" t="e">
        <f t="shared" si="10"/>
        <v>#REF!</v>
      </c>
      <c r="Z176" s="419" t="e">
        <f t="shared" si="10"/>
        <v>#REF!</v>
      </c>
      <c r="AA176" s="419" t="e">
        <f t="shared" si="10"/>
        <v>#REF!</v>
      </c>
      <c r="AB176" s="419">
        <f t="shared" si="10"/>
        <v>0</v>
      </c>
      <c r="AC176" s="1351">
        <f t="shared" si="10"/>
        <v>0</v>
      </c>
      <c r="AD176" s="1351">
        <f t="shared" si="10"/>
        <v>0</v>
      </c>
      <c r="AE176" s="1351">
        <f t="shared" si="10"/>
        <v>0</v>
      </c>
      <c r="AF176" s="1351">
        <f t="shared" si="10"/>
        <v>0</v>
      </c>
      <c r="AG176" s="1351">
        <f t="shared" si="10"/>
        <v>0</v>
      </c>
      <c r="AH176" s="1351">
        <f t="shared" si="10"/>
        <v>0</v>
      </c>
      <c r="AI176" s="1351">
        <f t="shared" si="10"/>
        <v>0</v>
      </c>
      <c r="AJ176" s="1351">
        <f t="shared" si="10"/>
        <v>0</v>
      </c>
      <c r="AK176" s="1351">
        <f t="shared" si="10"/>
        <v>0</v>
      </c>
      <c r="AL176" s="1351">
        <f t="shared" si="10"/>
        <v>0</v>
      </c>
      <c r="AM176" s="1351">
        <f t="shared" si="10"/>
        <v>0</v>
      </c>
      <c r="AN176" s="1351">
        <f t="shared" si="10"/>
        <v>0</v>
      </c>
      <c r="AO176" s="1351">
        <f t="shared" si="10"/>
        <v>0</v>
      </c>
      <c r="AP176" s="1351">
        <f t="shared" si="10"/>
        <v>0</v>
      </c>
      <c r="AQ176" s="1351">
        <f t="shared" si="10"/>
        <v>0</v>
      </c>
      <c r="AR176" s="1351">
        <f t="shared" si="10"/>
        <v>0</v>
      </c>
      <c r="AS176" s="287" t="s">
        <v>24</v>
      </c>
    </row>
    <row r="177" ht="17.5" customHeight="1" spans="4:45" x14ac:dyDescent="0.25">
      <c r="D177" s="1335">
        <v>52</v>
      </c>
      <c r="E177" s="1724"/>
      <c r="F177" s="1349" t="s">
        <v>116</v>
      </c>
      <c r="G177" s="26" t="s">
        <v>277</v>
      </c>
      <c r="H177" s="1458" t="s">
        <v>1622</v>
      </c>
      <c r="I177" s="1458"/>
      <c r="J177" s="1458"/>
      <c r="K177" s="1458"/>
      <c r="L177" s="1458"/>
      <c r="M177" s="1727">
        <v>610.838</v>
      </c>
      <c r="N177" s="1376">
        <f t="shared" si="9"/>
        <v>0</v>
      </c>
      <c r="O177" s="419" t="e">
        <f t="shared" si="9"/>
        <v>#REF!</v>
      </c>
      <c r="P177" s="419" t="e">
        <f t="shared" si="11"/>
        <v>#REF!</v>
      </c>
      <c r="Q177" s="419" t="e">
        <f t="shared" si="11"/>
        <v>#REF!</v>
      </c>
      <c r="R177" s="419" t="e">
        <f t="shared" si="11"/>
        <v>#REF!</v>
      </c>
      <c r="S177" s="419" t="e">
        <f t="shared" si="11"/>
        <v>#REF!</v>
      </c>
      <c r="T177" s="419" t="e">
        <f t="shared" si="11"/>
        <v>#REF!</v>
      </c>
      <c r="U177" s="419" t="e">
        <f t="shared" si="11"/>
        <v>#REF!</v>
      </c>
      <c r="V177" s="419" t="e">
        <f t="shared" si="10"/>
        <v>#REF!</v>
      </c>
      <c r="W177" s="419" t="e">
        <f t="shared" si="10"/>
        <v>#REF!</v>
      </c>
      <c r="X177" s="419" t="e">
        <f t="shared" si="10"/>
        <v>#REF!</v>
      </c>
      <c r="Y177" s="419" t="e">
        <f t="shared" si="10"/>
        <v>#REF!</v>
      </c>
      <c r="Z177" s="419" t="e">
        <f t="shared" si="10"/>
        <v>#REF!</v>
      </c>
      <c r="AA177" s="419" t="e">
        <f t="shared" si="10"/>
        <v>#REF!</v>
      </c>
      <c r="AB177" s="419">
        <f t="shared" si="10"/>
        <v>0</v>
      </c>
      <c r="AC177" s="1351">
        <f t="shared" si="10"/>
        <v>0</v>
      </c>
      <c r="AD177" s="1351">
        <f t="shared" si="10"/>
        <v>0</v>
      </c>
      <c r="AE177" s="1351">
        <f t="shared" si="10"/>
        <v>0</v>
      </c>
      <c r="AF177" s="1351">
        <f t="shared" si="10"/>
        <v>0</v>
      </c>
      <c r="AG177" s="1351">
        <f t="shared" si="10"/>
        <v>0</v>
      </c>
      <c r="AH177" s="1351">
        <f t="shared" si="10"/>
        <v>0</v>
      </c>
      <c r="AI177" s="1351">
        <f t="shared" si="10"/>
        <v>0</v>
      </c>
      <c r="AJ177" s="1351">
        <f t="shared" si="10"/>
        <v>0</v>
      </c>
      <c r="AK177" s="1351">
        <f t="shared" si="10"/>
        <v>0</v>
      </c>
      <c r="AL177" s="1351">
        <f t="shared" si="10"/>
        <v>0</v>
      </c>
      <c r="AM177" s="1351">
        <f t="shared" si="10"/>
        <v>0</v>
      </c>
      <c r="AN177" s="1351">
        <f t="shared" si="10"/>
        <v>0</v>
      </c>
      <c r="AO177" s="1351">
        <f t="shared" si="10"/>
        <v>0</v>
      </c>
      <c r="AP177" s="1351">
        <f t="shared" si="10"/>
        <v>0</v>
      </c>
      <c r="AQ177" s="1351">
        <f t="shared" si="10"/>
        <v>0</v>
      </c>
      <c r="AR177" s="1351">
        <f t="shared" si="10"/>
        <v>0</v>
      </c>
      <c r="AS177" s="287" t="s">
        <v>116</v>
      </c>
    </row>
    <row r="178" ht="17.5" customHeight="1" spans="4:45" x14ac:dyDescent="0.25">
      <c r="D178" s="1335">
        <v>53</v>
      </c>
      <c r="E178" s="1724"/>
      <c r="F178" s="1349" t="s">
        <v>312</v>
      </c>
      <c r="G178" s="26" t="s">
        <v>277</v>
      </c>
      <c r="H178" s="1458" t="s">
        <v>1623</v>
      </c>
      <c r="I178" s="1458"/>
      <c r="J178" s="1458"/>
      <c r="K178" s="1458"/>
      <c r="L178" s="1458"/>
      <c r="M178" s="1458"/>
      <c r="N178" s="1376">
        <f t="shared" si="9"/>
        <v>0</v>
      </c>
      <c r="O178" s="419" t="e">
        <f t="shared" si="9"/>
        <v>#REF!</v>
      </c>
      <c r="P178" s="419" t="e">
        <f t="shared" si="11"/>
        <v>#REF!</v>
      </c>
      <c r="Q178" s="419" t="e">
        <f t="shared" si="11"/>
        <v>#REF!</v>
      </c>
      <c r="R178" s="419" t="e">
        <f t="shared" si="11"/>
        <v>#REF!</v>
      </c>
      <c r="S178" s="419" t="e">
        <f t="shared" si="11"/>
        <v>#REF!</v>
      </c>
      <c r="T178" s="419">
        <f t="shared" si="11"/>
        <v>40.0226</v>
      </c>
      <c r="U178" s="419">
        <f t="shared" si="11"/>
        <v>1.707</v>
      </c>
      <c r="V178" s="419">
        <f t="shared" si="10"/>
        <v>107.4624</v>
      </c>
      <c r="W178" s="419">
        <f t="shared" si="10"/>
        <v>96.1435</v>
      </c>
      <c r="X178" s="419">
        <f t="shared" si="10"/>
        <v>126.0953</v>
      </c>
      <c r="Y178" s="419">
        <f t="shared" si="10"/>
        <v>17.1794</v>
      </c>
      <c r="Z178" s="419">
        <f t="shared" si="10"/>
        <v>-378.2842</v>
      </c>
      <c r="AA178" s="419">
        <f t="shared" si="10"/>
        <v>327.9303</v>
      </c>
      <c r="AB178" s="419">
        <f t="shared" si="10"/>
        <v>292.6882</v>
      </c>
      <c r="AC178" s="1351">
        <f t="shared" si="10"/>
        <v>0</v>
      </c>
      <c r="AD178" s="1351">
        <f t="shared" si="10"/>
        <v>0</v>
      </c>
      <c r="AE178" s="1351">
        <f t="shared" si="10"/>
        <v>0</v>
      </c>
      <c r="AF178" s="1351">
        <f t="shared" si="10"/>
        <v>0</v>
      </c>
      <c r="AG178" s="1351">
        <f t="shared" si="10"/>
        <v>0</v>
      </c>
      <c r="AH178" s="1351">
        <f t="shared" si="10"/>
        <v>0</v>
      </c>
      <c r="AI178" s="1351">
        <f t="shared" si="10"/>
        <v>0</v>
      </c>
      <c r="AJ178" s="1351">
        <f t="shared" si="10"/>
        <v>0</v>
      </c>
      <c r="AK178" s="1351">
        <f t="shared" si="10"/>
        <v>0</v>
      </c>
      <c r="AL178" s="1351">
        <f t="shared" si="10"/>
        <v>0</v>
      </c>
      <c r="AM178" s="1351">
        <f t="shared" si="10"/>
        <v>0</v>
      </c>
      <c r="AN178" s="1351">
        <f t="shared" si="10"/>
        <v>0</v>
      </c>
      <c r="AO178" s="1351">
        <f t="shared" si="10"/>
        <v>0</v>
      </c>
      <c r="AP178" s="1351">
        <f t="shared" si="10"/>
        <v>0</v>
      </c>
      <c r="AQ178" s="1351">
        <f t="shared" si="10"/>
        <v>0</v>
      </c>
      <c r="AR178" s="1351">
        <f t="shared" si="10"/>
        <v>0</v>
      </c>
      <c r="AS178" s="287" t="s">
        <v>312</v>
      </c>
    </row>
    <row r="179" ht="17.5" customHeight="1" spans="4:45" x14ac:dyDescent="0.25">
      <c r="D179" s="1707">
        <v>54</v>
      </c>
      <c r="E179" s="1728">
        <v>40552</v>
      </c>
      <c r="F179" s="1729" t="s">
        <v>1624</v>
      </c>
      <c r="G179" s="692" t="s">
        <v>866</v>
      </c>
      <c r="H179" s="1730" t="s">
        <v>1625</v>
      </c>
      <c r="I179" s="1730"/>
      <c r="J179" s="1730"/>
      <c r="K179" s="1730"/>
      <c r="L179" s="1458"/>
      <c r="M179" s="1458"/>
      <c r="N179" s="1376">
        <f t="shared" si="9"/>
        <v>0</v>
      </c>
      <c r="O179" s="419" t="e">
        <f t="shared" si="9"/>
        <v>#REF!</v>
      </c>
      <c r="P179" s="419" t="e">
        <f t="shared" si="10"/>
        <v>#REF!</v>
      </c>
      <c r="Q179" s="419" t="e">
        <f t="shared" si="10"/>
        <v>#REF!</v>
      </c>
      <c r="R179" s="419" t="e">
        <f t="shared" si="10"/>
        <v>#REF!</v>
      </c>
      <c r="S179" s="419" t="e">
        <f t="shared" si="10"/>
        <v>#REF!</v>
      </c>
      <c r="T179" s="419">
        <f t="shared" si="10"/>
        <v>-0.0448715823704447</v>
      </c>
      <c r="U179" s="419">
        <f t="shared" si="10"/>
        <v>-0.054086981552360254</v>
      </c>
      <c r="V179" s="419">
        <f t="shared" si="10"/>
        <v>-0.057340173506267515</v>
      </c>
      <c r="W179" s="419">
        <f t="shared" si="10"/>
        <v>-0.06345047858848171</v>
      </c>
      <c r="X179" s="419">
        <f t="shared" ref="X179:AR179" si="12">X120-X61</f>
        <v>-0.0731175096218607</v>
      </c>
      <c r="Y179" s="419">
        <f t="shared" si="12"/>
        <v>-0.09606158055390143</v>
      </c>
      <c r="Z179" s="419">
        <f t="shared" si="12"/>
        <v>-0.12889058349208682</v>
      </c>
      <c r="AA179" s="419">
        <f t="shared" si="12"/>
        <v>-0.15550492231931867</v>
      </c>
      <c r="AB179" s="419">
        <f t="shared" si="12"/>
        <v>-0.06411146360941819</v>
      </c>
      <c r="AC179" s="1351">
        <f t="shared" si="12"/>
        <v>-0.05</v>
      </c>
      <c r="AD179" s="1351">
        <f t="shared" si="12"/>
        <v>-0.04576656091717455</v>
      </c>
      <c r="AE179" s="1351">
        <f t="shared" si="12"/>
        <v>-0.04364984137576182</v>
      </c>
      <c r="AF179" s="1351">
        <f t="shared" si="12"/>
        <v>-0.04259148160505545</v>
      </c>
      <c r="AG179" s="1351">
        <f t="shared" si="12"/>
        <v>-0.042062301719702266</v>
      </c>
      <c r="AH179" s="1351">
        <f t="shared" si="12"/>
        <v>-0.041797711777025674</v>
      </c>
      <c r="AI179" s="1351">
        <f t="shared" si="12"/>
        <v>-0.041665416805687375</v>
      </c>
      <c r="AJ179" s="1351">
        <f t="shared" si="12"/>
        <v>-0.04159926932001823</v>
      </c>
      <c r="AK179" s="1351">
        <f t="shared" si="12"/>
        <v>-0.041566195577183655</v>
      </c>
      <c r="AL179" s="1351">
        <f t="shared" si="12"/>
        <v>-0.041549658705766365</v>
      </c>
      <c r="AM179" s="1351">
        <f t="shared" si="12"/>
        <v>-0.041541390270057724</v>
      </c>
      <c r="AN179" s="1351">
        <f t="shared" si="12"/>
        <v>-0.0415372560522034</v>
      </c>
      <c r="AO179" s="1351">
        <f t="shared" si="12"/>
        <v>-0.04153518894327624</v>
      </c>
      <c r="AP179" s="1351">
        <f t="shared" si="12"/>
        <v>-0.041534155388812666</v>
      </c>
      <c r="AQ179" s="1351">
        <f t="shared" si="12"/>
        <v>-0.04153363861158088</v>
      </c>
      <c r="AR179" s="1351">
        <f t="shared" si="12"/>
        <v>-0.04153338022296499</v>
      </c>
      <c r="AS179" s="287" t="s">
        <v>1624</v>
      </c>
    </row>
    <row r="180" ht="15.5" customHeight="1" spans="12:45" x14ac:dyDescent="0.25">
      <c r="L180" s="1731">
        <v>1993</v>
      </c>
      <c r="M180" s="1437">
        <v>1994</v>
      </c>
      <c r="N180" s="1436">
        <v>1995</v>
      </c>
      <c r="O180" s="1437">
        <v>1996</v>
      </c>
      <c r="P180" s="1437">
        <v>1997</v>
      </c>
      <c r="Q180" s="1437">
        <v>1998</v>
      </c>
      <c r="R180" s="1437">
        <v>1999</v>
      </c>
      <c r="S180" s="1437">
        <v>2000</v>
      </c>
      <c r="T180" s="1437">
        <v>2001</v>
      </c>
      <c r="U180" s="1437">
        <v>2002</v>
      </c>
      <c r="V180" s="1437">
        <v>2003</v>
      </c>
      <c r="W180" s="1437">
        <v>2004</v>
      </c>
      <c r="X180" s="1437">
        <v>2005</v>
      </c>
      <c r="Y180" s="1437">
        <v>2006</v>
      </c>
      <c r="Z180" s="1437">
        <v>2007</v>
      </c>
      <c r="AA180" s="1437">
        <v>2008</v>
      </c>
      <c r="AB180" s="1437">
        <v>2009</v>
      </c>
      <c r="AC180" s="1437">
        <v>2010</v>
      </c>
      <c r="AD180" s="1437">
        <v>2011</v>
      </c>
      <c r="AE180" s="1437">
        <v>2012</v>
      </c>
      <c r="AF180" s="1437">
        <v>2013</v>
      </c>
      <c r="AG180" s="1437">
        <v>2014</v>
      </c>
      <c r="AH180" s="1437">
        <v>2015</v>
      </c>
      <c r="AI180" s="1437">
        <v>2016</v>
      </c>
      <c r="AJ180" s="1437">
        <v>2017</v>
      </c>
      <c r="AK180" s="1437">
        <v>2018</v>
      </c>
      <c r="AL180" s="1437">
        <v>2019</v>
      </c>
      <c r="AM180" s="1437">
        <v>2020</v>
      </c>
      <c r="AN180" s="1437">
        <v>2021</v>
      </c>
      <c r="AO180" s="1437">
        <v>2022</v>
      </c>
      <c r="AP180" s="1437">
        <v>2023</v>
      </c>
      <c r="AQ180" s="1437">
        <v>2024</v>
      </c>
      <c r="AR180" s="1438">
        <v>2025</v>
      </c>
      <c r="AS180" s="28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P213"/>
  <sheetViews>
    <sheetView workbookViewId="0" zoomScale="70" zoomScaleNormal="70">
      <selection activeCell="CV50" sqref="CV50"/>
    </sheetView>
  </sheetViews>
  <sheetFormatPr defaultRowHeight="14.5" outlineLevelRow="0" outlineLevelCol="0" x14ac:dyDescent="0" defaultColWidth="8.83203125" customHeight="1"/>
  <cols>
    <col min="2" max="2" width="10.1640625" customWidth="1"/>
    <col min="3" max="3" width="11" customWidth="1"/>
    <col min="4" max="4" width="9.33203125" customWidth="1"/>
    <col min="5" max="5" width="11.5" customWidth="1"/>
    <col min="6" max="6" width="9.83203125" customWidth="1"/>
    <col min="7" max="7" width="11.1640625" customWidth="1"/>
    <col min="8" max="9" width="10.6640625" customWidth="1"/>
    <col min="10" max="10" width="10.33203125" customWidth="1"/>
    <col min="11" max="11" width="10.1640625" customWidth="1"/>
    <col min="14" max="14" width="9.6640625" customWidth="1"/>
    <col min="15" max="15" width="9.83203125" customWidth="1"/>
    <col min="25" max="25" width="11.6640625" customWidth="1"/>
    <col min="27" max="27" width="9.83203125" customWidth="1"/>
    <col min="28" max="28" width="9.1640625" customWidth="1"/>
    <col min="29" max="29" width="8.83203125" customWidth="1"/>
    <col min="35" max="35" width="12.5" customWidth="1"/>
    <col min="37" max="37" width="10.6640625" customWidth="1"/>
    <col min="43" max="43" width="10" customWidth="1"/>
    <col min="44" max="44" width="16.5" customWidth="1"/>
    <col min="45" max="46" width="9.33203125" customWidth="1"/>
    <col min="48" max="48" width="8.5" customWidth="1"/>
    <col min="50" max="50" width="10.83203125" customWidth="1"/>
    <col min="51" max="51" width="9.5" customWidth="1"/>
    <col min="52" max="52" width="10.5" customWidth="1"/>
    <col min="53" max="53" width="10.1640625" customWidth="1"/>
    <col min="54" max="54" width="9.5" customWidth="1"/>
    <col min="56" max="56" width="10" customWidth="1"/>
    <col min="58" max="58" width="9.5" customWidth="1"/>
    <col min="64" max="64" width="14.33203125" customWidth="1"/>
    <col min="71" max="71" width="9.5" customWidth="1"/>
    <col min="72" max="74" width="10.33203125" customWidth="1"/>
    <col min="75" max="75" width="11" customWidth="1"/>
    <col min="76" max="77" width="10.33203125" customWidth="1"/>
    <col min="78" max="80" width="12.1640625" customWidth="1"/>
    <col min="84" max="84" width="12.5" customWidth="1"/>
    <col min="88" max="88" width="9.5" customWidth="1"/>
    <col min="89" max="90" width="11" customWidth="1"/>
    <col min="91" max="91" width="13.6640625" customWidth="1"/>
    <col min="94" max="95" width="9.6640625" customWidth="1"/>
    <col min="100" max="100" width="11" customWidth="1"/>
    <col min="101" max="101" width="12.5" customWidth="1"/>
    <col min="104" max="105" width="11" customWidth="1"/>
    <col min="106" max="106" width="10.1640625" customWidth="1"/>
    <col min="107" max="107" width="10.33203125" customWidth="1"/>
    <col min="108" max="108" width="11.6640625" customWidth="1"/>
    <col min="110" max="110" width="9.83203125" customWidth="1"/>
    <col min="112" max="112" width="10.1640625" customWidth="1"/>
    <col min="114" max="114" width="12.33203125" customWidth="1"/>
    <col min="115" max="115" width="10.1640625" customWidth="1"/>
    <col min="125" max="125" width="11.1640625" customWidth="1"/>
    <col min="126" max="126" width="10.33203125" customWidth="1"/>
    <col min="127" max="127" width="10.5" customWidth="1"/>
    <col min="128" max="128" width="11.5" customWidth="1"/>
    <col min="129" max="129" width="9.5" customWidth="1"/>
    <col min="130" max="131" width="10.5" customWidth="1"/>
    <col min="132" max="132" width="10.33203125" customWidth="1"/>
    <col min="133" max="133" width="10.5" customWidth="1"/>
    <col min="134" max="134" width="9.5" customWidth="1"/>
    <col min="151" max="151" width="10.83203125" customWidth="1"/>
    <col min="152" max="152" width="11" customWidth="1"/>
    <col min="160" max="160" width="10.83203125" customWidth="1"/>
    <col min="162" max="162" width="10.6640625" customWidth="1"/>
    <col min="169" max="169" width="11.33203125" customWidth="1"/>
    <col min="173" max="173" width="11.5" customWidth="1"/>
  </cols>
  <sheetData>
    <row r="4" ht="17.5" customHeight="1" spans="6:54" x14ac:dyDescent="0.25">
      <c r="F4" s="1554" t="s">
        <v>159</v>
      </c>
      <c r="G4" s="391" t="s">
        <v>1633</v>
      </c>
      <c r="H4" s="391" t="s">
        <v>626</v>
      </c>
      <c r="I4" s="391" t="s">
        <v>1634</v>
      </c>
      <c r="Y4" s="391" t="s">
        <v>1634</v>
      </c>
      <c r="AC4" s="1554" t="s">
        <v>159</v>
      </c>
      <c r="AD4" s="391" t="s">
        <v>279</v>
      </c>
      <c r="AE4" s="391" t="s">
        <v>626</v>
      </c>
      <c r="AF4" s="391" t="s">
        <v>1635</v>
      </c>
      <c r="AG4" s="391" t="s">
        <v>1636</v>
      </c>
      <c r="AY4" s="1554" t="s">
        <v>159</v>
      </c>
      <c r="AZ4" s="391" t="s">
        <v>279</v>
      </c>
      <c r="BA4" s="391" t="s">
        <v>1637</v>
      </c>
      <c r="BB4" s="391" t="s">
        <v>1638</v>
      </c>
    </row>
    <row r="5" ht="17.5" customHeight="1" spans="6:103" x14ac:dyDescent="0.25">
      <c r="F5" s="1567">
        <v>43131</v>
      </c>
      <c r="G5" s="843" t="s">
        <v>706</v>
      </c>
      <c r="H5" s="843" t="s">
        <v>706</v>
      </c>
      <c r="I5" s="843" t="s">
        <v>840</v>
      </c>
      <c r="Y5" s="1735">
        <f>F5</f>
        <v>43131</v>
      </c>
      <c r="AC5" s="1567">
        <v>43129</v>
      </c>
      <c r="AD5" s="843" t="s">
        <v>706</v>
      </c>
      <c r="AE5" s="843" t="s">
        <v>706</v>
      </c>
      <c r="AF5" s="843" t="s">
        <v>840</v>
      </c>
      <c r="AG5" s="843" t="s">
        <v>840</v>
      </c>
      <c r="AY5" s="1567">
        <v>43129</v>
      </c>
      <c r="AZ5" s="843" t="s">
        <v>706</v>
      </c>
      <c r="BA5" s="843" t="s">
        <v>706</v>
      </c>
      <c r="BB5" s="843" t="s">
        <v>840</v>
      </c>
      <c r="CI5" s="1554" t="s">
        <v>159</v>
      </c>
      <c r="CJ5" s="393" t="s">
        <v>1639</v>
      </c>
      <c r="CK5" s="1736" t="s">
        <v>983</v>
      </c>
      <c r="CL5" s="391" t="s">
        <v>41</v>
      </c>
      <c r="CM5" s="1736" t="s">
        <v>983</v>
      </c>
      <c r="CN5" s="391" t="s">
        <v>1640</v>
      </c>
      <c r="CO5" s="1736" t="s">
        <v>983</v>
      </c>
      <c r="CP5" s="391" t="s">
        <v>1641</v>
      </c>
      <c r="CQ5" s="1736" t="s">
        <v>983</v>
      </c>
      <c r="CR5" s="391" t="s">
        <v>1642</v>
      </c>
      <c r="CS5" s="1736" t="s">
        <v>983</v>
      </c>
      <c r="CT5" s="391" t="s">
        <v>1643</v>
      </c>
      <c r="CU5" s="1736" t="s">
        <v>983</v>
      </c>
      <c r="CV5" s="391" t="s">
        <v>905</v>
      </c>
      <c r="CW5" s="1736" t="s">
        <v>983</v>
      </c>
      <c r="CX5" s="393" t="s">
        <v>1644</v>
      </c>
      <c r="CY5" s="1736" t="s">
        <v>983</v>
      </c>
    </row>
    <row r="6" ht="20.5" customHeight="1" spans="6:103" x14ac:dyDescent="0.25">
      <c r="F6" s="828">
        <v>1995</v>
      </c>
      <c r="G6" s="1737">
        <f t="array" ref="G6:G27">TRANSPOSE(ОТЧЁТ!U83:AP83)</f>
        <v>230.407</v>
      </c>
      <c r="H6" s="1222">
        <f t="array" ref="H6:H27">TRANSPOSE(ОТЧЁТ!U79:AP79)</f>
        <v>266.974</v>
      </c>
      <c r="I6" s="1738"/>
      <c r="Y6" s="1738"/>
      <c r="AC6" s="828">
        <v>1995</v>
      </c>
      <c r="AD6" s="1737">
        <f t="array" ref="AD6:AD27">TRANSPOSE(ОТЧЁТ!U67:AP67)</f>
        <v>1428.5209</v>
      </c>
      <c r="AE6" s="1222">
        <f t="array" ref="AE6:AE27">TRANSPOSE(ОТЧЁТ!U79:AP79)</f>
        <v>266.974</v>
      </c>
      <c r="AF6" s="1738"/>
      <c r="AG6" s="1738"/>
      <c r="AY6" s="828">
        <v>1995</v>
      </c>
      <c r="AZ6" s="1737">
        <v>1428.5209</v>
      </c>
      <c r="BA6" s="1222" t="e">
        <f t="array" ref="BA6:BA27">TRANSPOSE(ОТЧЁТ!#REF!)</f>
        <v>#REF!</v>
      </c>
      <c r="BB6" s="1738"/>
      <c r="CI6" s="850">
        <v>43125</v>
      </c>
      <c r="CJ6" s="843" t="s">
        <v>840</v>
      </c>
      <c r="CK6" s="843" t="s">
        <v>840</v>
      </c>
      <c r="CL6" s="843" t="s">
        <v>840</v>
      </c>
      <c r="CM6" s="843" t="s">
        <v>840</v>
      </c>
      <c r="CN6" s="1149" t="s">
        <v>399</v>
      </c>
      <c r="CO6" s="1739" t="s">
        <v>399</v>
      </c>
      <c r="CP6" s="1740" t="s">
        <v>1645</v>
      </c>
      <c r="CQ6" s="1740" t="s">
        <v>1645</v>
      </c>
      <c r="CR6" s="843" t="s">
        <v>840</v>
      </c>
      <c r="CS6" s="843" t="s">
        <v>840</v>
      </c>
      <c r="CT6" s="843" t="s">
        <v>840</v>
      </c>
      <c r="CU6" s="843" t="s">
        <v>840</v>
      </c>
      <c r="CV6" s="843" t="s">
        <v>840</v>
      </c>
      <c r="CW6" s="843" t="s">
        <v>840</v>
      </c>
      <c r="CX6" s="843" t="s">
        <v>840</v>
      </c>
      <c r="CY6" s="843" t="s">
        <v>840</v>
      </c>
    </row>
    <row r="7" ht="20.5" customHeight="1" spans="6:103" x14ac:dyDescent="0.25">
      <c r="F7" s="559">
        <v>1996</v>
      </c>
      <c r="G7" s="1741">
        <v>334.302</v>
      </c>
      <c r="H7" s="1222">
        <v>375.958</v>
      </c>
      <c r="I7" s="1738"/>
      <c r="Y7" s="1738"/>
      <c r="AC7" s="559">
        <v>1996</v>
      </c>
      <c r="AD7" s="1741">
        <v>2007.8252000000002</v>
      </c>
      <c r="AE7" s="1222">
        <v>375.958</v>
      </c>
      <c r="AF7" s="1742"/>
      <c r="AG7" s="1738"/>
      <c r="AY7" s="559">
        <v>1996</v>
      </c>
      <c r="AZ7" s="1741">
        <v>2007.8252000000002</v>
      </c>
      <c r="BA7" s="1222" t="e">
        <v>#REF!</v>
      </c>
      <c r="BB7" s="1742"/>
      <c r="CI7" s="827">
        <v>1995</v>
      </c>
      <c r="CJ7" s="1743">
        <f>НАСТРОЙКА!CD136</f>
        <v>2.313</v>
      </c>
      <c r="CK7" s="1167"/>
      <c r="CL7" s="1743">
        <f>1</f>
        <v>1</v>
      </c>
      <c r="CM7" s="1167"/>
      <c r="CN7" s="1744">
        <f t="shared" ref="CN7:CN29" si="0">DB18</f>
        <v>17.1</v>
      </c>
      <c r="CO7" s="1167"/>
      <c r="CP7" s="1744">
        <v>4.2</v>
      </c>
      <c r="CQ7" s="1167"/>
      <c r="CR7" s="1189">
        <f t="array" ref="CR7:CR25">TRANSPOSE(ОТЧЁТ!U187:AM187)</f>
        <v>1</v>
      </c>
      <c r="CS7" s="1167"/>
      <c r="CT7" s="1743">
        <f t="array" ref="CT7:CT25">TRANSPOSE(ОТЧЁТ!U188:AM188)</f>
        <v>1</v>
      </c>
      <c r="CU7" s="1167"/>
      <c r="CV7" s="1743">
        <f t="array" ref="CV7:CV25">TRANSPOSE(ОТЧЁТ!U162:AM162)</f>
        <v>1</v>
      </c>
      <c r="CW7" s="1167"/>
      <c r="CX7" s="1743">
        <f t="array" ref="CX7:CX25">TRANSPOSE(ОТЧЁТ!U163:AM163)</f>
        <v>1</v>
      </c>
      <c r="CY7" s="1167"/>
    </row>
    <row r="8" ht="20.5" customHeight="1" spans="4:103" x14ac:dyDescent="0.25">
      <c r="D8" s="675">
        <f>I8</f>
        <v>1.0474816317305975</v>
      </c>
      <c r="F8" s="559">
        <v>1997</v>
      </c>
      <c r="G8" s="1741">
        <v>406.472</v>
      </c>
      <c r="H8" s="1222">
        <v>408.797</v>
      </c>
      <c r="I8" s="1742">
        <v>1.0474816317305975</v>
      </c>
      <c r="Y8" s="1742">
        <f>I8</f>
        <v>1.0474816317305975</v>
      </c>
      <c r="AC8" s="559">
        <v>1997</v>
      </c>
      <c r="AD8" s="1741">
        <v>2342.5137</v>
      </c>
      <c r="AE8" s="1222">
        <v>408.797</v>
      </c>
      <c r="AF8" s="1742">
        <f>AE8/(0.5*AD8+0.3*AD7+0.2*AD6)</f>
        <v>0.19851177331319733</v>
      </c>
      <c r="AG8" s="1738"/>
      <c r="AY8" s="559">
        <v>1997</v>
      </c>
      <c r="AZ8" s="1741">
        <v>2342.5137</v>
      </c>
      <c r="BA8" s="1222" t="e">
        <v>#REF!</v>
      </c>
      <c r="BB8" s="1742" t="e">
        <f>BA8/(0.5*AZ8+0.3*AZ7+0.2*AZ6)</f>
        <v>#REF!</v>
      </c>
      <c r="CI8" s="1184">
        <v>1996</v>
      </c>
      <c r="CJ8" s="1214">
        <f>НАСТРОЙКА!CD137</f>
        <v>1.218</v>
      </c>
      <c r="CK8" s="1187"/>
      <c r="CL8" s="1743">
        <f>CL7*CJ8</f>
        <v>1.218</v>
      </c>
      <c r="CM8" s="1187"/>
      <c r="CN8" s="1744">
        <f t="shared" si="0"/>
        <v>20.5</v>
      </c>
      <c r="CO8" s="1187"/>
      <c r="CP8" s="1744">
        <v>5.56</v>
      </c>
      <c r="CQ8" s="1187"/>
      <c r="CR8" s="1745">
        <v>1.2062700474653716</v>
      </c>
      <c r="CS8" s="1187"/>
      <c r="CT8" s="1743">
        <v>1.170751567490661</v>
      </c>
      <c r="CU8" s="1187"/>
      <c r="CV8" s="1743">
        <v>1.037</v>
      </c>
      <c r="CW8" s="1187"/>
      <c r="CX8" s="1743">
        <v>1.013</v>
      </c>
      <c r="CY8" s="1187"/>
    </row>
    <row r="9" ht="15.75" customHeight="1" spans="4:103" x14ac:dyDescent="0.25">
      <c r="D9" s="675">
        <f t="shared" ref="D9:D27" si="1">I9</f>
        <v>1.0599744654791778</v>
      </c>
      <c r="F9" s="559">
        <v>1998</v>
      </c>
      <c r="G9" s="1741">
        <v>428.564</v>
      </c>
      <c r="H9" s="1222">
        <v>407.086</v>
      </c>
      <c r="I9" s="1742">
        <v>1.0599744654791778</v>
      </c>
      <c r="Y9" s="1742">
        <f t="shared" ref="Y9:Y41" si="2">I9</f>
        <v>1.0599744654791778</v>
      </c>
      <c r="AC9" s="559">
        <v>1998</v>
      </c>
      <c r="AD9" s="1741">
        <v>2629.6229</v>
      </c>
      <c r="AE9" s="1222">
        <v>407.086</v>
      </c>
      <c r="AF9" s="1742">
        <f t="shared" ref="AF9:AF27" si="3">AE9/(0.5*AD9+0.3*AD8+0.2*AD7)</f>
        <v>0.16827781021826602</v>
      </c>
      <c r="AG9" s="1738"/>
      <c r="AY9" s="559">
        <v>1998</v>
      </c>
      <c r="AZ9" s="1741">
        <v>2629.6229</v>
      </c>
      <c r="BA9" s="1222" t="e">
        <v>#REF!</v>
      </c>
      <c r="BB9" s="1742" t="e">
        <f t="shared" ref="BB9:BB27" si="4">BA9/(0.5*AZ9+0.3*AZ8+0.2*AZ7)</f>
        <v>#REF!</v>
      </c>
      <c r="CI9" s="1184">
        <v>1997</v>
      </c>
      <c r="CJ9" s="1214">
        <f>НАСТРОЙКА!CD138</f>
        <v>1.11</v>
      </c>
      <c r="CK9" s="1187"/>
      <c r="CL9" s="1743">
        <f t="shared" ref="CL9:CL29" si="5">CL8*CJ9</f>
        <v>1.3519800000000002</v>
      </c>
      <c r="CM9" s="1187"/>
      <c r="CN9" s="1744">
        <f t="shared" si="0"/>
        <v>19.1</v>
      </c>
      <c r="CO9" s="1187"/>
      <c r="CP9" s="1744">
        <v>5.8</v>
      </c>
      <c r="CQ9" s="1187"/>
      <c r="CR9" s="1745">
        <v>1.3416177583578945</v>
      </c>
      <c r="CS9" s="1187"/>
      <c r="CT9" s="1743">
        <v>1.4027022303089887</v>
      </c>
      <c r="CU9" s="1187"/>
      <c r="CV9" s="1743">
        <v>1.031815</v>
      </c>
      <c r="CW9" s="1187"/>
      <c r="CX9" s="1743">
        <v>1.0170519999999998</v>
      </c>
      <c r="CY9" s="1187"/>
    </row>
    <row r="10" ht="16.5" customHeight="1" spans="4:103" x14ac:dyDescent="0.25">
      <c r="D10" s="675">
        <f t="shared" si="1"/>
        <v>1.0096378626115232</v>
      </c>
      <c r="F10" s="559">
        <v>1999</v>
      </c>
      <c r="G10" s="1741">
        <v>597.306</v>
      </c>
      <c r="H10" s="1222">
        <v>670.439</v>
      </c>
      <c r="I10" s="1742">
        <v>1.0096378626115232</v>
      </c>
      <c r="Y10" s="1742">
        <f t="shared" si="2"/>
        <v>1.0096378626115232</v>
      </c>
      <c r="AC10" s="559">
        <v>1999</v>
      </c>
      <c r="AD10" s="1741">
        <v>4823.2329</v>
      </c>
      <c r="AE10" s="1222">
        <v>670.439</v>
      </c>
      <c r="AF10" s="1742">
        <f t="shared" si="3"/>
        <v>0.18273041500509268</v>
      </c>
      <c r="AG10" s="1738"/>
      <c r="AY10" s="559">
        <v>1999</v>
      </c>
      <c r="AZ10" s="1741">
        <v>4823.2329</v>
      </c>
      <c r="BA10" s="1222" t="e">
        <v>#REF!</v>
      </c>
      <c r="BB10" s="1742" t="e">
        <f t="shared" si="4"/>
        <v>#REF!</v>
      </c>
      <c r="CI10" s="1184">
        <v>1998</v>
      </c>
      <c r="CJ10" s="1214">
        <f>НАСТРОЙКА!CD139</f>
        <v>1.844</v>
      </c>
      <c r="CK10" s="1187"/>
      <c r="CL10" s="1743">
        <f t="shared" si="5"/>
        <v>2.4930511200000005</v>
      </c>
      <c r="CM10" s="1187"/>
      <c r="CN10" s="1744">
        <f t="shared" si="0"/>
        <v>12.7</v>
      </c>
      <c r="CO10" s="1187"/>
      <c r="CP10" s="1744">
        <v>6</v>
      </c>
      <c r="CQ10" s="1187"/>
      <c r="CR10" s="1745">
        <v>1.86606737883619</v>
      </c>
      <c r="CS10" s="1187"/>
      <c r="CT10" s="1743">
        <v>2.077665776266209</v>
      </c>
      <c r="CU10" s="1187"/>
      <c r="CV10" s="1743">
        <v>1.0514194849999998</v>
      </c>
      <c r="CW10" s="1187"/>
      <c r="CX10" s="1743">
        <v>0.8400849519999998</v>
      </c>
      <c r="CY10" s="1187"/>
    </row>
    <row r="11" ht="15.75" customHeight="1" spans="4:103" x14ac:dyDescent="0.25">
      <c r="D11" s="675">
        <f t="shared" si="1"/>
        <v>0.8515011506772306</v>
      </c>
      <c r="F11" s="559">
        <v>2000</v>
      </c>
      <c r="G11" s="1741">
        <v>843.378</v>
      </c>
      <c r="H11" s="1222">
        <v>1165.234</v>
      </c>
      <c r="I11" s="1742">
        <v>0.8515011506772306</v>
      </c>
      <c r="Y11" s="1742">
        <f t="shared" si="2"/>
        <v>0.8515011506772306</v>
      </c>
      <c r="AC11" s="559">
        <v>2000</v>
      </c>
      <c r="AD11" s="1741">
        <v>7305.6466</v>
      </c>
      <c r="AE11" s="1222">
        <v>1165.234</v>
      </c>
      <c r="AF11" s="1742">
        <f t="shared" si="3"/>
        <v>0.20712628179755374</v>
      </c>
      <c r="AG11" s="1738"/>
      <c r="AY11" s="559">
        <v>2000</v>
      </c>
      <c r="AZ11" s="1741">
        <v>7305.6466</v>
      </c>
      <c r="BA11" s="1222" t="e">
        <v>#REF!</v>
      </c>
      <c r="BB11" s="1742" t="e">
        <f t="shared" si="4"/>
        <v>#REF!</v>
      </c>
      <c r="CI11" s="1184">
        <v>1999</v>
      </c>
      <c r="CJ11" s="1214">
        <f>НАСТРОЙКА!CD140</f>
        <v>1.365</v>
      </c>
      <c r="CK11" s="1187"/>
      <c r="CL11" s="1743">
        <f t="shared" si="5"/>
        <v>3.4030147788000007</v>
      </c>
      <c r="CM11" s="1187"/>
      <c r="CN11" s="1744">
        <f t="shared" si="0"/>
        <v>17.7</v>
      </c>
      <c r="CO11" s="1187"/>
      <c r="CP11" s="1744">
        <v>24.62</v>
      </c>
      <c r="CQ11" s="1187"/>
      <c r="CR11" s="1745">
        <v>4.260651853603475</v>
      </c>
      <c r="CS11" s="1187"/>
      <c r="CT11" s="1743">
        <v>4.894300618534394</v>
      </c>
      <c r="CU11" s="1187"/>
      <c r="CV11" s="1743">
        <v>1.1691784673199999</v>
      </c>
      <c r="CW11" s="1187"/>
      <c r="CX11" s="1743">
        <v>0.6972705101599997</v>
      </c>
      <c r="CY11" s="1187"/>
    </row>
    <row r="12" ht="14.25" customHeight="1" spans="4:103" x14ac:dyDescent="0.25">
      <c r="D12" s="675">
        <f t="shared" si="1"/>
        <v>0.8258245444168075</v>
      </c>
      <c r="F12" s="559">
        <v>2001</v>
      </c>
      <c r="G12" s="1741">
        <v>1117.655</v>
      </c>
      <c r="H12" s="1222">
        <v>1504.7</v>
      </c>
      <c r="I12" s="1742">
        <v>0.8258245444168075</v>
      </c>
      <c r="Y12" s="1742">
        <f t="shared" si="2"/>
        <v>0.8258245444168075</v>
      </c>
      <c r="AC12" s="559">
        <v>2001</v>
      </c>
      <c r="AD12" s="1741">
        <v>8943.5826</v>
      </c>
      <c r="AE12" s="1222">
        <v>1504.7</v>
      </c>
      <c r="AF12" s="1742">
        <f t="shared" si="3"/>
        <v>0.19725668454818768</v>
      </c>
      <c r="AG12" s="1738"/>
      <c r="AY12" s="559">
        <v>2001</v>
      </c>
      <c r="AZ12" s="1741">
        <v>8943.5826</v>
      </c>
      <c r="BA12" s="1222" t="e">
        <v>#REF!</v>
      </c>
      <c r="BB12" s="1742" t="e">
        <f t="shared" si="4"/>
        <v>#REF!</v>
      </c>
      <c r="CI12" s="1184">
        <v>2000</v>
      </c>
      <c r="CJ12" s="1214">
        <f>НАСТРОЙКА!CD141</f>
        <v>1.202</v>
      </c>
      <c r="CK12" s="1187"/>
      <c r="CL12" s="1743">
        <f t="shared" si="5"/>
        <v>4.090423764117601</v>
      </c>
      <c r="CM12" s="1187"/>
      <c r="CN12" s="1744">
        <f t="shared" si="0"/>
        <v>28.3</v>
      </c>
      <c r="CO12" s="1187"/>
      <c r="CP12" s="1744">
        <v>28.16</v>
      </c>
      <c r="CQ12" s="1187"/>
      <c r="CR12" s="1745">
        <v>6.00821185960683</v>
      </c>
      <c r="CS12" s="1187"/>
      <c r="CT12" s="1743">
        <v>5.1416113994451775</v>
      </c>
      <c r="CU12" s="1187"/>
      <c r="CV12" s="1743">
        <v>1.2802504217153998</v>
      </c>
      <c r="CW12" s="1187"/>
      <c r="CX12" s="1743">
        <v>0.9231861554518397</v>
      </c>
      <c r="CY12" s="1187"/>
    </row>
    <row r="13" ht="16.5" customHeight="1" spans="4:103" x14ac:dyDescent="0.25">
      <c r="D13" s="675">
        <f t="shared" si="1"/>
        <v>0.978148233521086</v>
      </c>
      <c r="F13" s="559">
        <v>2002</v>
      </c>
      <c r="G13" s="1741">
        <v>1615.063</v>
      </c>
      <c r="H13" s="1222">
        <v>1762.4</v>
      </c>
      <c r="I13" s="1742">
        <v>0.978148233521086</v>
      </c>
      <c r="Y13" s="1742">
        <f t="shared" si="2"/>
        <v>0.978148233521086</v>
      </c>
      <c r="AC13" s="559">
        <v>2002</v>
      </c>
      <c r="AD13" s="1741">
        <v>10819.270899999998</v>
      </c>
      <c r="AE13" s="1222">
        <v>1762.4</v>
      </c>
      <c r="AF13" s="1742">
        <f t="shared" si="3"/>
        <v>0.1844703368500678</v>
      </c>
      <c r="AG13" s="1738"/>
      <c r="AY13" s="559">
        <v>2002</v>
      </c>
      <c r="AZ13" s="1741">
        <v>10819.270899999998</v>
      </c>
      <c r="BA13" s="1222" t="e">
        <v>#REF!</v>
      </c>
      <c r="BB13" s="1742" t="e">
        <f t="shared" si="4"/>
        <v>#REF!</v>
      </c>
      <c r="CI13" s="1184">
        <v>2001</v>
      </c>
      <c r="CJ13" s="1214">
        <f>НАСТРОЙКА!CD142</f>
        <v>1.186</v>
      </c>
      <c r="CK13" s="1187"/>
      <c r="CL13" s="1743">
        <f t="shared" si="5"/>
        <v>4.851242584243474</v>
      </c>
      <c r="CM13" s="1187"/>
      <c r="CN13" s="1744">
        <f t="shared" si="0"/>
        <v>24.4</v>
      </c>
      <c r="CO13" s="1187"/>
      <c r="CP13" s="1744">
        <v>30.14</v>
      </c>
      <c r="CQ13" s="1187"/>
      <c r="CR13" s="1745">
        <v>5.910590005019161</v>
      </c>
      <c r="CS13" s="1187"/>
      <c r="CT13" s="1743">
        <v>5.343385559062672</v>
      </c>
      <c r="CU13" s="1187"/>
      <c r="CV13" s="1743">
        <v>1.3340209394274467</v>
      </c>
      <c r="CW13" s="1187"/>
      <c r="CX13" s="1743">
        <v>1.0958219665213338</v>
      </c>
      <c r="CY13" s="1187"/>
    </row>
    <row r="14" ht="14.25" customHeight="1" spans="4:104" x14ac:dyDescent="0.25">
      <c r="D14" s="675">
        <f t="shared" si="1"/>
        <v>0.8929041078374962</v>
      </c>
      <c r="F14" s="559">
        <v>2003</v>
      </c>
      <c r="G14" s="1741">
        <v>1815.658</v>
      </c>
      <c r="H14" s="1222">
        <v>2186.4</v>
      </c>
      <c r="I14" s="1742">
        <v>0.8929041078374962</v>
      </c>
      <c r="Y14" s="1742">
        <f t="shared" si="2"/>
        <v>0.8929041078374962</v>
      </c>
      <c r="AC14" s="559">
        <v>2003</v>
      </c>
      <c r="AD14" s="1741">
        <v>13208.250299999998</v>
      </c>
      <c r="AE14" s="1222">
        <v>2186.4</v>
      </c>
      <c r="AF14" s="1742">
        <f t="shared" si="3"/>
        <v>0.18785727583679246</v>
      </c>
      <c r="AG14" s="1738"/>
      <c r="AY14" s="559">
        <v>2003</v>
      </c>
      <c r="AZ14" s="1741">
        <v>13208.250299999998</v>
      </c>
      <c r="BA14" s="1222" t="e">
        <v>#REF!</v>
      </c>
      <c r="BB14" s="1742" t="e">
        <f t="shared" si="4"/>
        <v>#REF!</v>
      </c>
      <c r="CI14" s="1184">
        <v>2002</v>
      </c>
      <c r="CJ14" s="1214">
        <f>НАСТРОЙКА!CD143</f>
        <v>1.151</v>
      </c>
      <c r="CK14" s="1187"/>
      <c r="CL14" s="1743">
        <f t="shared" si="5"/>
        <v>5.583780214464239</v>
      </c>
      <c r="CM14" s="1187"/>
      <c r="CN14" s="1744">
        <f t="shared" si="0"/>
        <v>25</v>
      </c>
      <c r="CO14" s="1187"/>
      <c r="CP14" s="1744">
        <v>31.4</v>
      </c>
      <c r="CQ14" s="1187"/>
      <c r="CR14" s="1745">
        <v>6.193634820546727</v>
      </c>
      <c r="CS14" s="1187"/>
      <c r="CT14" s="1743">
        <v>5.696540648389541</v>
      </c>
      <c r="CU14" s="1187"/>
      <c r="CV14" s="1743">
        <v>1.4714250961884736</v>
      </c>
      <c r="CW14" s="1187"/>
      <c r="CX14" s="1743">
        <v>1.2558119736334483</v>
      </c>
      <c r="CY14" s="1187"/>
      <c r="CZ14" s="103"/>
    </row>
    <row r="15" ht="18" customHeight="1" spans="4:104" x14ac:dyDescent="0.25">
      <c r="D15" s="675">
        <f t="shared" si="1"/>
        <v>0.7529961588685846</v>
      </c>
      <c r="F15" s="559">
        <v>2004</v>
      </c>
      <c r="G15" s="1741">
        <v>1972.112</v>
      </c>
      <c r="H15" s="1222">
        <v>2865</v>
      </c>
      <c r="I15" s="1742">
        <v>0.7529961588685846</v>
      </c>
      <c r="Y15" s="1742">
        <f t="shared" si="2"/>
        <v>0.7529961588685846</v>
      </c>
      <c r="AC15" s="559">
        <v>2004</v>
      </c>
      <c r="AD15" s="1741">
        <v>17027.166999999998</v>
      </c>
      <c r="AE15" s="1222">
        <v>2865</v>
      </c>
      <c r="AF15" s="1742">
        <f t="shared" si="3"/>
        <v>0.19569788734472088</v>
      </c>
      <c r="AG15" s="1738"/>
      <c r="AY15" s="559">
        <v>2004</v>
      </c>
      <c r="AZ15" s="1741">
        <v>17027.166999999998</v>
      </c>
      <c r="BA15" s="1222" t="e">
        <v>#REF!</v>
      </c>
      <c r="BB15" s="1742" t="e">
        <f t="shared" si="4"/>
        <v>#REF!</v>
      </c>
      <c r="CI15" s="1184">
        <v>2003</v>
      </c>
      <c r="CJ15" s="1214">
        <f>НАСТРОЙКА!CD144</f>
        <v>1.12</v>
      </c>
      <c r="CK15" s="1187"/>
      <c r="CL15" s="1743">
        <f t="shared" si="5"/>
        <v>6.253833840199949</v>
      </c>
      <c r="CM15" s="1187"/>
      <c r="CN15" s="1744">
        <f t="shared" si="0"/>
        <v>28.9</v>
      </c>
      <c r="CO15" s="1187"/>
      <c r="CP15" s="1744">
        <v>29.45</v>
      </c>
      <c r="CQ15" s="1187"/>
      <c r="CR15" s="1745">
        <v>6.715254624075821</v>
      </c>
      <c r="CS15" s="1187"/>
      <c r="CT15" s="1743">
        <v>5.788123461724906</v>
      </c>
      <c r="CU15" s="1187"/>
      <c r="CV15" s="1743">
        <v>1.6568246583082211</v>
      </c>
      <c r="CW15" s="1187"/>
      <c r="CX15" s="1743">
        <v>1.473067445072035</v>
      </c>
      <c r="CY15" s="1187"/>
      <c r="CZ15" s="103"/>
    </row>
    <row r="16" ht="17.25" customHeight="1" spans="4:150" x14ac:dyDescent="0.25">
      <c r="D16" s="675">
        <f t="shared" si="1"/>
        <v>0.8868100053925246</v>
      </c>
      <c r="F16" s="559">
        <v>2005</v>
      </c>
      <c r="G16" s="1741">
        <v>2943.686</v>
      </c>
      <c r="H16" s="1222">
        <v>3611.1</v>
      </c>
      <c r="I16" s="1742">
        <v>0.8868100053925246</v>
      </c>
      <c r="Y16" s="1742">
        <f t="shared" si="2"/>
        <v>0.8868100053925246</v>
      </c>
      <c r="AC16" s="559">
        <v>2005</v>
      </c>
      <c r="AD16" s="1741">
        <v>21609.765799999997</v>
      </c>
      <c r="AE16" s="1222">
        <v>3611.1</v>
      </c>
      <c r="AF16" s="1742">
        <f t="shared" si="3"/>
        <v>0.19461933078149818</v>
      </c>
      <c r="AG16" s="1738"/>
      <c r="AY16" s="559">
        <v>2005</v>
      </c>
      <c r="AZ16" s="1741">
        <v>21609.765799999997</v>
      </c>
      <c r="BA16" s="1222" t="e">
        <v>#REF!</v>
      </c>
      <c r="BB16" s="1742" t="e">
        <f t="shared" si="4"/>
        <v>#REF!</v>
      </c>
      <c r="BZ16" s="1746" t="s">
        <v>1646</v>
      </c>
      <c r="CA16" s="1746"/>
      <c r="CB16" s="1746"/>
      <c r="CC16" s="1746"/>
      <c r="CD16" s="1746"/>
      <c r="CE16" s="1746"/>
      <c r="CF16" s="1746"/>
      <c r="CG16" s="1746"/>
      <c r="CI16" s="1184">
        <v>2004</v>
      </c>
      <c r="CJ16" s="1214">
        <f>НАСТРОЙКА!CD145</f>
        <v>1.117</v>
      </c>
      <c r="CK16" s="1187"/>
      <c r="CL16" s="1743">
        <f t="shared" si="5"/>
        <v>6.9855323995033425</v>
      </c>
      <c r="CM16" s="1187"/>
      <c r="CN16" s="1744">
        <f t="shared" si="0"/>
        <v>38.3</v>
      </c>
      <c r="CO16" s="1187"/>
      <c r="CP16" s="1744">
        <v>27.75</v>
      </c>
      <c r="CQ16" s="1187"/>
      <c r="CR16" s="1745">
        <v>7.560419692709162</v>
      </c>
      <c r="CS16" s="1187"/>
      <c r="CT16" s="1743">
        <v>5.617164966343532</v>
      </c>
      <c r="CU16" s="1187"/>
      <c r="CV16" s="1743">
        <v>1.8523299679885914</v>
      </c>
      <c r="CW16" s="1187"/>
      <c r="CX16" s="1743">
        <v>1.816292159773819</v>
      </c>
      <c r="CY16" s="1187"/>
      <c r="CZ16" s="103"/>
      <c r="DA16" s="1554" t="s">
        <v>159</v>
      </c>
      <c r="DB16" s="393" t="s">
        <v>1647</v>
      </c>
      <c r="DC16" s="393" t="s">
        <v>50</v>
      </c>
      <c r="DD16" s="1736" t="s">
        <v>983</v>
      </c>
      <c r="DT16" s="1747" t="s">
        <v>1647</v>
      </c>
      <c r="DX16" s="869" t="s">
        <v>159</v>
      </c>
      <c r="DY16" s="1748" t="s">
        <v>992</v>
      </c>
      <c r="DZ16" s="1749" t="s">
        <v>983</v>
      </c>
      <c r="EA16" s="1748" t="s">
        <v>993</v>
      </c>
      <c r="EB16" s="1749" t="s">
        <v>949</v>
      </c>
      <c r="ES16" s="1750" t="s">
        <v>1648</v>
      </c>
      <c r="ET16" s="1751" t="s">
        <v>993</v>
      </c>
    </row>
    <row r="17" ht="18" customHeight="1" spans="4:150" x14ac:dyDescent="0.25">
      <c r="D17" s="675">
        <f t="shared" si="1"/>
        <v>0.7529275045604807</v>
      </c>
      <c r="F17" s="559">
        <v>2006</v>
      </c>
      <c r="G17" s="1741">
        <v>3252.436</v>
      </c>
      <c r="H17" s="1222">
        <v>4730</v>
      </c>
      <c r="I17" s="1742">
        <v>0.7529275045604807</v>
      </c>
      <c r="Y17" s="1742">
        <f t="shared" si="2"/>
        <v>0.7529275045604807</v>
      </c>
      <c r="AC17" s="559">
        <v>2006</v>
      </c>
      <c r="AD17" s="1741">
        <v>26917.2037</v>
      </c>
      <c r="AE17" s="1222">
        <v>4730</v>
      </c>
      <c r="AF17" s="1742">
        <f t="shared" si="3"/>
        <v>0.2025959263667016</v>
      </c>
      <c r="AG17" s="1738"/>
      <c r="AY17" s="559">
        <v>2006</v>
      </c>
      <c r="AZ17" s="1741">
        <v>26917.2037</v>
      </c>
      <c r="BA17" s="1222" t="e">
        <v>#REF!</v>
      </c>
      <c r="BB17" s="1742" t="e">
        <f t="shared" si="4"/>
        <v>#REF!</v>
      </c>
      <c r="CI17" s="1184">
        <v>2005</v>
      </c>
      <c r="CJ17" s="1214">
        <f>НАСТРОЙКА!CD146</f>
        <v>1.109</v>
      </c>
      <c r="CK17" s="1187"/>
      <c r="CL17" s="1743">
        <f t="shared" si="5"/>
        <v>7.746955431049207</v>
      </c>
      <c r="CM17" s="1187"/>
      <c r="CN17" s="1744">
        <f t="shared" si="0"/>
        <v>54.4</v>
      </c>
      <c r="CO17" s="1187"/>
      <c r="CP17" s="1744">
        <v>28.78</v>
      </c>
      <c r="CQ17" s="1187"/>
      <c r="CR17" s="1745">
        <v>9.215042167890525</v>
      </c>
      <c r="CS17" s="1187"/>
      <c r="CT17" s="1743">
        <v>5.933656338117276</v>
      </c>
      <c r="CU17" s="1187"/>
      <c r="CV17" s="1743">
        <v>1.9727314159078497</v>
      </c>
      <c r="CW17" s="1187"/>
      <c r="CX17" s="1743">
        <v>2.117796658296273</v>
      </c>
      <c r="CY17" s="1187"/>
      <c r="DA17" s="850">
        <v>44337</v>
      </c>
      <c r="DB17" s="1752" t="s">
        <v>399</v>
      </c>
      <c r="DC17" s="692" t="s">
        <v>399</v>
      </c>
      <c r="DD17" s="693" t="s">
        <v>399</v>
      </c>
      <c r="DT17" s="1753" t="s">
        <v>399</v>
      </c>
      <c r="DX17" s="850">
        <v>43128</v>
      </c>
      <c r="DY17" s="1237" t="s">
        <v>994</v>
      </c>
      <c r="DZ17" s="1237" t="s">
        <v>994</v>
      </c>
      <c r="EA17" s="1238" t="s">
        <v>994</v>
      </c>
      <c r="EB17" s="1238" t="s">
        <v>994</v>
      </c>
      <c r="ES17" s="1754" t="s">
        <v>994</v>
      </c>
      <c r="ET17" s="1755" t="s">
        <v>994</v>
      </c>
    </row>
    <row r="18" ht="17.25" customHeight="1" spans="4:153" x14ac:dyDescent="0.25">
      <c r="D18" s="675">
        <f t="shared" si="1"/>
        <v>0.7150596223787858</v>
      </c>
      <c r="F18" s="559">
        <v>2007</v>
      </c>
      <c r="G18" s="1741">
        <v>4296.411</v>
      </c>
      <c r="H18" s="1222">
        <v>6716.222</v>
      </c>
      <c r="I18" s="1742">
        <v>0.7150596223787858</v>
      </c>
      <c r="Y18" s="1742">
        <f t="shared" si="2"/>
        <v>0.7150596223787858</v>
      </c>
      <c r="AC18" s="559">
        <v>2007</v>
      </c>
      <c r="AD18" s="1741">
        <v>33247.5132</v>
      </c>
      <c r="AE18" s="1222">
        <v>6716.222</v>
      </c>
      <c r="AF18" s="1742">
        <f t="shared" si="3"/>
        <v>0.23142730726743346</v>
      </c>
      <c r="AG18" s="1738"/>
      <c r="AY18" s="559">
        <v>2007</v>
      </c>
      <c r="AZ18" s="1741">
        <v>33247.5132</v>
      </c>
      <c r="BA18" s="1222" t="e">
        <v>#REF!</v>
      </c>
      <c r="BB18" s="1742" t="e">
        <f t="shared" si="4"/>
        <v>#REF!</v>
      </c>
      <c r="BZ18" s="59" t="s">
        <v>1649</v>
      </c>
      <c r="CA18" s="59"/>
      <c r="CB18" s="59"/>
      <c r="CC18" s="59"/>
      <c r="CD18" s="59"/>
      <c r="CE18" s="59"/>
      <c r="CF18" s="59"/>
      <c r="CI18" s="1184">
        <v>2006</v>
      </c>
      <c r="CJ18" s="1214">
        <f>НАСТРОЙКА!CD147</f>
        <v>1.09</v>
      </c>
      <c r="CK18" s="1225"/>
      <c r="CL18" s="1743">
        <f t="shared" si="5"/>
        <v>8.444181419843636</v>
      </c>
      <c r="CM18" s="1225"/>
      <c r="CN18" s="1744">
        <f t="shared" si="0"/>
        <v>65.4</v>
      </c>
      <c r="CO18" s="1225"/>
      <c r="CP18" s="1744">
        <v>26.33</v>
      </c>
      <c r="CQ18" s="1225"/>
      <c r="CR18" s="1745">
        <v>10.24995388150444</v>
      </c>
      <c r="CS18" s="1225"/>
      <c r="CT18" s="1743">
        <v>5.949475526803209</v>
      </c>
      <c r="CU18" s="1225"/>
      <c r="CV18" s="1743">
        <v>2.1167408092691224</v>
      </c>
      <c r="CW18" s="1225"/>
      <c r="CX18" s="1743">
        <v>2.568887346513379</v>
      </c>
      <c r="CY18" s="1225"/>
      <c r="DA18" s="1756">
        <v>1995</v>
      </c>
      <c r="DB18" s="482">
        <v>17.1</v>
      </c>
      <c r="DC18" s="315"/>
      <c r="DD18" s="712"/>
      <c r="DT18" s="1757">
        <f t="shared" ref="DT18:DT43" si="6">DB18</f>
        <v>17.1</v>
      </c>
      <c r="DX18" s="1758">
        <v>1995</v>
      </c>
      <c r="DY18" s="1241">
        <v>4.64</v>
      </c>
      <c r="DZ18" s="1242"/>
      <c r="EA18" s="1243">
        <v>1.65</v>
      </c>
      <c r="EB18" s="474"/>
      <c r="ES18" s="316">
        <f>DY18</f>
        <v>4.64</v>
      </c>
      <c r="ET18" s="555">
        <f>EA18</f>
        <v>1.65</v>
      </c>
      <c r="EV18" s="59"/>
      <c r="EW18" s="1756">
        <v>1995</v>
      </c>
    </row>
    <row r="19" ht="15.75" customHeight="1" spans="4:156" x14ac:dyDescent="0.25">
      <c r="D19" s="675">
        <f t="shared" si="1"/>
        <v>0.7214085192716516</v>
      </c>
      <c r="F19" s="559">
        <v>2008</v>
      </c>
      <c r="G19" s="1741">
        <v>5744.847</v>
      </c>
      <c r="H19" s="1222">
        <v>8781.616</v>
      </c>
      <c r="I19" s="1742">
        <v>0.7214085192716516</v>
      </c>
      <c r="Y19" s="1742">
        <f t="shared" si="2"/>
        <v>0.7214085192716516</v>
      </c>
      <c r="AC19" s="559">
        <v>2008</v>
      </c>
      <c r="AD19" s="1741">
        <v>41276.8492</v>
      </c>
      <c r="AE19" s="1222">
        <v>8781.616</v>
      </c>
      <c r="AF19" s="1742">
        <f t="shared" si="3"/>
        <v>0.24396007599630332</v>
      </c>
      <c r="AG19" s="1742">
        <f t="shared" ref="AG19:AG27" si="7">AF19</f>
        <v>0.24396007599630332</v>
      </c>
      <c r="AY19" s="559">
        <v>2008</v>
      </c>
      <c r="AZ19" s="1741">
        <v>41276.8492</v>
      </c>
      <c r="BA19" s="1222" t="e">
        <v>#REF!</v>
      </c>
      <c r="BB19" s="1742" t="e">
        <f t="shared" si="4"/>
        <v>#REF!</v>
      </c>
      <c r="BZ19" s="59" t="s">
        <v>1650</v>
      </c>
      <c r="CA19" s="59"/>
      <c r="CB19" s="59"/>
      <c r="CC19" s="59"/>
      <c r="CD19" s="59"/>
      <c r="CE19" s="59"/>
      <c r="CF19" s="59"/>
      <c r="CI19" s="1184">
        <v>2007</v>
      </c>
      <c r="CJ19" s="1214">
        <f>НАСТРОЙКА!CD148</f>
        <v>1.1187</v>
      </c>
      <c r="CK19" s="1738"/>
      <c r="CL19" s="1743">
        <f t="shared" si="5"/>
        <v>9.446505754379075</v>
      </c>
      <c r="CM19" s="1738"/>
      <c r="CN19" s="1744">
        <f t="shared" si="0"/>
        <v>72.7</v>
      </c>
      <c r="CO19" s="1738"/>
      <c r="CP19" s="1743">
        <v>25.58</v>
      </c>
      <c r="CQ19" s="1738"/>
      <c r="CR19" s="1745">
        <v>10.650833844352405</v>
      </c>
      <c r="CS19" s="1738"/>
      <c r="CT19" s="1743">
        <v>5.972486590341229</v>
      </c>
      <c r="CU19" s="1738"/>
      <c r="CV19" s="1743">
        <v>2.2500954802530773</v>
      </c>
      <c r="CW19" s="1738"/>
      <c r="CX19" s="1743">
        <v>3.2419358312998843</v>
      </c>
      <c r="CY19" s="1738"/>
      <c r="DA19" s="1759">
        <v>1996</v>
      </c>
      <c r="DB19" s="410">
        <f t="shared" ref="DB19:DB43" si="8">FD33</f>
        <v>20.5</v>
      </c>
      <c r="DC19" s="272"/>
      <c r="DD19" s="576"/>
      <c r="DT19" s="1760">
        <f t="shared" si="6"/>
        <v>20.5</v>
      </c>
      <c r="DX19" s="1761">
        <v>1996</v>
      </c>
      <c r="DY19" s="1243">
        <f t="shared" ref="DY19:DY43" si="9">CP8</f>
        <v>5.56</v>
      </c>
      <c r="DZ19" s="642"/>
      <c r="EA19" s="1243">
        <v>2.35</v>
      </c>
      <c r="EB19" s="479"/>
      <c r="ES19" s="316">
        <f>DY19</f>
        <v>5.56</v>
      </c>
      <c r="ET19" s="316">
        <f>EA19</f>
        <v>2.35</v>
      </c>
      <c r="EV19" s="59"/>
      <c r="EW19" s="1759">
        <v>1996</v>
      </c>
      <c r="EY19" s="59" t="s">
        <v>1651</v>
      </c>
      <c r="EZ19" s="59"/>
    </row>
    <row r="20" ht="19.5" customHeight="1" spans="4:156" x14ac:dyDescent="0.25">
      <c r="D20" s="675">
        <f t="shared" si="1"/>
        <v>0.7934215973490463</v>
      </c>
      <c r="F20" s="559">
        <v>2009</v>
      </c>
      <c r="G20" s="1741">
        <v>6356.223</v>
      </c>
      <c r="H20" s="1222">
        <v>7976.013</v>
      </c>
      <c r="I20" s="1742">
        <v>0.7934215973490463</v>
      </c>
      <c r="Y20" s="1742">
        <f t="shared" si="2"/>
        <v>0.7934215973490463</v>
      </c>
      <c r="AC20" s="559">
        <v>2009</v>
      </c>
      <c r="AD20" s="1741">
        <v>38807.270899999996</v>
      </c>
      <c r="AE20" s="1222">
        <v>7976.013</v>
      </c>
      <c r="AF20" s="1742">
        <f t="shared" si="3"/>
        <v>0.20751308619786987</v>
      </c>
      <c r="AG20" s="1742">
        <f t="shared" si="7"/>
        <v>0.20751308619786987</v>
      </c>
      <c r="AY20" s="559">
        <v>2009</v>
      </c>
      <c r="AZ20" s="1741">
        <v>38807.270899999996</v>
      </c>
      <c r="BA20" s="1222" t="e">
        <v>#REF!</v>
      </c>
      <c r="BB20" s="1742" t="e">
        <f t="shared" si="4"/>
        <v>#REF!</v>
      </c>
      <c r="BZ20" s="59" t="s">
        <v>1652</v>
      </c>
      <c r="CA20" s="59"/>
      <c r="CB20" s="59"/>
      <c r="CC20" s="59"/>
      <c r="CD20" s="59"/>
      <c r="CE20" s="59"/>
      <c r="CF20" s="59"/>
      <c r="CI20" s="1184">
        <v>2008</v>
      </c>
      <c r="CJ20" s="1214">
        <f>НАСТРОЙКА!CD149</f>
        <v>1.1328</v>
      </c>
      <c r="CK20" s="1738"/>
      <c r="CL20" s="1743">
        <f t="shared" si="5"/>
        <v>10.701001718560617</v>
      </c>
      <c r="CM20" s="1738"/>
      <c r="CN20" s="1744">
        <f t="shared" si="0"/>
        <v>97.7</v>
      </c>
      <c r="CO20" s="1738"/>
      <c r="CP20" s="1743">
        <v>24.85</v>
      </c>
      <c r="CQ20" s="1738"/>
      <c r="CR20" s="1745">
        <v>13.643325842032947</v>
      </c>
      <c r="CS20" s="1738"/>
      <c r="CT20" s="1743">
        <v>6.61807370062663</v>
      </c>
      <c r="CU20" s="1738"/>
      <c r="CV20" s="1743">
        <v>2.2635960531345956</v>
      </c>
      <c r="CW20" s="1738"/>
      <c r="CX20" s="1743">
        <v>3.7217423343322666</v>
      </c>
      <c r="CY20" s="1738"/>
      <c r="DA20" s="1759">
        <v>1997</v>
      </c>
      <c r="DB20" s="410">
        <f t="shared" si="8"/>
        <v>19.1</v>
      </c>
      <c r="DC20" s="272"/>
      <c r="DD20" s="576"/>
      <c r="DT20" s="1760">
        <f t="shared" si="6"/>
        <v>19.1</v>
      </c>
      <c r="DX20" s="1761">
        <v>1997</v>
      </c>
      <c r="DY20" s="1243">
        <f t="shared" si="9"/>
        <v>5.8</v>
      </c>
      <c r="DZ20" s="642"/>
      <c r="EA20" s="1243">
        <v>2.63</v>
      </c>
      <c r="EB20" s="479"/>
      <c r="ES20" s="316">
        <f t="shared" ref="ES20:ES40" si="10">DY20</f>
        <v>5.8</v>
      </c>
      <c r="ET20" s="316">
        <f t="shared" ref="ET20:ET38" si="11">EA20</f>
        <v>2.63</v>
      </c>
      <c r="EV20" s="59"/>
      <c r="EW20" s="1759">
        <v>1997</v>
      </c>
      <c r="EY20" s="59" t="s">
        <v>1653</v>
      </c>
      <c r="EZ20" s="59"/>
    </row>
    <row r="21" ht="16.5" customHeight="1" spans="4:156" x14ac:dyDescent="0.25">
      <c r="D21" s="675">
        <f t="shared" si="1"/>
        <v>0.7067621825641744</v>
      </c>
      <c r="F21" s="559">
        <v>2010</v>
      </c>
      <c r="G21" s="1741">
        <v>6275.931</v>
      </c>
      <c r="H21" s="1222">
        <v>9152.1</v>
      </c>
      <c r="I21" s="1742">
        <v>0.7067621825641744</v>
      </c>
      <c r="Y21" s="1742">
        <f t="shared" si="2"/>
        <v>0.7067621825641744</v>
      </c>
      <c r="AC21" s="559">
        <v>2010</v>
      </c>
      <c r="AD21" s="1741">
        <v>46308.53100000001</v>
      </c>
      <c r="AE21" s="1222">
        <v>9152.1</v>
      </c>
      <c r="AF21" s="1742">
        <f t="shared" si="3"/>
        <v>0.2125833639706197</v>
      </c>
      <c r="AG21" s="1742">
        <f t="shared" si="7"/>
        <v>0.2125833639706197</v>
      </c>
      <c r="AY21" s="559">
        <v>2010</v>
      </c>
      <c r="AZ21" s="1741">
        <v>46308.53100000001</v>
      </c>
      <c r="BA21" s="1222" t="e">
        <v>#REF!</v>
      </c>
      <c r="BB21" s="1742" t="e">
        <f t="shared" si="4"/>
        <v>#REF!</v>
      </c>
      <c r="BZ21" s="59" t="s">
        <v>1654</v>
      </c>
      <c r="CA21" s="59"/>
      <c r="CB21" s="59"/>
      <c r="CC21" s="59"/>
      <c r="CD21" s="59"/>
      <c r="CE21" s="59"/>
      <c r="CF21" s="59"/>
      <c r="CI21" s="1184">
        <v>2009</v>
      </c>
      <c r="CJ21" s="1214">
        <f>НАСТРОЙКА!CD150</f>
        <v>1.088</v>
      </c>
      <c r="CK21" s="1738"/>
      <c r="CL21" s="1743">
        <f t="shared" si="5"/>
        <v>11.642689869793951</v>
      </c>
      <c r="CM21" s="1738"/>
      <c r="CN21" s="1744">
        <f t="shared" si="0"/>
        <v>61.9</v>
      </c>
      <c r="CO21" s="1738"/>
      <c r="CP21" s="1743">
        <v>31.72</v>
      </c>
      <c r="CQ21" s="1738"/>
      <c r="CR21" s="1745">
        <v>12.010355196687106</v>
      </c>
      <c r="CS21" s="1738"/>
      <c r="CT21" s="1743">
        <v>8.30157321960723</v>
      </c>
      <c r="CU21" s="1738"/>
      <c r="CV21" s="1743">
        <v>2.1572070386372695</v>
      </c>
      <c r="CW21" s="1738"/>
      <c r="CX21" s="1743">
        <v>2.5903326646952576</v>
      </c>
      <c r="CY21" s="1738"/>
      <c r="DA21" s="1759">
        <v>1998</v>
      </c>
      <c r="DB21" s="410">
        <f t="shared" si="8"/>
        <v>12.7</v>
      </c>
      <c r="DC21" s="272"/>
      <c r="DD21" s="576"/>
      <c r="DT21" s="1760">
        <f t="shared" si="6"/>
        <v>12.7</v>
      </c>
      <c r="DX21" s="1761">
        <v>1998</v>
      </c>
      <c r="DY21" s="1243">
        <f t="shared" si="9"/>
        <v>6</v>
      </c>
      <c r="DZ21" s="642"/>
      <c r="EA21" s="1243">
        <v>3.02</v>
      </c>
      <c r="EB21" s="479"/>
      <c r="ES21" s="316">
        <f t="shared" si="10"/>
        <v>6</v>
      </c>
      <c r="ET21" s="316">
        <f t="shared" si="11"/>
        <v>3.02</v>
      </c>
      <c r="EV21" s="59"/>
      <c r="EW21" s="1759">
        <v>1998</v>
      </c>
      <c r="EY21" s="59" t="s">
        <v>1655</v>
      </c>
      <c r="EZ21" s="59"/>
    </row>
    <row r="22" ht="16.5" customHeight="1" spans="4:156" x14ac:dyDescent="0.25">
      <c r="D22" s="675">
        <f t="shared" si="1"/>
        <v>0.851283008172615</v>
      </c>
      <c r="F22" s="559">
        <v>2011</v>
      </c>
      <c r="G22" s="1741">
        <v>8813.314</v>
      </c>
      <c r="H22" s="1222">
        <v>11035.652</v>
      </c>
      <c r="I22" s="1742">
        <v>0.851283008172615</v>
      </c>
      <c r="Y22" s="1742">
        <f t="shared" si="2"/>
        <v>0.851283008172615</v>
      </c>
      <c r="AC22" s="559">
        <v>2011</v>
      </c>
      <c r="AD22" s="1741">
        <v>60282.540400000005</v>
      </c>
      <c r="AE22" s="1222">
        <v>11035.652</v>
      </c>
      <c r="AF22" s="1742">
        <f t="shared" si="3"/>
        <v>0.21306287399022888</v>
      </c>
      <c r="AG22" s="1742">
        <f t="shared" si="7"/>
        <v>0.21306287399022888</v>
      </c>
      <c r="AY22" s="559">
        <v>2011</v>
      </c>
      <c r="AZ22" s="1741">
        <v>60282.540400000005</v>
      </c>
      <c r="BA22" s="1222" t="e">
        <v>#REF!</v>
      </c>
      <c r="BB22" s="1742" t="e">
        <f t="shared" si="4"/>
        <v>#REF!</v>
      </c>
      <c r="BZ22" s="59" t="s">
        <v>1656</v>
      </c>
      <c r="CA22" s="59"/>
      <c r="CB22" s="59"/>
      <c r="CC22" s="59"/>
      <c r="CD22" s="59"/>
      <c r="CE22" s="59"/>
      <c r="CF22" s="59"/>
      <c r="CI22" s="1184">
        <v>2010</v>
      </c>
      <c r="CJ22" s="1214">
        <f>НАСТРОЙКА!CD151</f>
        <v>1.0878</v>
      </c>
      <c r="CK22" s="1738"/>
      <c r="CL22" s="1743">
        <f t="shared" si="5"/>
        <v>12.664918040361862</v>
      </c>
      <c r="CM22" s="1738"/>
      <c r="CN22" s="1744">
        <f t="shared" si="0"/>
        <v>79.6</v>
      </c>
      <c r="CO22" s="1738"/>
      <c r="CP22" s="1743">
        <v>30.37</v>
      </c>
      <c r="CQ22" s="1738"/>
      <c r="CR22" s="1745">
        <v>14.006747557636276</v>
      </c>
      <c r="CS22" s="1738"/>
      <c r="CT22" s="1743">
        <v>8.121605375451491</v>
      </c>
      <c r="CU22" s="1738"/>
      <c r="CV22" s="1743">
        <v>2.3082115313418785</v>
      </c>
      <c r="CW22" s="1738"/>
      <c r="CX22" s="1743">
        <v>3.258638492186634</v>
      </c>
      <c r="CY22" s="1738"/>
      <c r="DA22" s="1759">
        <v>1999</v>
      </c>
      <c r="DB22" s="410">
        <f t="shared" si="8"/>
        <v>17.7</v>
      </c>
      <c r="DC22" s="272"/>
      <c r="DD22" s="576"/>
      <c r="DT22" s="1760">
        <f t="shared" si="6"/>
        <v>17.7</v>
      </c>
      <c r="DX22" s="1761">
        <v>1999</v>
      </c>
      <c r="DY22" s="1243">
        <f t="shared" si="9"/>
        <v>24.62</v>
      </c>
      <c r="DZ22" s="642"/>
      <c r="EA22" s="1243">
        <v>4.55</v>
      </c>
      <c r="EB22" s="479"/>
      <c r="ES22" s="316">
        <f t="shared" si="10"/>
        <v>24.62</v>
      </c>
      <c r="ET22" s="316">
        <f t="shared" si="11"/>
        <v>4.55</v>
      </c>
      <c r="EV22" s="59">
        <v>4.55</v>
      </c>
      <c r="EW22" s="1759">
        <v>1999</v>
      </c>
      <c r="EY22" s="59" t="s">
        <v>1657</v>
      </c>
      <c r="EZ22" s="59"/>
    </row>
    <row r="23" ht="18" customHeight="1" spans="4:156" x14ac:dyDescent="0.25">
      <c r="D23" s="675">
        <f t="shared" si="1"/>
        <v>0.8663993439527357</v>
      </c>
      <c r="F23" s="559">
        <v>2012</v>
      </c>
      <c r="G23" s="1741">
        <v>10338.4</v>
      </c>
      <c r="H23" s="1222">
        <v>12586.090400000001</v>
      </c>
      <c r="I23" s="1742">
        <v>0.8663993439527357</v>
      </c>
      <c r="Y23" s="1742">
        <f t="shared" si="2"/>
        <v>0.8663993439527357</v>
      </c>
      <c r="AC23" s="559">
        <v>2012</v>
      </c>
      <c r="AD23" s="1741">
        <v>68163.8831</v>
      </c>
      <c r="AE23" s="1222">
        <v>12586.090400000001</v>
      </c>
      <c r="AF23" s="1742">
        <f t="shared" si="3"/>
        <v>0.20489038258740133</v>
      </c>
      <c r="AG23" s="1742">
        <f t="shared" si="7"/>
        <v>0.20489038258740133</v>
      </c>
      <c r="AY23" s="559">
        <v>2012</v>
      </c>
      <c r="AZ23" s="1741">
        <v>68163.8831</v>
      </c>
      <c r="BA23" s="1222" t="e">
        <v>#REF!</v>
      </c>
      <c r="BB23" s="1742" t="e">
        <f t="shared" si="4"/>
        <v>#REF!</v>
      </c>
      <c r="BZ23" s="59" t="s">
        <v>1658</v>
      </c>
      <c r="CA23" s="59"/>
      <c r="CB23" s="59"/>
      <c r="CC23" s="59"/>
      <c r="CD23" s="59"/>
      <c r="CE23" s="59"/>
      <c r="CF23" s="59"/>
      <c r="CI23" s="1184">
        <v>2011</v>
      </c>
      <c r="CJ23" s="1214">
        <f>НАСТРОЙКА!CD152</f>
        <v>1.061</v>
      </c>
      <c r="CK23" s="1738"/>
      <c r="CL23" s="1743">
        <f t="shared" si="5"/>
        <v>13.437478040823935</v>
      </c>
      <c r="CM23" s="1738"/>
      <c r="CN23" s="1744">
        <f t="shared" si="0"/>
        <v>111</v>
      </c>
      <c r="CO23" s="1738"/>
      <c r="CP23" s="1743">
        <v>29.39</v>
      </c>
      <c r="CQ23" s="1738"/>
      <c r="CR23" s="1745">
        <v>17.40812446892646</v>
      </c>
      <c r="CS23" s="1738"/>
      <c r="CT23" s="1743">
        <v>8.282874191876036</v>
      </c>
      <c r="CU23" s="1738"/>
      <c r="CV23" s="1743">
        <v>2.315136165935904</v>
      </c>
      <c r="CW23" s="1738"/>
      <c r="CX23" s="1743">
        <v>3.920142106100521</v>
      </c>
      <c r="CY23" s="1738"/>
      <c r="DA23" s="1759">
        <v>2000</v>
      </c>
      <c r="DB23" s="410">
        <f t="shared" si="8"/>
        <v>28.3</v>
      </c>
      <c r="DC23" s="272"/>
      <c r="DD23" s="576"/>
      <c r="DT23" s="1760">
        <f t="shared" si="6"/>
        <v>28.3</v>
      </c>
      <c r="DX23" s="1761">
        <v>2000</v>
      </c>
      <c r="DY23" s="1243">
        <f t="shared" si="9"/>
        <v>28.16</v>
      </c>
      <c r="DZ23" s="642"/>
      <c r="EA23" s="1243">
        <v>7.04</v>
      </c>
      <c r="EB23" s="479"/>
      <c r="ES23" s="316">
        <f t="shared" si="10"/>
        <v>28.16</v>
      </c>
      <c r="ET23" s="316">
        <f t="shared" si="11"/>
        <v>7.04</v>
      </c>
      <c r="EV23" s="59"/>
      <c r="EW23" s="1759">
        <v>2000</v>
      </c>
      <c r="EY23" s="59" t="s">
        <v>1659</v>
      </c>
      <c r="EZ23" s="59"/>
    </row>
    <row r="24" ht="15.75" customHeight="1" spans="4:156" x14ac:dyDescent="0.25">
      <c r="D24" s="675">
        <f t="shared" si="1"/>
        <v>0.8561313124764497</v>
      </c>
      <c r="F24" s="559">
        <v>2013</v>
      </c>
      <c r="G24" s="1741">
        <v>11160.485</v>
      </c>
      <c r="H24" s="1222">
        <v>13450.2382</v>
      </c>
      <c r="I24" s="1742">
        <v>0.8561313124764497</v>
      </c>
      <c r="Y24" s="1742">
        <f t="shared" si="2"/>
        <v>0.8561313124764497</v>
      </c>
      <c r="AC24" s="559">
        <v>2013</v>
      </c>
      <c r="AD24" s="1741">
        <v>73133.89509999998</v>
      </c>
      <c r="AE24" s="1222">
        <v>13450.2382</v>
      </c>
      <c r="AF24" s="1742">
        <f t="shared" si="3"/>
        <v>0.19472604471863694</v>
      </c>
      <c r="AG24" s="1742">
        <f t="shared" si="7"/>
        <v>0.19472604471863694</v>
      </c>
      <c r="AY24" s="559">
        <v>2013</v>
      </c>
      <c r="AZ24" s="1741">
        <v>73133.89509999998</v>
      </c>
      <c r="BA24" s="1222" t="e">
        <v>#REF!</v>
      </c>
      <c r="BB24" s="1742" t="e">
        <f t="shared" si="4"/>
        <v>#REF!</v>
      </c>
      <c r="BZ24" s="59" t="s">
        <v>1660</v>
      </c>
      <c r="CA24" s="59"/>
      <c r="CB24" s="59"/>
      <c r="CC24" s="59"/>
      <c r="CD24" s="59"/>
      <c r="CE24" s="59"/>
      <c r="CF24" s="59"/>
      <c r="CI24" s="1184">
        <v>2012</v>
      </c>
      <c r="CJ24" s="1214">
        <f>НАСТРОЙКА!CD153</f>
        <v>1.0658</v>
      </c>
      <c r="CK24" s="1738"/>
      <c r="CL24" s="1743">
        <f t="shared" si="5"/>
        <v>14.321664095910151</v>
      </c>
      <c r="CM24" s="1738"/>
      <c r="CN24" s="1744">
        <f t="shared" si="0"/>
        <v>111.4</v>
      </c>
      <c r="CO24" s="1738"/>
      <c r="CP24" s="1743">
        <v>31.08</v>
      </c>
      <c r="CQ24" s="1738"/>
      <c r="CR24" s="1745">
        <v>18.653542469425737</v>
      </c>
      <c r="CS24" s="1738"/>
      <c r="CT24" s="1743">
        <v>8.667019917064364</v>
      </c>
      <c r="CU24" s="1738"/>
      <c r="CV24" s="1743">
        <v>2.3475480722590065</v>
      </c>
      <c r="CW24" s="1738"/>
      <c r="CX24" s="1743">
        <v>4.300395890392272</v>
      </c>
      <c r="CY24" s="1738"/>
      <c r="DA24" s="1759">
        <v>2001</v>
      </c>
      <c r="DB24" s="410">
        <f t="shared" si="8"/>
        <v>24.4</v>
      </c>
      <c r="DC24" s="272"/>
      <c r="DD24" s="576"/>
      <c r="DT24" s="1760">
        <f t="shared" si="6"/>
        <v>24.4</v>
      </c>
      <c r="DX24" s="1761">
        <v>2001</v>
      </c>
      <c r="DY24" s="1243">
        <f t="shared" si="9"/>
        <v>30.14</v>
      </c>
      <c r="DZ24" s="642"/>
      <c r="EA24" s="1243">
        <v>8.1</v>
      </c>
      <c r="EB24" s="479"/>
      <c r="ES24" s="316">
        <f t="shared" si="10"/>
        <v>30.14</v>
      </c>
      <c r="ET24" s="316">
        <f t="shared" si="11"/>
        <v>8.1</v>
      </c>
      <c r="EV24" s="59"/>
      <c r="EW24" s="1759">
        <v>2001</v>
      </c>
      <c r="EY24" s="59" t="s">
        <v>1661</v>
      </c>
      <c r="EZ24" s="59"/>
    </row>
    <row r="25" ht="18" customHeight="1" spans="4:156" x14ac:dyDescent="0.25">
      <c r="D25" s="675">
        <f t="shared" si="1"/>
        <v>0.7958768555676461</v>
      </c>
      <c r="F25" s="559">
        <v>2014</v>
      </c>
      <c r="G25" s="1741">
        <v>10888</v>
      </c>
      <c r="H25" s="1222">
        <v>13902.6453</v>
      </c>
      <c r="I25" s="1742">
        <v>0.7958768555676461</v>
      </c>
      <c r="Y25" s="1742">
        <f t="shared" si="2"/>
        <v>0.7958768555676461</v>
      </c>
      <c r="AC25" s="559">
        <v>2014</v>
      </c>
      <c r="AD25" s="1741">
        <v>79058</v>
      </c>
      <c r="AE25" s="1222">
        <v>13902.6453</v>
      </c>
      <c r="AF25" s="1742">
        <f t="shared" si="3"/>
        <v>0.18511698028902518</v>
      </c>
      <c r="AG25" s="1742">
        <f t="shared" si="7"/>
        <v>0.18511698028902518</v>
      </c>
      <c r="AY25" s="559">
        <v>2014</v>
      </c>
      <c r="AZ25" s="1741">
        <v>79199.6585</v>
      </c>
      <c r="BA25" s="1222" t="e">
        <v>#REF!</v>
      </c>
      <c r="BB25" s="1742" t="e">
        <f t="shared" si="4"/>
        <v>#REF!</v>
      </c>
      <c r="BZ25" s="59" t="s">
        <v>1662</v>
      </c>
      <c r="CA25" s="59"/>
      <c r="CB25" s="59"/>
      <c r="CC25" s="59"/>
      <c r="CD25" s="59"/>
      <c r="CE25" s="59"/>
      <c r="CF25" s="59"/>
      <c r="CI25" s="1184">
        <v>2013</v>
      </c>
      <c r="CJ25" s="1214">
        <f>НАСТРОЙКА!CD154</f>
        <v>1.0645</v>
      </c>
      <c r="CK25" s="1738"/>
      <c r="CL25" s="1743">
        <f t="shared" si="5"/>
        <v>15.245411430096356</v>
      </c>
      <c r="CM25" s="1738"/>
      <c r="CN25" s="1744">
        <f t="shared" si="0"/>
        <v>108.8</v>
      </c>
      <c r="CO25" s="1738"/>
      <c r="CP25" s="1743">
        <v>31.85</v>
      </c>
      <c r="CQ25" s="1738"/>
      <c r="CR25" s="1745">
        <v>18.357364736075578</v>
      </c>
      <c r="CS25" s="1738"/>
      <c r="CT25" s="1743">
        <v>9.0619465420278</v>
      </c>
      <c r="CU25" s="1738"/>
      <c r="CV25" s="1743">
        <v>2.455535283582921</v>
      </c>
      <c r="CW25" s="1738"/>
      <c r="CX25" s="1743">
        <v>4.450909746556001</v>
      </c>
      <c r="CY25" s="1738"/>
      <c r="DA25" s="1759">
        <v>2002</v>
      </c>
      <c r="DB25" s="410">
        <f t="shared" si="8"/>
        <v>25</v>
      </c>
      <c r="DC25" s="272"/>
      <c r="DD25" s="576"/>
      <c r="DT25" s="1760">
        <f t="shared" si="6"/>
        <v>25</v>
      </c>
      <c r="DX25" s="1761">
        <v>2002</v>
      </c>
      <c r="DY25" s="1243">
        <f t="shared" si="9"/>
        <v>31.4</v>
      </c>
      <c r="DZ25" s="642"/>
      <c r="EA25" s="1243">
        <v>9.17</v>
      </c>
      <c r="EB25" s="479"/>
      <c r="ES25" s="316">
        <f t="shared" si="10"/>
        <v>31.4</v>
      </c>
      <c r="ET25" s="316">
        <f t="shared" si="11"/>
        <v>9.17</v>
      </c>
      <c r="EV25" s="59">
        <v>9.27</v>
      </c>
      <c r="EW25" s="1759">
        <v>2002</v>
      </c>
      <c r="EY25" s="59" t="s">
        <v>1663</v>
      </c>
      <c r="EZ25" s="59"/>
    </row>
    <row r="26" ht="18" customHeight="1" spans="4:156" x14ac:dyDescent="0.25">
      <c r="D26" s="675">
        <f t="shared" si="1"/>
        <v>0.7738786676398997</v>
      </c>
      <c r="F26" s="559">
        <v>2015</v>
      </c>
      <c r="G26" s="1741">
        <v>10721</v>
      </c>
      <c r="H26" s="1222">
        <v>13897.2</v>
      </c>
      <c r="I26" s="1742">
        <v>0.7738786676398997</v>
      </c>
      <c r="Y26" s="1742">
        <f t="shared" si="2"/>
        <v>0.7738786676398997</v>
      </c>
      <c r="AC26" s="559">
        <v>2015</v>
      </c>
      <c r="AD26" s="1741">
        <v>83094</v>
      </c>
      <c r="AE26" s="1222">
        <v>13897.2</v>
      </c>
      <c r="AF26" s="1742">
        <f t="shared" si="3"/>
        <v>0.17395161982176993</v>
      </c>
      <c r="AG26" s="1742">
        <f t="shared" si="7"/>
        <v>0.17395161982176993</v>
      </c>
      <c r="AY26" s="559">
        <v>2015</v>
      </c>
      <c r="AZ26" s="1741">
        <v>83232.6184</v>
      </c>
      <c r="BA26" s="1222" t="e">
        <v>#REF!</v>
      </c>
      <c r="BB26" s="1742" t="e">
        <f t="shared" si="4"/>
        <v>#REF!</v>
      </c>
      <c r="BZ26" s="59" t="s">
        <v>1664</v>
      </c>
      <c r="CA26" s="59"/>
      <c r="CB26" s="59"/>
      <c r="CC26" s="59"/>
      <c r="CD26" s="59"/>
      <c r="CE26" s="59"/>
      <c r="CF26" s="59"/>
      <c r="CI26" s="1184">
        <v>2014</v>
      </c>
      <c r="CJ26" s="1214">
        <f>НАСТРОЙКА!CD155</f>
        <v>1.136</v>
      </c>
      <c r="CK26" s="1738"/>
      <c r="CL26" s="1743">
        <f t="shared" si="5"/>
        <v>17.31878738458946</v>
      </c>
      <c r="CM26" s="1738"/>
      <c r="CN26" s="1744">
        <f t="shared" si="0"/>
        <v>98.9</v>
      </c>
      <c r="CO26" s="1738"/>
      <c r="CP26" s="1743">
        <v>38.61</v>
      </c>
      <c r="CQ26" s="1762"/>
      <c r="CR26" s="1233"/>
      <c r="CS26" s="1738"/>
      <c r="CT26" s="1316"/>
      <c r="CU26" s="1738"/>
      <c r="CV26" s="1743"/>
      <c r="CW26" s="1738"/>
      <c r="CX26" s="1743"/>
      <c r="CY26" s="1738"/>
      <c r="DA26" s="1759">
        <v>2003</v>
      </c>
      <c r="DB26" s="410">
        <f t="shared" si="8"/>
        <v>28.9</v>
      </c>
      <c r="DC26" s="272"/>
      <c r="DD26" s="576"/>
      <c r="DT26" s="1760">
        <f t="shared" si="6"/>
        <v>28.9</v>
      </c>
      <c r="DX26" s="1761">
        <v>2003</v>
      </c>
      <c r="DY26" s="1243">
        <f t="shared" si="9"/>
        <v>29.45</v>
      </c>
      <c r="DZ26" s="642"/>
      <c r="EA26" s="1243">
        <v>10.14</v>
      </c>
      <c r="EB26" s="479"/>
      <c r="ES26" s="316">
        <f t="shared" si="10"/>
        <v>29.45</v>
      </c>
      <c r="ET26" s="316">
        <f t="shared" si="11"/>
        <v>10.14</v>
      </c>
      <c r="EV26" s="59"/>
      <c r="EW26" s="1759">
        <v>2003</v>
      </c>
      <c r="EY26" s="59" t="s">
        <v>1665</v>
      </c>
      <c r="EZ26" s="59"/>
    </row>
    <row r="27" ht="18" customHeight="1" spans="4:156" x14ac:dyDescent="0.25">
      <c r="D27" s="675">
        <f t="shared" si="1"/>
        <v>0.9145938940275166</v>
      </c>
      <c r="F27" s="559">
        <v>2016</v>
      </c>
      <c r="G27" s="1741">
        <v>13256</v>
      </c>
      <c r="H27" s="1222">
        <v>14748.8</v>
      </c>
      <c r="I27" s="1742">
        <v>0.9145938940275166</v>
      </c>
      <c r="Y27" s="1742">
        <f t="shared" si="2"/>
        <v>0.9145938940275166</v>
      </c>
      <c r="AC27" s="559">
        <v>2016</v>
      </c>
      <c r="AD27" s="1741">
        <v>86014</v>
      </c>
      <c r="AE27" s="1222">
        <v>14748.8</v>
      </c>
      <c r="AF27" s="1742">
        <f t="shared" si="3"/>
        <v>0.17611180367488666</v>
      </c>
      <c r="AG27" s="1742">
        <f t="shared" si="7"/>
        <v>0.17611180367488666</v>
      </c>
      <c r="AY27" s="559">
        <v>2016</v>
      </c>
      <c r="AZ27" s="1741">
        <v>86043.64890000001</v>
      </c>
      <c r="BA27" s="1222" t="e">
        <v>#REF!</v>
      </c>
      <c r="BB27" s="1742" t="e">
        <f t="shared" si="4"/>
        <v>#REF!</v>
      </c>
      <c r="BZ27" s="59" t="s">
        <v>1666</v>
      </c>
      <c r="CA27" s="59"/>
      <c r="CB27" s="59"/>
      <c r="CC27" s="59"/>
      <c r="CD27" s="59"/>
      <c r="CE27" s="59"/>
      <c r="CF27" s="59"/>
      <c r="CI27" s="1184">
        <v>2015</v>
      </c>
      <c r="CJ27" s="1214">
        <f>НАСТРОЙКА!CD156</f>
        <v>1.129</v>
      </c>
      <c r="CK27" s="1738"/>
      <c r="CL27" s="1743">
        <f t="shared" si="5"/>
        <v>19.5529109572015</v>
      </c>
      <c r="CM27" s="1738"/>
      <c r="CN27" s="1744">
        <f t="shared" si="0"/>
        <v>52.4</v>
      </c>
      <c r="CO27" s="1738"/>
      <c r="CP27" s="1743">
        <v>61.07</v>
      </c>
      <c r="CQ27" s="1762"/>
      <c r="CR27" s="1233"/>
      <c r="CS27" s="1738"/>
      <c r="CT27" s="1316"/>
      <c r="CU27" s="1738"/>
      <c r="CV27" s="1743"/>
      <c r="CW27" s="1738"/>
      <c r="CX27" s="1743"/>
      <c r="CY27" s="1738"/>
      <c r="DA27" s="1759">
        <v>2004</v>
      </c>
      <c r="DB27" s="410">
        <f t="shared" si="8"/>
        <v>38.3</v>
      </c>
      <c r="DC27" s="272"/>
      <c r="DD27" s="576"/>
      <c r="DT27" s="1760">
        <f t="shared" si="6"/>
        <v>38.3</v>
      </c>
      <c r="DX27" s="1761">
        <v>2004</v>
      </c>
      <c r="DY27" s="1243">
        <f t="shared" si="9"/>
        <v>27.75</v>
      </c>
      <c r="DZ27" s="642"/>
      <c r="EA27" s="1243">
        <v>11.55</v>
      </c>
      <c r="EB27" s="479"/>
      <c r="ES27" s="316">
        <f t="shared" si="10"/>
        <v>27.75</v>
      </c>
      <c r="ET27" s="316">
        <f t="shared" si="11"/>
        <v>11.55</v>
      </c>
      <c r="EV27" s="59"/>
      <c r="EW27" s="1759">
        <v>2004</v>
      </c>
      <c r="EY27" s="59" t="s">
        <v>1667</v>
      </c>
      <c r="EZ27" s="59"/>
    </row>
    <row r="28" ht="18" customHeight="1" spans="6:172" x14ac:dyDescent="0.25">
      <c r="F28" s="559">
        <v>2017</v>
      </c>
      <c r="G28" s="1763"/>
      <c r="H28" s="1764"/>
      <c r="I28" s="1765">
        <v>0.837</v>
      </c>
      <c r="Y28" s="1742">
        <f t="shared" si="2"/>
        <v>0.837</v>
      </c>
      <c r="AC28" s="559">
        <v>2017</v>
      </c>
      <c r="AD28" s="1763"/>
      <c r="AE28" s="1764"/>
      <c r="AF28" s="1765"/>
      <c r="AG28" s="1765"/>
      <c r="AY28" s="559">
        <v>2017</v>
      </c>
      <c r="AZ28" s="1763"/>
      <c r="BA28" s="1764"/>
      <c r="BB28" s="1765"/>
      <c r="BZ28" s="59" t="s">
        <v>1668</v>
      </c>
      <c r="CA28" s="59"/>
      <c r="CB28" s="59"/>
      <c r="CC28" s="59"/>
      <c r="CD28" s="59"/>
      <c r="CE28" s="59"/>
      <c r="CF28" s="59"/>
      <c r="CI28" s="1184">
        <v>2016</v>
      </c>
      <c r="CJ28" s="1214">
        <f>НАСТРОЙКА!CD157</f>
        <v>1.0539</v>
      </c>
      <c r="CK28" s="1738"/>
      <c r="CL28" s="1743">
        <f t="shared" si="5"/>
        <v>20.60681285779466</v>
      </c>
      <c r="CM28" s="1738"/>
      <c r="CN28" s="1744">
        <f t="shared" si="0"/>
        <v>44</v>
      </c>
      <c r="CO28" s="1738"/>
      <c r="CP28" s="1743">
        <v>66.08</v>
      </c>
      <c r="CQ28" s="1762"/>
      <c r="CR28" s="1233"/>
      <c r="CS28" s="1738"/>
      <c r="CT28" s="1316"/>
      <c r="CU28" s="1738"/>
      <c r="CV28" s="1743"/>
      <c r="CW28" s="1738"/>
      <c r="CX28" s="1743"/>
      <c r="CY28" s="1738"/>
      <c r="DA28" s="1759">
        <v>2005</v>
      </c>
      <c r="DB28" s="410">
        <f t="shared" si="8"/>
        <v>54.4</v>
      </c>
      <c r="DC28" s="326">
        <v>54.4</v>
      </c>
      <c r="DD28" s="576"/>
      <c r="DT28" s="1760">
        <f t="shared" si="6"/>
        <v>54.4</v>
      </c>
      <c r="DX28" s="1761">
        <v>2005</v>
      </c>
      <c r="DY28" s="1243">
        <f t="shared" si="9"/>
        <v>28.78</v>
      </c>
      <c r="DZ28" s="642"/>
      <c r="EA28" s="1243">
        <v>12.74</v>
      </c>
      <c r="EB28" s="479"/>
      <c r="ES28" s="316">
        <f t="shared" si="10"/>
        <v>28.78</v>
      </c>
      <c r="ET28" s="316">
        <f t="shared" si="11"/>
        <v>12.74</v>
      </c>
      <c r="EV28" s="59">
        <v>12.74</v>
      </c>
      <c r="EW28" s="1759">
        <v>2005</v>
      </c>
      <c r="EY28" s="59" t="s">
        <v>1669</v>
      </c>
      <c r="EZ28" s="59"/>
      <c r="FK28" s="1766" t="s">
        <v>1670</v>
      </c>
      <c r="FL28" s="1766" t="s">
        <v>1671</v>
      </c>
      <c r="FM28" s="1767"/>
      <c r="FN28" s="1767"/>
      <c r="FO28" s="1767"/>
      <c r="FP28" s="1767"/>
    </row>
    <row r="29" ht="17.25" customHeight="1" spans="6:172" x14ac:dyDescent="0.25">
      <c r="F29" s="559">
        <v>2018</v>
      </c>
      <c r="G29" s="1763"/>
      <c r="H29" s="1764"/>
      <c r="I29" s="1765">
        <v>0.837</v>
      </c>
      <c r="Y29" s="1742">
        <f t="shared" si="2"/>
        <v>0.837</v>
      </c>
      <c r="AC29" s="559">
        <v>2018</v>
      </c>
      <c r="AD29" s="1763"/>
      <c r="AE29" s="1764"/>
      <c r="AF29" s="1765"/>
      <c r="AG29" s="1765"/>
      <c r="AY29" s="559">
        <v>2018</v>
      </c>
      <c r="AZ29" s="1763"/>
      <c r="BA29" s="1764"/>
      <c r="BB29" s="1765"/>
      <c r="CI29" s="1184">
        <v>2017</v>
      </c>
      <c r="CJ29" s="1214">
        <v>1.025</v>
      </c>
      <c r="CK29" s="1225"/>
      <c r="CL29" s="1743">
        <f t="shared" si="5"/>
        <v>21.121983179239525</v>
      </c>
      <c r="CM29" s="1738">
        <f>CL29</f>
        <v>21.121983179239525</v>
      </c>
      <c r="CN29" s="1744">
        <f t="shared" si="0"/>
        <v>54.53</v>
      </c>
      <c r="CO29" s="1738"/>
      <c r="CP29" s="1743">
        <v>58.29</v>
      </c>
      <c r="CQ29" s="1762"/>
      <c r="CR29" s="1233"/>
      <c r="CS29" s="1738"/>
      <c r="CT29" s="1316"/>
      <c r="CU29" s="1738"/>
      <c r="CV29" s="1743"/>
      <c r="CW29" s="1738"/>
      <c r="CX29" s="1743"/>
      <c r="CY29" s="1738"/>
      <c r="DA29" s="1759">
        <v>2006</v>
      </c>
      <c r="DB29" s="410">
        <f t="shared" si="8"/>
        <v>65.4</v>
      </c>
      <c r="DC29" s="326">
        <v>65.4</v>
      </c>
      <c r="DD29" s="576"/>
      <c r="DT29" s="1760">
        <f t="shared" si="6"/>
        <v>65.4</v>
      </c>
      <c r="DX29" s="1761">
        <v>2006</v>
      </c>
      <c r="DY29" s="1243">
        <f t="shared" si="9"/>
        <v>26.33</v>
      </c>
      <c r="DZ29" s="642"/>
      <c r="EA29" s="1243">
        <v>12.64</v>
      </c>
      <c r="EB29" s="479"/>
      <c r="ES29" s="316">
        <f t="shared" si="10"/>
        <v>26.33</v>
      </c>
      <c r="ET29" s="316">
        <f t="shared" si="11"/>
        <v>12.64</v>
      </c>
      <c r="EV29" s="59">
        <v>12.64</v>
      </c>
      <c r="EW29" s="1759">
        <v>2006</v>
      </c>
      <c r="EY29" s="59" t="s">
        <v>1672</v>
      </c>
      <c r="EZ29" s="59"/>
      <c r="FK29" s="1768">
        <v>43070</v>
      </c>
      <c r="FL29" s="59" t="s">
        <v>1673</v>
      </c>
      <c r="FP29" s="1769">
        <v>66.87</v>
      </c>
    </row>
    <row r="30" ht="18" customHeight="1" spans="6:172" x14ac:dyDescent="0.25">
      <c r="F30" s="559">
        <v>2019</v>
      </c>
      <c r="G30" s="1763"/>
      <c r="H30" s="1764"/>
      <c r="I30" s="1765">
        <v>0.837</v>
      </c>
      <c r="Y30" s="1742">
        <f t="shared" si="2"/>
        <v>0.837</v>
      </c>
      <c r="AC30" s="559">
        <v>2019</v>
      </c>
      <c r="AD30" s="1763"/>
      <c r="AE30" s="1764"/>
      <c r="AF30" s="1765"/>
      <c r="AG30" s="1765"/>
      <c r="AY30" s="559">
        <v>2019</v>
      </c>
      <c r="AZ30" s="1763"/>
      <c r="BA30" s="1764"/>
      <c r="BB30" s="1765"/>
      <c r="CI30" s="1184">
        <v>2018</v>
      </c>
      <c r="CJ30" s="1214">
        <v>1.0426</v>
      </c>
      <c r="CK30" s="1225"/>
      <c r="CL30" s="1316"/>
      <c r="CM30" s="1738">
        <f t="shared" ref="CM30:CM42" si="12">CM29*CK30</f>
        <v>0</v>
      </c>
      <c r="CN30" s="1316"/>
      <c r="CO30" s="1738"/>
      <c r="CP30" s="1316">
        <v>62.69</v>
      </c>
      <c r="CQ30" s="1762"/>
      <c r="CR30" s="1233"/>
      <c r="CS30" s="1738"/>
      <c r="CT30" s="1316"/>
      <c r="CU30" s="1738"/>
      <c r="CV30" s="1743"/>
      <c r="CW30" s="1738"/>
      <c r="CX30" s="1743"/>
      <c r="CY30" s="1738"/>
      <c r="DA30" s="1759">
        <v>2007</v>
      </c>
      <c r="DB30" s="410">
        <f t="shared" si="8"/>
        <v>72.7</v>
      </c>
      <c r="DC30" s="326">
        <f>DC29+0.9*(DC29-DC28)</f>
        <v>75.30000000000001</v>
      </c>
      <c r="DD30" s="576"/>
      <c r="DT30" s="1760">
        <f t="shared" si="6"/>
        <v>72.7</v>
      </c>
      <c r="DX30" s="1761">
        <v>2007</v>
      </c>
      <c r="DY30" s="1243">
        <f t="shared" si="9"/>
        <v>25.58</v>
      </c>
      <c r="DZ30" s="642"/>
      <c r="EA30" s="1243">
        <v>13.98</v>
      </c>
      <c r="EB30" s="479"/>
      <c r="ES30" s="316">
        <f t="shared" si="10"/>
        <v>25.58</v>
      </c>
      <c r="ET30" s="316">
        <f t="shared" si="11"/>
        <v>13.98</v>
      </c>
      <c r="EV30" s="59">
        <v>13.98</v>
      </c>
      <c r="EW30" s="1759">
        <v>2007</v>
      </c>
      <c r="EY30" s="59" t="s">
        <v>1674</v>
      </c>
      <c r="EZ30" s="59"/>
      <c r="FC30" s="1770" t="s">
        <v>1675</v>
      </c>
      <c r="FD30" s="1771"/>
      <c r="FE30" s="1771"/>
      <c r="FF30" s="1771"/>
      <c r="FG30" s="1771"/>
      <c r="FH30" s="1771"/>
      <c r="FI30" s="1772"/>
      <c r="FK30" s="1768">
        <v>43040</v>
      </c>
      <c r="FL30" s="59" t="s">
        <v>1676</v>
      </c>
      <c r="FP30" s="1769">
        <v>62.61</v>
      </c>
    </row>
    <row r="31" ht="21" customHeight="1" spans="6:172" x14ac:dyDescent="0.25">
      <c r="F31" s="559">
        <v>2020</v>
      </c>
      <c r="G31" s="1763"/>
      <c r="H31" s="1764"/>
      <c r="I31" s="1765">
        <v>0.837</v>
      </c>
      <c r="Y31" s="1742">
        <f t="shared" si="2"/>
        <v>0.837</v>
      </c>
      <c r="AC31" s="559">
        <v>2020</v>
      </c>
      <c r="AD31" s="1763"/>
      <c r="AE31" s="1764"/>
      <c r="AF31" s="1765"/>
      <c r="AG31" s="1765"/>
      <c r="AY31" s="559">
        <v>2020</v>
      </c>
      <c r="AZ31" s="1763"/>
      <c r="BA31" s="1764"/>
      <c r="BB31" s="1765"/>
      <c r="CI31" s="1184">
        <v>2019</v>
      </c>
      <c r="CJ31" s="1214">
        <v>1.0304</v>
      </c>
      <c r="CK31" s="1225"/>
      <c r="CL31" s="1316"/>
      <c r="CM31" s="1738">
        <f t="shared" si="12"/>
        <v>0</v>
      </c>
      <c r="CN31" s="1316"/>
      <c r="CO31" s="1738"/>
      <c r="CP31" s="1316">
        <v>64.73</v>
      </c>
      <c r="CQ31" s="1762"/>
      <c r="CR31" s="1233"/>
      <c r="CS31" s="1738"/>
      <c r="CT31" s="1316"/>
      <c r="CU31" s="1738"/>
      <c r="CV31" s="1743"/>
      <c r="CW31" s="1738"/>
      <c r="CX31" s="1743"/>
      <c r="CY31" s="1738"/>
      <c r="DA31" s="1759">
        <v>2008</v>
      </c>
      <c r="DB31" s="410">
        <f t="shared" si="8"/>
        <v>97.7</v>
      </c>
      <c r="DC31" s="326">
        <f t="shared" ref="DC31:DC53" si="13">DC30+0.9*(DC30-DC29)</f>
        <v>84.21000000000002</v>
      </c>
      <c r="DD31" s="576"/>
      <c r="DT31" s="1760">
        <f t="shared" si="6"/>
        <v>97.7</v>
      </c>
      <c r="DX31" s="1761">
        <v>2008</v>
      </c>
      <c r="DY31" s="1243">
        <f t="shared" si="9"/>
        <v>24.85</v>
      </c>
      <c r="DZ31" s="642"/>
      <c r="EA31" s="1243">
        <v>14.34</v>
      </c>
      <c r="EB31" s="479"/>
      <c r="ES31" s="316">
        <f t="shared" si="10"/>
        <v>24.85</v>
      </c>
      <c r="ET31" s="316">
        <f t="shared" si="11"/>
        <v>14.34</v>
      </c>
      <c r="EV31" s="59">
        <v>14.34</v>
      </c>
      <c r="EW31" s="1759">
        <v>2008</v>
      </c>
      <c r="EY31" s="59" t="s">
        <v>1677</v>
      </c>
      <c r="EZ31" s="59"/>
      <c r="FC31" s="1773" t="s">
        <v>1678</v>
      </c>
      <c r="FD31" s="1774"/>
      <c r="FE31" s="1774"/>
      <c r="FF31" s="1774"/>
      <c r="FG31" s="1775"/>
      <c r="FK31" s="1768">
        <v>43009</v>
      </c>
      <c r="FL31" s="59" t="s">
        <v>1679</v>
      </c>
      <c r="FP31" s="1769">
        <v>61.37</v>
      </c>
    </row>
    <row r="32" ht="16.5" customHeight="1" spans="6:172" x14ac:dyDescent="0.25">
      <c r="F32" s="559">
        <v>2021</v>
      </c>
      <c r="G32" s="1763"/>
      <c r="H32" s="1764"/>
      <c r="I32" s="1765">
        <v>0.837</v>
      </c>
      <c r="Y32" s="1742">
        <f t="shared" si="2"/>
        <v>0.837</v>
      </c>
      <c r="AC32" s="559">
        <v>2021</v>
      </c>
      <c r="AD32" s="1763"/>
      <c r="AE32" s="1764"/>
      <c r="AF32" s="1765"/>
      <c r="AG32" s="1765"/>
      <c r="AY32" s="559">
        <v>2021</v>
      </c>
      <c r="AZ32" s="1763"/>
      <c r="BA32" s="1764"/>
      <c r="BB32" s="1765"/>
      <c r="CI32" s="1184">
        <v>2020</v>
      </c>
      <c r="CJ32" s="1214">
        <v>1.0491</v>
      </c>
      <c r="CK32" s="1225"/>
      <c r="CL32" s="1316"/>
      <c r="CM32" s="1738">
        <f t="shared" si="12"/>
        <v>0</v>
      </c>
      <c r="CN32" s="1316"/>
      <c r="CO32" s="1738"/>
      <c r="CP32" s="1316">
        <v>72.13</v>
      </c>
      <c r="CQ32" s="1762"/>
      <c r="CR32" s="1233"/>
      <c r="CS32" s="1738"/>
      <c r="CT32" s="1316"/>
      <c r="CU32" s="1738"/>
      <c r="CV32" s="1743"/>
      <c r="CW32" s="1738"/>
      <c r="CX32" s="1743"/>
      <c r="CY32" s="1738"/>
      <c r="DA32" s="1759">
        <v>2009</v>
      </c>
      <c r="DB32" s="410">
        <f t="shared" si="8"/>
        <v>61.9</v>
      </c>
      <c r="DC32" s="326">
        <f t="shared" si="13"/>
        <v>92.22900000000003</v>
      </c>
      <c r="DD32" s="576"/>
      <c r="DT32" s="1760">
        <f t="shared" si="6"/>
        <v>61.9</v>
      </c>
      <c r="DX32" s="1761">
        <v>2009</v>
      </c>
      <c r="DY32" s="1243">
        <f t="shared" si="9"/>
        <v>31.72</v>
      </c>
      <c r="DZ32" s="642"/>
      <c r="EA32" s="1243">
        <v>14.22</v>
      </c>
      <c r="EB32" s="479"/>
      <c r="ES32" s="316">
        <f t="shared" si="10"/>
        <v>31.72</v>
      </c>
      <c r="ET32" s="316">
        <f t="shared" si="11"/>
        <v>14.22</v>
      </c>
      <c r="EV32" s="59">
        <v>14.22</v>
      </c>
      <c r="EW32" s="1759">
        <v>2009</v>
      </c>
      <c r="EY32" s="59" t="s">
        <v>1680</v>
      </c>
      <c r="EZ32" s="59"/>
      <c r="FD32" s="1776">
        <v>17.1</v>
      </c>
      <c r="FK32" s="1768">
        <v>42979</v>
      </c>
      <c r="FL32" s="59" t="s">
        <v>1681</v>
      </c>
      <c r="FP32" s="1769">
        <v>56.79</v>
      </c>
    </row>
    <row r="33" ht="15.75" customHeight="1" spans="6:172" x14ac:dyDescent="0.25">
      <c r="F33" s="559">
        <v>2022</v>
      </c>
      <c r="G33" s="1763"/>
      <c r="H33" s="1764"/>
      <c r="I33" s="1765">
        <v>0.837</v>
      </c>
      <c r="Y33" s="1742">
        <f t="shared" si="2"/>
        <v>0.837</v>
      </c>
      <c r="AC33" s="559">
        <v>2022</v>
      </c>
      <c r="AD33" s="1763"/>
      <c r="AE33" s="1764"/>
      <c r="AF33" s="1765"/>
      <c r="AG33" s="1765"/>
      <c r="AY33" s="559">
        <v>2022</v>
      </c>
      <c r="AZ33" s="1763"/>
      <c r="BA33" s="1764"/>
      <c r="BB33" s="1765"/>
      <c r="CI33" s="1184">
        <v>2021</v>
      </c>
      <c r="CJ33" s="1214">
        <v>1.04</v>
      </c>
      <c r="CK33" s="1225"/>
      <c r="CL33" s="1316"/>
      <c r="CM33" s="1738">
        <f t="shared" si="12"/>
        <v>0</v>
      </c>
      <c r="CN33" s="1316"/>
      <c r="CO33" s="1738"/>
      <c r="CP33" s="1316"/>
      <c r="CQ33" s="1762"/>
      <c r="CR33" s="1233"/>
      <c r="CS33" s="1738"/>
      <c r="CT33" s="1316"/>
      <c r="CU33" s="1738"/>
      <c r="CV33" s="1743"/>
      <c r="CW33" s="1738"/>
      <c r="CX33" s="1743"/>
      <c r="CY33" s="1738"/>
      <c r="DA33" s="1759">
        <v>2010</v>
      </c>
      <c r="DB33" s="410">
        <f t="shared" si="8"/>
        <v>79.6</v>
      </c>
      <c r="DC33" s="326">
        <f t="shared" si="13"/>
        <v>99.44610000000003</v>
      </c>
      <c r="DD33" s="576"/>
      <c r="DT33" s="1760">
        <f t="shared" si="6"/>
        <v>79.6</v>
      </c>
      <c r="DX33" s="1761">
        <v>2010</v>
      </c>
      <c r="DY33" s="1243">
        <f t="shared" si="9"/>
        <v>30.37</v>
      </c>
      <c r="DZ33" s="642"/>
      <c r="EA33" s="1243">
        <v>15.82</v>
      </c>
      <c r="EB33" s="479"/>
      <c r="ES33" s="316">
        <f t="shared" si="10"/>
        <v>30.37</v>
      </c>
      <c r="ET33" s="316">
        <f t="shared" si="11"/>
        <v>15.82</v>
      </c>
      <c r="EV33" s="59">
        <v>15.82</v>
      </c>
      <c r="EW33" s="1759">
        <v>2010</v>
      </c>
      <c r="EY33" s="59" t="s">
        <v>1682</v>
      </c>
      <c r="EZ33" s="59"/>
      <c r="FD33" s="1776">
        <v>20.5</v>
      </c>
      <c r="FK33" s="1768">
        <v>42948</v>
      </c>
      <c r="FL33" s="59" t="s">
        <v>1683</v>
      </c>
      <c r="FP33" s="1769">
        <v>52.38</v>
      </c>
    </row>
    <row r="34" ht="18.75" customHeight="1" spans="6:172" x14ac:dyDescent="0.25">
      <c r="F34" s="559">
        <v>2023</v>
      </c>
      <c r="G34" s="1763"/>
      <c r="H34" s="1764"/>
      <c r="I34" s="1765">
        <v>0.837</v>
      </c>
      <c r="Y34" s="1742">
        <f t="shared" si="2"/>
        <v>0.837</v>
      </c>
      <c r="AC34" s="559">
        <v>2023</v>
      </c>
      <c r="AD34" s="1763"/>
      <c r="AE34" s="1764"/>
      <c r="AF34" s="1765"/>
      <c r="AG34" s="1765"/>
      <c r="AY34" s="559">
        <v>2023</v>
      </c>
      <c r="AZ34" s="1763"/>
      <c r="BA34" s="1764"/>
      <c r="BB34" s="1765"/>
      <c r="CI34" s="1184">
        <v>2022</v>
      </c>
      <c r="CJ34" s="24"/>
      <c r="CK34" s="1225"/>
      <c r="CL34" s="24"/>
      <c r="CM34" s="1738">
        <f t="shared" si="12"/>
        <v>0</v>
      </c>
      <c r="CN34" s="24"/>
      <c r="CO34" s="1738"/>
      <c r="CP34" s="1316"/>
      <c r="CQ34" s="1762"/>
      <c r="CR34" s="1233"/>
      <c r="CS34" s="1738"/>
      <c r="CT34" s="1316"/>
      <c r="CU34" s="1738"/>
      <c r="CV34" s="1743"/>
      <c r="CW34" s="1738"/>
      <c r="CX34" s="1743"/>
      <c r="CY34" s="1738"/>
      <c r="DA34" s="1759">
        <v>2011</v>
      </c>
      <c r="DB34" s="410">
        <f t="shared" si="8"/>
        <v>111</v>
      </c>
      <c r="DC34" s="326">
        <f t="shared" si="13"/>
        <v>105.94149000000003</v>
      </c>
      <c r="DD34" s="576"/>
      <c r="DT34" s="1760">
        <f t="shared" si="6"/>
        <v>111</v>
      </c>
      <c r="DX34" s="1761">
        <v>2011</v>
      </c>
      <c r="DY34" s="1243">
        <f t="shared" si="9"/>
        <v>29.39</v>
      </c>
      <c r="DZ34" s="642"/>
      <c r="EA34" s="1243">
        <v>17.35</v>
      </c>
      <c r="EB34" s="479"/>
      <c r="ES34" s="316">
        <f t="shared" si="10"/>
        <v>29.39</v>
      </c>
      <c r="ET34" s="316">
        <f t="shared" si="11"/>
        <v>17.35</v>
      </c>
      <c r="EV34" s="59">
        <v>17.35</v>
      </c>
      <c r="EW34" s="1759">
        <v>2011</v>
      </c>
      <c r="EY34" s="59" t="s">
        <v>1684</v>
      </c>
      <c r="EZ34" s="59"/>
      <c r="FD34" s="1776">
        <v>19.1</v>
      </c>
      <c r="FK34" s="1768">
        <v>42917</v>
      </c>
      <c r="FL34" s="59" t="s">
        <v>1685</v>
      </c>
      <c r="FP34" s="1769">
        <v>52.65</v>
      </c>
    </row>
    <row r="35" ht="21" customHeight="1" spans="6:172" x14ac:dyDescent="0.25">
      <c r="F35" s="559">
        <v>2024</v>
      </c>
      <c r="G35" s="1763"/>
      <c r="H35" s="1764"/>
      <c r="I35" s="1765">
        <v>0.837</v>
      </c>
      <c r="Y35" s="1742">
        <f t="shared" si="2"/>
        <v>0.837</v>
      </c>
      <c r="AC35" s="559">
        <v>2024</v>
      </c>
      <c r="AD35" s="1763"/>
      <c r="AE35" s="1764"/>
      <c r="AF35" s="1765"/>
      <c r="AG35" s="1765"/>
      <c r="AY35" s="559">
        <v>2024</v>
      </c>
      <c r="AZ35" s="1763"/>
      <c r="BA35" s="1764"/>
      <c r="BB35" s="1765"/>
      <c r="CI35" s="1184">
        <v>2023</v>
      </c>
      <c r="CJ35" s="24"/>
      <c r="CK35" s="1225"/>
      <c r="CL35" s="24"/>
      <c r="CM35" s="1738">
        <f t="shared" si="12"/>
        <v>0</v>
      </c>
      <c r="CN35" s="24"/>
      <c r="CO35" s="1738"/>
      <c r="CP35" s="1316"/>
      <c r="CQ35" s="1762"/>
      <c r="CR35" s="1233"/>
      <c r="CS35" s="1738"/>
      <c r="CT35" s="1316"/>
      <c r="CU35" s="1738"/>
      <c r="CV35" s="1743"/>
      <c r="CW35" s="1738"/>
      <c r="CX35" s="1743"/>
      <c r="CY35" s="1738"/>
      <c r="DA35" s="1759">
        <v>2012</v>
      </c>
      <c r="DB35" s="410">
        <f t="shared" si="8"/>
        <v>111.4</v>
      </c>
      <c r="DC35" s="326">
        <f t="shared" si="13"/>
        <v>111.78734100000003</v>
      </c>
      <c r="DD35" s="576"/>
      <c r="DT35" s="1760">
        <f t="shared" si="6"/>
        <v>111.4</v>
      </c>
      <c r="DX35" s="1761">
        <v>2012</v>
      </c>
      <c r="DY35" s="1243">
        <f t="shared" si="9"/>
        <v>31.08</v>
      </c>
      <c r="DZ35" s="642"/>
      <c r="EA35" s="1243">
        <v>18.46</v>
      </c>
      <c r="EB35" s="479"/>
      <c r="ES35" s="316">
        <f t="shared" si="10"/>
        <v>31.08</v>
      </c>
      <c r="ET35" s="316">
        <f t="shared" si="11"/>
        <v>18.46</v>
      </c>
      <c r="EV35" s="59">
        <v>18.46</v>
      </c>
      <c r="EW35" s="1759">
        <v>2012</v>
      </c>
      <c r="EY35" s="59" t="s">
        <v>1686</v>
      </c>
      <c r="EZ35" s="59"/>
      <c r="FD35" s="1776">
        <v>12.7</v>
      </c>
      <c r="FK35" s="1768">
        <v>42887</v>
      </c>
      <c r="FL35" s="59" t="s">
        <v>1687</v>
      </c>
      <c r="FP35" s="1769">
        <v>47.91</v>
      </c>
    </row>
    <row r="36" ht="18.75" customHeight="1" spans="6:172" x14ac:dyDescent="0.25">
      <c r="F36" s="559">
        <v>2025</v>
      </c>
      <c r="G36" s="1763"/>
      <c r="H36" s="1764"/>
      <c r="I36" s="1765">
        <v>0.837</v>
      </c>
      <c r="Y36" s="1742">
        <f t="shared" si="2"/>
        <v>0.837</v>
      </c>
      <c r="AC36" s="559">
        <v>2025</v>
      </c>
      <c r="AD36" s="1763"/>
      <c r="AE36" s="1764"/>
      <c r="AF36" s="1765"/>
      <c r="AG36" s="1765"/>
      <c r="AY36" s="559">
        <v>2025</v>
      </c>
      <c r="AZ36" s="1763"/>
      <c r="BA36" s="1764"/>
      <c r="BB36" s="1765"/>
      <c r="CI36" s="1184">
        <v>2024</v>
      </c>
      <c r="CJ36" s="24"/>
      <c r="CK36" s="1225"/>
      <c r="CL36" s="24"/>
      <c r="CM36" s="1738">
        <f t="shared" si="12"/>
        <v>0</v>
      </c>
      <c r="CN36" s="24"/>
      <c r="CO36" s="1738"/>
      <c r="CP36" s="1316"/>
      <c r="CQ36" s="1762"/>
      <c r="CR36" s="1233"/>
      <c r="CS36" s="1738"/>
      <c r="CT36" s="1316"/>
      <c r="CU36" s="1738"/>
      <c r="CV36" s="1743"/>
      <c r="CW36" s="1738"/>
      <c r="CX36" s="1743"/>
      <c r="CY36" s="1738"/>
      <c r="DA36" s="1759">
        <v>2013</v>
      </c>
      <c r="DB36" s="410">
        <f t="shared" si="8"/>
        <v>108.8</v>
      </c>
      <c r="DC36" s="326">
        <f t="shared" si="13"/>
        <v>117.04860690000002</v>
      </c>
      <c r="DD36" s="576"/>
      <c r="DT36" s="1760">
        <f t="shared" si="6"/>
        <v>108.8</v>
      </c>
      <c r="DX36" s="1761">
        <v>2013</v>
      </c>
      <c r="DY36" s="1243">
        <f t="shared" si="9"/>
        <v>31.85</v>
      </c>
      <c r="DZ36" s="642"/>
      <c r="EA36" s="1243">
        <v>20.48</v>
      </c>
      <c r="EB36" s="70"/>
      <c r="ES36" s="316">
        <f t="shared" si="10"/>
        <v>31.85</v>
      </c>
      <c r="ET36" s="316">
        <f t="shared" si="11"/>
        <v>20.48</v>
      </c>
      <c r="EV36" s="59">
        <v>20.48</v>
      </c>
      <c r="EW36" s="1759">
        <v>2013</v>
      </c>
      <c r="EY36" s="59" t="s">
        <v>1688</v>
      </c>
      <c r="EZ36" s="59"/>
      <c r="FD36" s="1776">
        <v>17.7</v>
      </c>
      <c r="FK36" s="1768">
        <v>42856</v>
      </c>
      <c r="FL36" s="59" t="s">
        <v>1689</v>
      </c>
      <c r="FP36" s="1769">
        <v>50.29</v>
      </c>
    </row>
    <row r="37" ht="16.5" customHeight="1" spans="6:172" x14ac:dyDescent="0.25">
      <c r="F37" s="559">
        <v>2026</v>
      </c>
      <c r="G37" s="1763"/>
      <c r="H37" s="1764"/>
      <c r="I37" s="1765">
        <v>0.837</v>
      </c>
      <c r="Y37" s="1742">
        <f t="shared" si="2"/>
        <v>0.837</v>
      </c>
      <c r="AC37" s="559">
        <v>2026</v>
      </c>
      <c r="AD37" s="1763"/>
      <c r="AE37" s="1764"/>
      <c r="AF37" s="1765"/>
      <c r="AG37" s="1765"/>
      <c r="AY37" s="559">
        <v>2026</v>
      </c>
      <c r="AZ37" s="1763"/>
      <c r="BA37" s="1764"/>
      <c r="BB37" s="1765"/>
      <c r="CI37" s="1184">
        <v>2025</v>
      </c>
      <c r="CJ37" s="24"/>
      <c r="CK37" s="1225"/>
      <c r="CL37" s="24"/>
      <c r="CM37" s="1738">
        <f t="shared" si="12"/>
        <v>0</v>
      </c>
      <c r="CN37" s="24"/>
      <c r="CO37" s="1738"/>
      <c r="CP37" s="1316"/>
      <c r="CQ37" s="1762"/>
      <c r="CR37" s="1233"/>
      <c r="CS37" s="1738"/>
      <c r="CT37" s="1316"/>
      <c r="CU37" s="1738"/>
      <c r="CV37" s="1743"/>
      <c r="CW37" s="1738"/>
      <c r="CX37" s="1743"/>
      <c r="CY37" s="1738"/>
      <c r="DA37" s="1759">
        <v>2014</v>
      </c>
      <c r="DB37" s="410">
        <f t="shared" si="8"/>
        <v>98.9</v>
      </c>
      <c r="DC37" s="326">
        <f t="shared" si="13"/>
        <v>121.78374621000002</v>
      </c>
      <c r="DD37" s="575"/>
      <c r="DT37" s="1760">
        <f t="shared" si="6"/>
        <v>98.9</v>
      </c>
      <c r="DX37" s="1761">
        <v>2014</v>
      </c>
      <c r="DY37" s="1243">
        <f t="shared" si="9"/>
        <v>38.61</v>
      </c>
      <c r="DZ37" s="48"/>
      <c r="EA37" s="1243">
        <v>21.26</v>
      </c>
      <c r="EB37" s="69">
        <v>19</v>
      </c>
      <c r="ES37" s="316">
        <f t="shared" si="10"/>
        <v>38.61</v>
      </c>
      <c r="ET37" s="316">
        <f t="shared" si="11"/>
        <v>21.26</v>
      </c>
      <c r="EV37" s="59">
        <v>21.26</v>
      </c>
      <c r="EW37" s="1759">
        <v>2014</v>
      </c>
      <c r="EY37" s="59" t="s">
        <v>1690</v>
      </c>
      <c r="EZ37" s="59"/>
      <c r="FD37" s="1776">
        <v>28.3</v>
      </c>
      <c r="FK37" s="1768">
        <v>42826</v>
      </c>
      <c r="FL37" s="59" t="s">
        <v>1691</v>
      </c>
      <c r="FP37" s="1769">
        <v>51.71</v>
      </c>
    </row>
    <row r="38" ht="21" customHeight="1" spans="6:172" x14ac:dyDescent="0.25">
      <c r="F38" s="559">
        <v>2027</v>
      </c>
      <c r="G38" s="1763"/>
      <c r="H38" s="1764"/>
      <c r="I38" s="1765">
        <v>0.837</v>
      </c>
      <c r="Y38" s="1742">
        <f t="shared" si="2"/>
        <v>0.837</v>
      </c>
      <c r="AC38" s="559">
        <v>2027</v>
      </c>
      <c r="AD38" s="1763"/>
      <c r="AE38" s="1764"/>
      <c r="AF38" s="1765"/>
      <c r="AG38" s="1765"/>
      <c r="AY38" s="559">
        <v>2027</v>
      </c>
      <c r="AZ38" s="1763"/>
      <c r="BA38" s="1764"/>
      <c r="BB38" s="1765"/>
      <c r="CI38" s="1184">
        <v>2026</v>
      </c>
      <c r="CJ38" s="24"/>
      <c r="CK38" s="1225"/>
      <c r="CL38" s="24"/>
      <c r="CM38" s="1738">
        <f t="shared" si="12"/>
        <v>0</v>
      </c>
      <c r="CN38" s="24"/>
      <c r="CO38" s="1738"/>
      <c r="CP38" s="1316"/>
      <c r="CQ38" s="1762"/>
      <c r="CR38" s="1233"/>
      <c r="CS38" s="1738"/>
      <c r="CT38" s="1316"/>
      <c r="CU38" s="1738"/>
      <c r="CV38" s="1743"/>
      <c r="CW38" s="1738"/>
      <c r="CX38" s="1743"/>
      <c r="CY38" s="1738"/>
      <c r="DA38" s="1759">
        <v>2015</v>
      </c>
      <c r="DB38" s="410">
        <f t="shared" si="8"/>
        <v>52.4</v>
      </c>
      <c r="DC38" s="326">
        <f t="shared" si="13"/>
        <v>126.04537158900001</v>
      </c>
      <c r="DD38" s="575"/>
      <c r="DT38" s="1760">
        <f t="shared" si="6"/>
        <v>52.4</v>
      </c>
      <c r="DX38" s="1761">
        <v>2015</v>
      </c>
      <c r="DY38" s="1243">
        <f t="shared" si="9"/>
        <v>61.07</v>
      </c>
      <c r="DZ38" s="48"/>
      <c r="EA38" s="1243">
        <v>22.57</v>
      </c>
      <c r="EB38" s="69">
        <v>20</v>
      </c>
      <c r="ES38" s="316">
        <f t="shared" si="10"/>
        <v>61.07</v>
      </c>
      <c r="ET38" s="316">
        <f t="shared" si="11"/>
        <v>22.57</v>
      </c>
      <c r="EV38" s="59">
        <v>22.57</v>
      </c>
      <c r="EW38" s="1759">
        <v>2015</v>
      </c>
      <c r="EY38" s="59" t="s">
        <v>1692</v>
      </c>
      <c r="EZ38" s="59"/>
      <c r="FD38" s="1776">
        <v>24.4</v>
      </c>
      <c r="FK38" s="1768">
        <v>42795</v>
      </c>
      <c r="FL38" s="59" t="s">
        <v>1693</v>
      </c>
      <c r="FP38" s="1769">
        <v>52.74</v>
      </c>
    </row>
    <row r="39" ht="21" customHeight="1" spans="6:172" x14ac:dyDescent="0.25">
      <c r="F39" s="559">
        <v>2028</v>
      </c>
      <c r="G39" s="1763"/>
      <c r="H39" s="1764"/>
      <c r="I39" s="1765">
        <v>0.837</v>
      </c>
      <c r="Y39" s="1742">
        <f t="shared" si="2"/>
        <v>0.837</v>
      </c>
      <c r="AC39" s="559">
        <v>2028</v>
      </c>
      <c r="AD39" s="1763"/>
      <c r="AE39" s="1764"/>
      <c r="AF39" s="1765"/>
      <c r="AG39" s="1765"/>
      <c r="AY39" s="559">
        <v>2028</v>
      </c>
      <c r="AZ39" s="1763"/>
      <c r="BA39" s="1764"/>
      <c r="BB39" s="1765"/>
      <c r="CI39" s="1184">
        <v>2027</v>
      </c>
      <c r="CJ39" s="24"/>
      <c r="CK39" s="1225"/>
      <c r="CL39" s="24"/>
      <c r="CM39" s="1738">
        <f t="shared" si="12"/>
        <v>0</v>
      </c>
      <c r="CN39" s="24"/>
      <c r="CO39" s="1738"/>
      <c r="CP39" s="1316"/>
      <c r="CQ39" s="1762"/>
      <c r="CR39" s="1233"/>
      <c r="CS39" s="1738"/>
      <c r="CT39" s="1316"/>
      <c r="CU39" s="1738"/>
      <c r="CV39" s="1743"/>
      <c r="CW39" s="1738"/>
      <c r="CX39" s="1743"/>
      <c r="CY39" s="1738"/>
      <c r="DA39" s="1759">
        <v>2016</v>
      </c>
      <c r="DB39" s="410">
        <f t="shared" si="8"/>
        <v>44</v>
      </c>
      <c r="DC39" s="326">
        <f t="shared" si="13"/>
        <v>129.8808344301</v>
      </c>
      <c r="DD39" s="575"/>
      <c r="DT39" s="1760">
        <f t="shared" si="6"/>
        <v>44</v>
      </c>
      <c r="DX39" s="1761">
        <v>2016</v>
      </c>
      <c r="DY39" s="1243">
        <f t="shared" si="9"/>
        <v>66.08</v>
      </c>
      <c r="DZ39" s="48"/>
      <c r="EA39" s="53"/>
      <c r="EB39" s="69">
        <f>EB38+0.7</f>
        <v>20.7</v>
      </c>
      <c r="ES39" s="316">
        <f t="shared" si="10"/>
        <v>66.08</v>
      </c>
      <c r="ET39" s="316">
        <f>EB39</f>
        <v>20.7</v>
      </c>
      <c r="EV39" s="59"/>
      <c r="EW39" s="1759">
        <v>2016</v>
      </c>
      <c r="EY39" s="59" t="s">
        <v>1694</v>
      </c>
      <c r="EZ39" s="59"/>
      <c r="FD39" s="1776">
        <v>25</v>
      </c>
      <c r="FK39" s="1768">
        <v>42767</v>
      </c>
      <c r="FL39" s="59" t="s">
        <v>1695</v>
      </c>
      <c r="FP39" s="1769">
        <v>55.56</v>
      </c>
    </row>
    <row r="40" ht="21" customHeight="1" spans="6:172" x14ac:dyDescent="0.25">
      <c r="F40" s="559">
        <v>2029</v>
      </c>
      <c r="G40" s="1763"/>
      <c r="H40" s="1764"/>
      <c r="I40" s="1765">
        <v>0.837</v>
      </c>
      <c r="Y40" s="1742">
        <f t="shared" si="2"/>
        <v>0.837</v>
      </c>
      <c r="AC40" s="559">
        <v>2029</v>
      </c>
      <c r="AD40" s="1763"/>
      <c r="AE40" s="1764"/>
      <c r="AF40" s="1765"/>
      <c r="AG40" s="1765"/>
      <c r="AY40" s="559">
        <v>2029</v>
      </c>
      <c r="AZ40" s="1763"/>
      <c r="BA40" s="1764"/>
      <c r="BB40" s="1765"/>
      <c r="CI40" s="1184">
        <v>2028</v>
      </c>
      <c r="CJ40" s="24"/>
      <c r="CK40" s="1225"/>
      <c r="CL40" s="24"/>
      <c r="CM40" s="1738">
        <f t="shared" si="12"/>
        <v>0</v>
      </c>
      <c r="CN40" s="24"/>
      <c r="CO40" s="1738"/>
      <c r="CP40" s="1316"/>
      <c r="CQ40" s="1762"/>
      <c r="CR40" s="1233"/>
      <c r="CS40" s="1738"/>
      <c r="CT40" s="1316"/>
      <c r="CU40" s="1738"/>
      <c r="CV40" s="1743"/>
      <c r="CW40" s="1738"/>
      <c r="CX40" s="1743"/>
      <c r="CY40" s="1738"/>
      <c r="DA40" s="1759">
        <v>2017</v>
      </c>
      <c r="DB40" s="410">
        <f t="shared" si="8"/>
        <v>54.53</v>
      </c>
      <c r="DC40" s="326">
        <f t="shared" si="13"/>
        <v>133.33275098709</v>
      </c>
      <c r="DD40" s="575"/>
      <c r="DT40" s="1760">
        <f t="shared" si="6"/>
        <v>54.53</v>
      </c>
      <c r="DX40" s="1761">
        <v>2017</v>
      </c>
      <c r="DY40" s="1243">
        <f t="shared" si="9"/>
        <v>58.29</v>
      </c>
      <c r="DZ40" s="48"/>
      <c r="EA40" s="53"/>
      <c r="EB40" s="69">
        <f t="shared" ref="EB40:EB53" si="14">EB39+0.7</f>
        <v>21.4</v>
      </c>
      <c r="ES40" s="316">
        <f t="shared" si="10"/>
        <v>58.29</v>
      </c>
      <c r="ET40" s="316">
        <f t="shared" ref="ET40:ET53" si="15">EB40</f>
        <v>21.4</v>
      </c>
      <c r="EV40" s="59"/>
      <c r="EW40" s="1759">
        <v>2017</v>
      </c>
      <c r="EY40" s="59" t="s">
        <v>1696</v>
      </c>
      <c r="EZ40" s="59"/>
      <c r="FD40" s="1776">
        <v>28.9</v>
      </c>
      <c r="FK40" s="1768">
        <v>42736</v>
      </c>
      <c r="FL40" s="59" t="s">
        <v>1697</v>
      </c>
      <c r="FP40" s="1769">
        <f>55.68</f>
        <v>55.68</v>
      </c>
    </row>
    <row r="41" ht="21" customHeight="1" spans="6:172" x14ac:dyDescent="0.25">
      <c r="F41" s="960">
        <v>2030</v>
      </c>
      <c r="G41" s="1777"/>
      <c r="H41" s="1777"/>
      <c r="I41" s="1778">
        <v>0.837</v>
      </c>
      <c r="Y41" s="1779">
        <f t="shared" si="2"/>
        <v>0.837</v>
      </c>
      <c r="AC41" s="960">
        <v>2030</v>
      </c>
      <c r="AD41" s="1777"/>
      <c r="AE41" s="1777"/>
      <c r="AF41" s="1780"/>
      <c r="AG41" s="1780"/>
      <c r="AY41" s="960">
        <v>2030</v>
      </c>
      <c r="AZ41" s="1777"/>
      <c r="BA41" s="1777"/>
      <c r="BB41" s="1780"/>
      <c r="CI41" s="1184">
        <v>2029</v>
      </c>
      <c r="CJ41" s="24"/>
      <c r="CK41" s="1225"/>
      <c r="CL41" s="24"/>
      <c r="CM41" s="1738">
        <f t="shared" si="12"/>
        <v>0</v>
      </c>
      <c r="CN41" s="24"/>
      <c r="CO41" s="1738"/>
      <c r="CP41" s="1316"/>
      <c r="CQ41" s="1762"/>
      <c r="CR41" s="1233"/>
      <c r="CS41" s="1738"/>
      <c r="CT41" s="1316"/>
      <c r="CU41" s="1738"/>
      <c r="CV41" s="1743"/>
      <c r="CW41" s="1738"/>
      <c r="CX41" s="1743"/>
      <c r="CY41" s="1738"/>
      <c r="DA41" s="1759">
        <v>2018</v>
      </c>
      <c r="DB41" s="410">
        <f t="shared" si="8"/>
        <v>72.93</v>
      </c>
      <c r="DC41" s="326">
        <f t="shared" si="13"/>
        <v>136.439475888381</v>
      </c>
      <c r="DD41" s="575"/>
      <c r="DT41" s="1760">
        <f t="shared" si="6"/>
        <v>72.93</v>
      </c>
      <c r="DX41" s="1761">
        <v>2018</v>
      </c>
      <c r="DY41" s="1243">
        <f t="shared" si="9"/>
        <v>62.69</v>
      </c>
      <c r="DZ41" s="48"/>
      <c r="EA41" s="53"/>
      <c r="EB41" s="69">
        <f t="shared" si="14"/>
        <v>22.099999999999998</v>
      </c>
      <c r="ES41" s="316">
        <f>DZ41</f>
        <v>0</v>
      </c>
      <c r="ET41" s="316">
        <f t="shared" si="15"/>
        <v>22.099999999999998</v>
      </c>
      <c r="EV41" s="59"/>
      <c r="EW41" s="1759">
        <v>2018</v>
      </c>
      <c r="EY41" s="59" t="s">
        <v>1698</v>
      </c>
      <c r="EZ41" s="59"/>
      <c r="FD41" s="1776">
        <v>38.3</v>
      </c>
      <c r="FO41" s="682" t="s">
        <v>1699</v>
      </c>
      <c r="FP41" s="1781">
        <f>SUM(FP29:FP40)</f>
        <v>666.5600000000001</v>
      </c>
    </row>
    <row r="42" ht="21" customHeight="1" spans="87:160" x14ac:dyDescent="0.25">
      <c r="CI42" s="977">
        <v>2030</v>
      </c>
      <c r="CJ42" s="692"/>
      <c r="CK42" s="1256"/>
      <c r="CL42" s="692"/>
      <c r="CM42" s="1782">
        <f t="shared" si="12"/>
        <v>0</v>
      </c>
      <c r="CN42" s="692"/>
      <c r="CO42" s="1782"/>
      <c r="CP42" s="1783"/>
      <c r="CQ42" s="1784"/>
      <c r="CR42" s="1297"/>
      <c r="CS42" s="1782"/>
      <c r="CT42" s="1783"/>
      <c r="CU42" s="1782"/>
      <c r="CV42" s="1785"/>
      <c r="CW42" s="1782"/>
      <c r="CX42" s="1785"/>
      <c r="CY42" s="1782"/>
      <c r="DA42" s="1759">
        <v>2019</v>
      </c>
      <c r="DB42" s="410">
        <f t="shared" si="8"/>
        <v>63.33</v>
      </c>
      <c r="DC42" s="326">
        <f t="shared" si="13"/>
        <v>139.2355282995429</v>
      </c>
      <c r="DD42" s="575"/>
      <c r="DT42" s="1760">
        <f t="shared" si="6"/>
        <v>63.33</v>
      </c>
      <c r="DX42" s="1761">
        <v>2019</v>
      </c>
      <c r="DY42" s="1243">
        <f t="shared" si="9"/>
        <v>64.73</v>
      </c>
      <c r="DZ42" s="48"/>
      <c r="EA42" s="53"/>
      <c r="EB42" s="69">
        <f t="shared" si="14"/>
        <v>22.799999999999997</v>
      </c>
      <c r="ES42" s="316">
        <f t="shared" ref="ES42:ES53" si="16">DZ42</f>
        <v>0</v>
      </c>
      <c r="ET42" s="316">
        <f t="shared" si="15"/>
        <v>22.799999999999997</v>
      </c>
      <c r="EV42" s="59"/>
      <c r="EW42" s="1759">
        <v>2019</v>
      </c>
      <c r="EY42" s="59" t="s">
        <v>1700</v>
      </c>
      <c r="EZ42" s="59"/>
      <c r="FD42" s="1776">
        <v>54.4</v>
      </c>
    </row>
    <row r="43" ht="21" customHeight="1" spans="105:172" x14ac:dyDescent="0.25">
      <c r="DA43" s="1759">
        <v>2020</v>
      </c>
      <c r="DB43" s="410">
        <f t="shared" si="8"/>
        <v>40</v>
      </c>
      <c r="DC43" s="326">
        <f t="shared" si="13"/>
        <v>141.7519754695886</v>
      </c>
      <c r="DD43" s="575">
        <f>DB43</f>
        <v>40</v>
      </c>
      <c r="DT43" s="1760">
        <f t="shared" si="6"/>
        <v>40</v>
      </c>
      <c r="DX43" s="1761">
        <v>2020</v>
      </c>
      <c r="DY43" s="1243">
        <f t="shared" si="9"/>
        <v>72.13</v>
      </c>
      <c r="DZ43" s="48"/>
      <c r="EA43" s="53"/>
      <c r="EB43" s="69">
        <f t="shared" si="14"/>
        <v>23.499999999999996</v>
      </c>
      <c r="ES43" s="316">
        <f t="shared" si="16"/>
        <v>0</v>
      </c>
      <c r="ET43" s="316">
        <f t="shared" si="15"/>
        <v>23.499999999999996</v>
      </c>
      <c r="EV43" s="59"/>
      <c r="EW43" s="1759">
        <v>2020</v>
      </c>
      <c r="EY43" s="59" t="s">
        <v>1701</v>
      </c>
      <c r="EZ43" s="59"/>
      <c r="FD43" s="1776">
        <v>65.4</v>
      </c>
      <c r="FO43" s="682" t="s">
        <v>1702</v>
      </c>
      <c r="FP43" s="779">
        <f>FP41/ 12</f>
        <v>55.546666666666674</v>
      </c>
    </row>
    <row r="44" ht="21.5" customHeight="1" spans="12:160" x14ac:dyDescent="0.25">
      <c r="L44" s="1786"/>
      <c r="M44" s="1786"/>
      <c r="N44" s="1786"/>
      <c r="O44" s="1786"/>
      <c r="P44" s="1786"/>
      <c r="Q44" s="1786"/>
      <c r="R44" s="1786"/>
      <c r="S44" s="1786"/>
      <c r="T44" s="1786"/>
      <c r="U44" s="1786"/>
      <c r="V44" s="1786"/>
      <c r="W44" s="1786"/>
      <c r="X44" s="1786"/>
      <c r="Y44" s="1786"/>
      <c r="Z44" s="1786"/>
      <c r="AJ44" s="1786"/>
      <c r="AK44" s="1786"/>
      <c r="AL44" s="1786"/>
      <c r="AM44" s="1786"/>
      <c r="AN44" s="1786"/>
      <c r="AO44" s="1786"/>
      <c r="AP44" s="1786"/>
      <c r="AQ44" s="1786"/>
      <c r="AR44" s="1786"/>
      <c r="AS44" s="1786"/>
      <c r="AT44" s="1786"/>
      <c r="AU44" s="1786"/>
      <c r="AV44" s="1786"/>
      <c r="AW44" s="1786"/>
      <c r="CP44" s="1787">
        <v>2000</v>
      </c>
      <c r="CQ44" s="1788">
        <v>28.5</v>
      </c>
      <c r="CS44" s="1787"/>
      <c r="CT44" s="1787"/>
      <c r="DA44" s="1759">
        <v>2021</v>
      </c>
      <c r="DB44" s="549"/>
      <c r="DC44" s="326">
        <f t="shared" si="13"/>
        <v>144.0167779226297</v>
      </c>
      <c r="DD44" s="575">
        <f>DB39</f>
        <v>44</v>
      </c>
      <c r="DT44" s="1760">
        <f>DD44</f>
        <v>44</v>
      </c>
      <c r="DX44" s="1761">
        <v>2021</v>
      </c>
      <c r="DY44" s="1243"/>
      <c r="DZ44" s="48"/>
      <c r="EA44" s="53"/>
      <c r="EB44" s="69">
        <f t="shared" si="14"/>
        <v>24.199999999999996</v>
      </c>
      <c r="ES44" s="316">
        <f t="shared" si="16"/>
        <v>0</v>
      </c>
      <c r="ET44" s="316">
        <f t="shared" si="15"/>
        <v>24.199999999999996</v>
      </c>
      <c r="EV44" s="59"/>
      <c r="EW44" s="1759">
        <v>2021</v>
      </c>
      <c r="EY44" s="59" t="s">
        <v>1703</v>
      </c>
      <c r="EZ44" s="59"/>
      <c r="FD44" s="1776">
        <v>72.7</v>
      </c>
    </row>
    <row r="45" ht="21" customHeight="1" spans="5:160" x14ac:dyDescent="0.25">
      <c r="E45" s="1554" t="s">
        <v>159</v>
      </c>
      <c r="F45" s="391" t="s">
        <v>1633</v>
      </c>
      <c r="G45" s="391" t="s">
        <v>626</v>
      </c>
      <c r="H45" s="391" t="s">
        <v>1704</v>
      </c>
      <c r="I45" s="391" t="s">
        <v>1705</v>
      </c>
      <c r="AB45" s="1554" t="s">
        <v>159</v>
      </c>
      <c r="AC45" s="391" t="s">
        <v>279</v>
      </c>
      <c r="AD45" s="391" t="s">
        <v>626</v>
      </c>
      <c r="AE45" s="391" t="s">
        <v>1706</v>
      </c>
      <c r="AF45" s="391" t="s">
        <v>1707</v>
      </c>
      <c r="AZ45" s="1557" t="s">
        <v>159</v>
      </c>
      <c r="BA45" s="1029" t="s">
        <v>279</v>
      </c>
      <c r="BB45" s="391" t="s">
        <v>1637</v>
      </c>
      <c r="BC45" s="391" t="s">
        <v>1704</v>
      </c>
      <c r="BU45" s="1554" t="s">
        <v>159</v>
      </c>
      <c r="BV45" s="391" t="s">
        <v>279</v>
      </c>
      <c r="BW45" s="391" t="s">
        <v>1708</v>
      </c>
      <c r="BX45" s="391" t="s">
        <v>1704</v>
      </c>
      <c r="BY45" s="391"/>
      <c r="CP45" s="1787">
        <v>2001</v>
      </c>
      <c r="CQ45" s="1788">
        <v>24.44</v>
      </c>
      <c r="CS45" s="1787"/>
      <c r="CT45" s="1787"/>
      <c r="DA45" s="1759">
        <v>2022</v>
      </c>
      <c r="DB45" s="549"/>
      <c r="DC45" s="326">
        <f t="shared" si="13"/>
        <v>146.0551001303667</v>
      </c>
      <c r="DD45" s="575">
        <f>DB40</f>
        <v>54.53</v>
      </c>
      <c r="DT45" s="1760">
        <f t="shared" ref="DT45:DT53" si="17">DD45</f>
        <v>54.53</v>
      </c>
      <c r="DX45" s="1761">
        <v>2022</v>
      </c>
      <c r="DY45" s="1243"/>
      <c r="DZ45" s="48"/>
      <c r="EA45" s="53"/>
      <c r="EB45" s="69">
        <f t="shared" si="14"/>
        <v>24.899999999999995</v>
      </c>
      <c r="ES45" s="316">
        <f t="shared" si="16"/>
        <v>0</v>
      </c>
      <c r="ET45" s="316">
        <f t="shared" si="15"/>
        <v>24.899999999999995</v>
      </c>
      <c r="EV45" s="59"/>
      <c r="EW45" s="1759">
        <v>2022</v>
      </c>
      <c r="EY45" s="59" t="s">
        <v>1709</v>
      </c>
      <c r="EZ45" s="59"/>
      <c r="FD45" s="1776">
        <v>97.7</v>
      </c>
    </row>
    <row r="46" ht="21.5" customHeight="1" spans="5:160" x14ac:dyDescent="0.25">
      <c r="E46" s="850">
        <v>43129</v>
      </c>
      <c r="F46" s="843" t="s">
        <v>706</v>
      </c>
      <c r="G46" s="843" t="s">
        <v>706</v>
      </c>
      <c r="H46" s="843" t="s">
        <v>840</v>
      </c>
      <c r="I46" s="843" t="s">
        <v>840</v>
      </c>
      <c r="AB46" s="1567">
        <v>43129</v>
      </c>
      <c r="AC46" s="843" t="s">
        <v>706</v>
      </c>
      <c r="AD46" s="843" t="s">
        <v>706</v>
      </c>
      <c r="AE46" s="843" t="s">
        <v>840</v>
      </c>
      <c r="AF46" s="843" t="s">
        <v>840</v>
      </c>
      <c r="AZ46" s="1789">
        <v>43188</v>
      </c>
      <c r="BA46" s="1790" t="s">
        <v>706</v>
      </c>
      <c r="BB46" s="1791" t="s">
        <v>706</v>
      </c>
      <c r="BC46" s="1181" t="s">
        <v>840</v>
      </c>
      <c r="BU46" s="1567">
        <v>43134</v>
      </c>
      <c r="BV46" s="843" t="s">
        <v>706</v>
      </c>
      <c r="BW46" s="843" t="s">
        <v>706</v>
      </c>
      <c r="BX46" s="843" t="s">
        <v>840</v>
      </c>
      <c r="BY46" s="843" t="s">
        <v>840</v>
      </c>
      <c r="CP46" s="1787">
        <v>2002</v>
      </c>
      <c r="CQ46" s="1788">
        <v>25.02</v>
      </c>
      <c r="CS46" s="1787"/>
      <c r="CT46" s="1787"/>
      <c r="DA46" s="1759">
        <v>2023</v>
      </c>
      <c r="DB46" s="549"/>
      <c r="DC46" s="326">
        <f t="shared" si="13"/>
        <v>147.88959011733</v>
      </c>
      <c r="DD46" s="575">
        <f t="shared" ref="DD46:DD53" si="18">DD45+0.8*(DD45-DD44)</f>
        <v>62.954</v>
      </c>
      <c r="DT46" s="1760">
        <f t="shared" si="17"/>
        <v>62.954</v>
      </c>
      <c r="DX46" s="1761">
        <v>2023</v>
      </c>
      <c r="DY46" s="1243"/>
      <c r="DZ46" s="48"/>
      <c r="EA46" s="53"/>
      <c r="EB46" s="69">
        <f t="shared" si="14"/>
        <v>25.599999999999994</v>
      </c>
      <c r="ES46" s="316">
        <f t="shared" si="16"/>
        <v>0</v>
      </c>
      <c r="ET46" s="316">
        <f t="shared" si="15"/>
        <v>25.599999999999994</v>
      </c>
      <c r="EV46" s="59"/>
      <c r="EW46" s="1759">
        <v>2023</v>
      </c>
      <c r="EY46" s="59" t="s">
        <v>1710</v>
      </c>
      <c r="EZ46" s="59"/>
      <c r="FD46" s="1776">
        <v>61.9</v>
      </c>
    </row>
    <row r="47" ht="21" customHeight="1" spans="5:160" x14ac:dyDescent="0.25">
      <c r="E47" s="1792">
        <v>1995</v>
      </c>
      <c r="F47" s="1793">
        <v>230.407</v>
      </c>
      <c r="G47" s="925">
        <v>266.974</v>
      </c>
      <c r="H47" s="1738"/>
      <c r="I47" s="1738"/>
      <c r="AB47" s="1792">
        <v>1995</v>
      </c>
      <c r="AC47" s="1737">
        <f t="shared" ref="AC47:AC68" si="19">AD6</f>
        <v>1428.5209</v>
      </c>
      <c r="AD47" s="1222">
        <v>266.974</v>
      </c>
      <c r="AE47" s="1742"/>
      <c r="AF47" s="1742"/>
      <c r="AX47" s="1794" t="e">
        <f t="shared" ref="AX47:AX60" si="20">BB47</f>
        <v>#REF!</v>
      </c>
      <c r="AZ47" s="1795">
        <v>1995</v>
      </c>
      <c r="BA47" s="1737">
        <f t="array" ref="BA47:BA68">TRANSPOSE(ОТЧЁТ!U67:AP67)</f>
        <v>1428.5209</v>
      </c>
      <c r="BB47" s="1222" t="e">
        <f t="array" ref="BB47:BB68">TRANSPOSE(ОТЧЁТ!#REF!)</f>
        <v>#REF!</v>
      </c>
      <c r="BC47" s="1742"/>
      <c r="BU47" s="1792">
        <v>1995</v>
      </c>
      <c r="BV47" s="1737">
        <v>1428.5209</v>
      </c>
      <c r="BW47" s="1222">
        <f t="array" ref="BW47:BW68">TRANSPOSE(ОТЧЁТ!U70:AP70)</f>
        <v>272.5015</v>
      </c>
      <c r="BX47" s="1742"/>
      <c r="BY47" s="1742"/>
      <c r="CP47" s="1787">
        <v>2003</v>
      </c>
      <c r="CQ47" s="1788">
        <v>28.83</v>
      </c>
      <c r="CS47" s="1787"/>
      <c r="CT47" s="1787"/>
      <c r="DA47" s="1759">
        <v>2024</v>
      </c>
      <c r="DB47" s="549"/>
      <c r="DC47" s="326">
        <f t="shared" si="13"/>
        <v>149.54063110559696</v>
      </c>
      <c r="DD47" s="575">
        <f t="shared" si="18"/>
        <v>69.6932</v>
      </c>
      <c r="DT47" s="1760">
        <f t="shared" si="17"/>
        <v>69.6932</v>
      </c>
      <c r="DX47" s="1761">
        <v>2024</v>
      </c>
      <c r="DY47" s="1243"/>
      <c r="DZ47" s="48"/>
      <c r="EA47" s="53"/>
      <c r="EB47" s="69">
        <f t="shared" si="14"/>
        <v>26.299999999999994</v>
      </c>
      <c r="ES47" s="316">
        <f t="shared" si="16"/>
        <v>0</v>
      </c>
      <c r="ET47" s="316">
        <f t="shared" si="15"/>
        <v>26.299999999999994</v>
      </c>
      <c r="EV47" s="59"/>
      <c r="EW47" s="1759">
        <v>2024</v>
      </c>
      <c r="EY47" s="59" t="s">
        <v>1711</v>
      </c>
      <c r="EZ47" s="59"/>
      <c r="FD47" s="1776">
        <v>79.6</v>
      </c>
    </row>
    <row r="48" ht="22.5" customHeight="1" spans="5:160" x14ac:dyDescent="0.25">
      <c r="E48" s="1795">
        <v>1996</v>
      </c>
      <c r="F48" s="1796">
        <v>334.302</v>
      </c>
      <c r="G48" s="925">
        <v>375.958</v>
      </c>
      <c r="H48" s="1738"/>
      <c r="I48" s="1738"/>
      <c r="AB48" s="1795">
        <v>1996</v>
      </c>
      <c r="AC48" s="1741">
        <f t="shared" si="19"/>
        <v>2007.8252000000002</v>
      </c>
      <c r="AD48" s="1222">
        <v>375.958</v>
      </c>
      <c r="AE48" s="1742"/>
      <c r="AF48" s="1742"/>
      <c r="AX48" s="1794" t="e">
        <f t="shared" si="20"/>
        <v>#REF!</v>
      </c>
      <c r="AZ48" s="1795">
        <v>1996</v>
      </c>
      <c r="BA48" s="1741">
        <v>2007.8252000000002</v>
      </c>
      <c r="BB48" s="1222" t="e">
        <v>#REF!</v>
      </c>
      <c r="BC48" s="1742"/>
      <c r="BU48" s="1795">
        <v>1996</v>
      </c>
      <c r="BV48" s="1741">
        <f t="shared" ref="BV48:BV68" si="21">BA48</f>
        <v>2007.8252000000002</v>
      </c>
      <c r="BW48" s="1222">
        <v>391.3813</v>
      </c>
      <c r="BX48" s="1742"/>
      <c r="BY48" s="1742"/>
      <c r="CP48" s="1787">
        <v>2004</v>
      </c>
      <c r="CQ48" s="1788">
        <v>38.27</v>
      </c>
      <c r="CS48" s="1787"/>
      <c r="CT48" s="1787"/>
      <c r="DA48" s="1759">
        <v>2025</v>
      </c>
      <c r="DB48" s="549"/>
      <c r="DC48" s="326">
        <f t="shared" si="13"/>
        <v>151.02656799503723</v>
      </c>
      <c r="DD48" s="575">
        <f t="shared" si="18"/>
        <v>75.08456000000001</v>
      </c>
      <c r="DT48" s="1760">
        <f t="shared" si="17"/>
        <v>75.08456000000001</v>
      </c>
      <c r="DX48" s="1761">
        <v>2025</v>
      </c>
      <c r="DY48" s="1243"/>
      <c r="DZ48" s="48"/>
      <c r="EA48" s="53"/>
      <c r="EB48" s="69">
        <f t="shared" si="14"/>
        <v>26.999999999999993</v>
      </c>
      <c r="ES48" s="316">
        <f t="shared" si="16"/>
        <v>0</v>
      </c>
      <c r="ET48" s="316">
        <f t="shared" si="15"/>
        <v>26.999999999999993</v>
      </c>
      <c r="EV48" s="59"/>
      <c r="EW48" s="1759">
        <v>2025</v>
      </c>
      <c r="EY48" s="59" t="s">
        <v>1712</v>
      </c>
      <c r="EZ48" s="59"/>
      <c r="FD48" s="1776">
        <v>111</v>
      </c>
    </row>
    <row r="49" ht="21" customHeight="1" spans="5:160" x14ac:dyDescent="0.25">
      <c r="E49" s="1795">
        <v>1997</v>
      </c>
      <c r="F49" s="1796">
        <v>406.472</v>
      </c>
      <c r="G49" s="925">
        <v>408.797</v>
      </c>
      <c r="H49" s="925">
        <f>0.7*G49+0.2*G48+0.1*G47</f>
        <v>388.0469</v>
      </c>
      <c r="I49" s="925"/>
      <c r="AB49" s="1795">
        <v>1997</v>
      </c>
      <c r="AC49" s="1741">
        <f t="shared" si="19"/>
        <v>2342.5137</v>
      </c>
      <c r="AD49" s="1222">
        <v>408.797</v>
      </c>
      <c r="AE49" s="1222">
        <f>0.5*AC49+0.3*AC48+0.2*AC47</f>
        <v>2059.30859</v>
      </c>
      <c r="AF49" s="1222"/>
      <c r="AX49" s="1794" t="e">
        <f t="shared" si="20"/>
        <v>#REF!</v>
      </c>
      <c r="AZ49" s="1795">
        <v>1997</v>
      </c>
      <c r="BA49" s="1741">
        <v>2342.5137</v>
      </c>
      <c r="BB49" s="1222" t="e">
        <v>#REF!</v>
      </c>
      <c r="BC49" s="1222">
        <f>0.5*BA49+0.3*BA48+0.2*BA47</f>
        <v>2059.30859</v>
      </c>
      <c r="BT49" s="1797">
        <f>BX49</f>
        <v>2059.30859</v>
      </c>
      <c r="BU49" s="1795">
        <v>1997</v>
      </c>
      <c r="BV49" s="1741">
        <f t="shared" si="21"/>
        <v>2342.5137</v>
      </c>
      <c r="BW49" s="1222">
        <v>493.5735</v>
      </c>
      <c r="BX49" s="1222">
        <v>2059.30859</v>
      </c>
      <c r="BY49" s="1222"/>
      <c r="CP49" s="1787">
        <v>2005</v>
      </c>
      <c r="CQ49" s="1788">
        <v>54.52</v>
      </c>
      <c r="CS49" s="1787"/>
      <c r="CT49" s="1787"/>
      <c r="DA49" s="1759">
        <v>2026</v>
      </c>
      <c r="DB49" s="549"/>
      <c r="DC49" s="326">
        <f t="shared" si="13"/>
        <v>152.36391119553346</v>
      </c>
      <c r="DD49" s="575">
        <f t="shared" si="18"/>
        <v>79.39764800000002</v>
      </c>
      <c r="DT49" s="1760">
        <f t="shared" si="17"/>
        <v>79.39764800000002</v>
      </c>
      <c r="DX49" s="1761">
        <v>2026</v>
      </c>
      <c r="DY49" s="1243"/>
      <c r="DZ49" s="48"/>
      <c r="EA49" s="53"/>
      <c r="EB49" s="69">
        <f t="shared" si="14"/>
        <v>27.699999999999992</v>
      </c>
      <c r="ES49" s="316">
        <f t="shared" si="16"/>
        <v>0</v>
      </c>
      <c r="ET49" s="316">
        <f t="shared" si="15"/>
        <v>27.699999999999992</v>
      </c>
      <c r="EV49" s="59"/>
      <c r="EW49" s="1759">
        <v>2026</v>
      </c>
      <c r="EY49" s="59" t="s">
        <v>1713</v>
      </c>
      <c r="EZ49" s="59"/>
      <c r="FD49" s="1776">
        <v>111.4</v>
      </c>
    </row>
    <row r="50" ht="24.75" customHeight="1" spans="5:160" x14ac:dyDescent="0.25">
      <c r="E50" s="1795">
        <v>1998</v>
      </c>
      <c r="F50" s="1796">
        <v>428.564</v>
      </c>
      <c r="G50" s="925">
        <v>407.086</v>
      </c>
      <c r="H50" s="925">
        <f t="shared" ref="H50:H68" si="22">0.7*G50+0.2*G49+0.1*G48</f>
        <v>404.3154</v>
      </c>
      <c r="I50" s="925"/>
      <c r="AB50" s="1795">
        <v>1998</v>
      </c>
      <c r="AC50" s="1741">
        <f t="shared" si="19"/>
        <v>2629.6229</v>
      </c>
      <c r="AD50" s="1222">
        <v>407.086</v>
      </c>
      <c r="AE50" s="1222">
        <f t="shared" ref="AE50:AE68" si="23">0.5*AC50+0.3*AC49+0.2*AC48</f>
        <v>2419.1306</v>
      </c>
      <c r="AF50" s="1222"/>
      <c r="AX50" s="1794" t="e">
        <f t="shared" si="20"/>
        <v>#REF!</v>
      </c>
      <c r="AZ50" s="1795">
        <v>1998</v>
      </c>
      <c r="BA50" s="1741">
        <v>2629.6229</v>
      </c>
      <c r="BB50" s="1222" t="e">
        <v>#REF!</v>
      </c>
      <c r="BC50" s="1222">
        <f t="shared" ref="BC50:BC68" si="24">0.5*BA50+0.3*BA49+0.2*BA48</f>
        <v>2419.1306</v>
      </c>
      <c r="BT50" s="1797">
        <f t="shared" ref="BT50:BT64" si="25">BX50</f>
        <v>2419.1306</v>
      </c>
      <c r="BU50" s="1795">
        <v>1998</v>
      </c>
      <c r="BV50" s="1741">
        <f t="shared" si="21"/>
        <v>2629.6229</v>
      </c>
      <c r="BW50" s="1222">
        <v>492.6206</v>
      </c>
      <c r="BX50" s="1222">
        <v>2419.1306</v>
      </c>
      <c r="BY50" s="1222"/>
      <c r="CP50" s="1787">
        <v>2006</v>
      </c>
      <c r="CQ50" s="1788">
        <v>65.14</v>
      </c>
      <c r="CS50" s="1787"/>
      <c r="CT50" s="1787"/>
      <c r="DA50" s="1759">
        <v>2027</v>
      </c>
      <c r="DB50" s="549"/>
      <c r="DC50" s="326">
        <f t="shared" si="13"/>
        <v>153.56752007598007</v>
      </c>
      <c r="DD50" s="575">
        <f t="shared" si="18"/>
        <v>82.84811840000002</v>
      </c>
      <c r="DT50" s="1760">
        <f t="shared" si="17"/>
        <v>82.84811840000002</v>
      </c>
      <c r="DX50" s="1761">
        <v>2027</v>
      </c>
      <c r="DY50" s="1243"/>
      <c r="DZ50" s="48"/>
      <c r="EA50" s="53"/>
      <c r="EB50" s="69">
        <f t="shared" si="14"/>
        <v>28.39999999999999</v>
      </c>
      <c r="ES50" s="316">
        <f t="shared" si="16"/>
        <v>0</v>
      </c>
      <c r="ET50" s="316">
        <f t="shared" si="15"/>
        <v>28.39999999999999</v>
      </c>
      <c r="EV50" s="59"/>
      <c r="EW50" s="1759">
        <v>2027</v>
      </c>
      <c r="EY50" s="59" t="s">
        <v>1714</v>
      </c>
      <c r="EZ50" s="59"/>
      <c r="FD50" s="1776">
        <v>108.8</v>
      </c>
    </row>
    <row r="51" ht="21" customHeight="1" spans="5:160" x14ac:dyDescent="0.25">
      <c r="E51" s="1795">
        <v>1999</v>
      </c>
      <c r="F51" s="1796">
        <v>597.306</v>
      </c>
      <c r="G51" s="925">
        <v>670.439</v>
      </c>
      <c r="H51" s="925">
        <f t="shared" si="22"/>
        <v>591.6041999999999</v>
      </c>
      <c r="I51" s="925"/>
      <c r="AB51" s="1795">
        <v>1999</v>
      </c>
      <c r="AC51" s="1741">
        <f t="shared" si="19"/>
        <v>4823.2329</v>
      </c>
      <c r="AD51" s="1222">
        <v>670.439</v>
      </c>
      <c r="AE51" s="1222">
        <f t="shared" si="23"/>
        <v>3669.0060599999997</v>
      </c>
      <c r="AF51" s="1222"/>
      <c r="AX51" s="1794" t="e">
        <f t="shared" si="20"/>
        <v>#REF!</v>
      </c>
      <c r="AZ51" s="1795">
        <v>1999</v>
      </c>
      <c r="BA51" s="1741">
        <v>4823.2329</v>
      </c>
      <c r="BB51" s="1222" t="e">
        <v>#REF!</v>
      </c>
      <c r="BC51" s="1222">
        <f t="shared" si="24"/>
        <v>3669.0060599999997</v>
      </c>
      <c r="BT51" s="1797">
        <f t="shared" si="25"/>
        <v>3669.0060599999997</v>
      </c>
      <c r="BU51" s="1795">
        <v>1999</v>
      </c>
      <c r="BV51" s="1741">
        <f t="shared" si="21"/>
        <v>4823.2329</v>
      </c>
      <c r="BW51" s="1222">
        <v>703.2091</v>
      </c>
      <c r="BX51" s="1222">
        <v>3669.0060599999997</v>
      </c>
      <c r="BY51" s="1222"/>
      <c r="CP51" s="1787">
        <v>2007</v>
      </c>
      <c r="CQ51" s="1788">
        <v>72.39</v>
      </c>
      <c r="CS51" s="1787"/>
      <c r="CT51" s="1787"/>
      <c r="DA51" s="1759">
        <v>2028</v>
      </c>
      <c r="DB51" s="549"/>
      <c r="DC51" s="326">
        <f t="shared" si="13"/>
        <v>154.650768068382</v>
      </c>
      <c r="DD51" s="575">
        <f t="shared" si="18"/>
        <v>85.60849472000002</v>
      </c>
      <c r="DT51" s="1760">
        <f t="shared" si="17"/>
        <v>85.60849472000002</v>
      </c>
      <c r="DX51" s="1761">
        <v>2028</v>
      </c>
      <c r="DY51" s="1243"/>
      <c r="DZ51" s="48"/>
      <c r="EA51" s="53"/>
      <c r="EB51" s="69">
        <f t="shared" si="14"/>
        <v>29.09999999999999</v>
      </c>
      <c r="ES51" s="316">
        <f t="shared" si="16"/>
        <v>0</v>
      </c>
      <c r="ET51" s="316">
        <f t="shared" si="15"/>
        <v>29.09999999999999</v>
      </c>
      <c r="EV51" s="59"/>
      <c r="EW51" s="1759">
        <v>2028</v>
      </c>
      <c r="EY51" s="59" t="s">
        <v>1715</v>
      </c>
      <c r="EZ51" s="59"/>
      <c r="FD51" s="1776">
        <v>98.9</v>
      </c>
    </row>
    <row r="52" ht="21" customHeight="1" spans="5:160" x14ac:dyDescent="0.25">
      <c r="E52" s="1795">
        <v>2000</v>
      </c>
      <c r="F52" s="1796">
        <v>843.378</v>
      </c>
      <c r="G52" s="925">
        <v>1165.234</v>
      </c>
      <c r="H52" s="925">
        <f t="shared" si="22"/>
        <v>990.4602</v>
      </c>
      <c r="I52" s="925">
        <f>H52</f>
        <v>990.4602</v>
      </c>
      <c r="AB52" s="1795">
        <v>2000</v>
      </c>
      <c r="AC52" s="1741">
        <f t="shared" si="19"/>
        <v>7305.6466</v>
      </c>
      <c r="AD52" s="1222">
        <v>1165.234</v>
      </c>
      <c r="AE52" s="1222">
        <f t="shared" si="23"/>
        <v>5625.71775</v>
      </c>
      <c r="AF52" s="1222"/>
      <c r="AX52" s="1794" t="e">
        <f t="shared" si="20"/>
        <v>#REF!</v>
      </c>
      <c r="AZ52" s="1795">
        <v>2000</v>
      </c>
      <c r="BA52" s="1741">
        <v>7305.6466</v>
      </c>
      <c r="BB52" s="1222" t="e">
        <v>#REF!</v>
      </c>
      <c r="BC52" s="1222">
        <f t="shared" si="24"/>
        <v>5625.71775</v>
      </c>
      <c r="BT52" s="1797">
        <f t="shared" si="25"/>
        <v>5625.71775</v>
      </c>
      <c r="BU52" s="1795">
        <v>2000</v>
      </c>
      <c r="BV52" s="1741">
        <f t="shared" si="21"/>
        <v>7305.6466</v>
      </c>
      <c r="BW52" s="1222">
        <v>1102.4971</v>
      </c>
      <c r="BX52" s="1222">
        <v>5625.71775</v>
      </c>
      <c r="BY52" s="1222"/>
      <c r="CP52" s="1787">
        <v>2008</v>
      </c>
      <c r="CQ52" s="1788">
        <v>97.26</v>
      </c>
      <c r="CS52" s="1787"/>
      <c r="CT52" s="1787"/>
      <c r="DA52" s="1759">
        <v>2029</v>
      </c>
      <c r="DB52" s="549"/>
      <c r="DC52" s="326">
        <f t="shared" si="13"/>
        <v>155.62569126154375</v>
      </c>
      <c r="DD52" s="575">
        <f t="shared" si="18"/>
        <v>87.81679577600003</v>
      </c>
      <c r="DT52" s="1760">
        <f t="shared" si="17"/>
        <v>87.81679577600003</v>
      </c>
      <c r="DX52" s="1761">
        <v>2029</v>
      </c>
      <c r="DY52" s="1243"/>
      <c r="DZ52" s="48"/>
      <c r="EA52" s="53"/>
      <c r="EB52" s="69">
        <f t="shared" si="14"/>
        <v>29.79999999999999</v>
      </c>
      <c r="ES52" s="316">
        <f t="shared" si="16"/>
        <v>0</v>
      </c>
      <c r="ET52" s="316">
        <f t="shared" si="15"/>
        <v>29.79999999999999</v>
      </c>
      <c r="EV52" s="59"/>
      <c r="EW52" s="1759">
        <v>2029</v>
      </c>
      <c r="EY52" s="59" t="s">
        <v>1716</v>
      </c>
      <c r="EZ52" s="59"/>
      <c r="FD52" s="1776">
        <v>52.4</v>
      </c>
    </row>
    <row r="53" ht="21.5" customHeight="1" spans="5:160" x14ac:dyDescent="0.25">
      <c r="E53" s="1795">
        <v>2001</v>
      </c>
      <c r="F53" s="1796">
        <v>1117.655</v>
      </c>
      <c r="G53" s="925">
        <v>1504.7</v>
      </c>
      <c r="H53" s="925">
        <f t="shared" si="22"/>
        <v>1353.3807</v>
      </c>
      <c r="I53" s="925">
        <f t="shared" ref="I53:I59" si="26">H53</f>
        <v>1353.3807</v>
      </c>
      <c r="AB53" s="1795">
        <v>2001</v>
      </c>
      <c r="AC53" s="1741">
        <f t="shared" si="19"/>
        <v>8943.5826</v>
      </c>
      <c r="AD53" s="1222">
        <v>1504.7</v>
      </c>
      <c r="AE53" s="1222">
        <f t="shared" si="23"/>
        <v>7628.1318599999995</v>
      </c>
      <c r="AF53" s="1222"/>
      <c r="AX53" s="1794" t="e">
        <f t="shared" si="20"/>
        <v>#REF!</v>
      </c>
      <c r="AZ53" s="1795">
        <v>2001</v>
      </c>
      <c r="BA53" s="1741">
        <v>8943.5826</v>
      </c>
      <c r="BB53" s="1222" t="e">
        <v>#REF!</v>
      </c>
      <c r="BC53" s="1222">
        <f t="shared" si="24"/>
        <v>7628.1318599999995</v>
      </c>
      <c r="BT53" s="1797">
        <f t="shared" si="25"/>
        <v>7628.1318599999995</v>
      </c>
      <c r="BU53" s="1795">
        <v>2001</v>
      </c>
      <c r="BV53" s="1741">
        <f t="shared" si="21"/>
        <v>8943.5826</v>
      </c>
      <c r="BW53" s="1222">
        <v>1469.9576</v>
      </c>
      <c r="BX53" s="1222">
        <v>7628.1318599999995</v>
      </c>
      <c r="BY53" s="1222"/>
      <c r="CP53" s="1787">
        <v>2009</v>
      </c>
      <c r="CQ53" s="1788">
        <v>61.67</v>
      </c>
      <c r="CS53" s="1787"/>
      <c r="CT53" s="1787"/>
      <c r="DA53" s="1798">
        <v>2030</v>
      </c>
      <c r="DB53" s="1799"/>
      <c r="DC53" s="388">
        <f t="shared" si="13"/>
        <v>156.50312213538933</v>
      </c>
      <c r="DD53" s="631">
        <f t="shared" si="18"/>
        <v>89.58343662080004</v>
      </c>
      <c r="DT53" s="1800">
        <f t="shared" si="17"/>
        <v>89.58343662080004</v>
      </c>
      <c r="DX53" s="1801">
        <v>2030</v>
      </c>
      <c r="DY53" s="1802"/>
      <c r="DZ53" s="1292"/>
      <c r="EA53" s="93"/>
      <c r="EB53" s="1293">
        <f t="shared" si="14"/>
        <v>30.49999999999999</v>
      </c>
      <c r="ES53" s="386">
        <f t="shared" si="16"/>
        <v>0</v>
      </c>
      <c r="ET53" s="386">
        <f t="shared" si="15"/>
        <v>30.49999999999999</v>
      </c>
      <c r="EV53" s="59"/>
      <c r="EW53" s="1798">
        <v>2030</v>
      </c>
      <c r="EY53" s="59" t="s">
        <v>1717</v>
      </c>
      <c r="EZ53" s="59"/>
      <c r="FD53" s="1776">
        <v>44</v>
      </c>
    </row>
    <row r="54" ht="21" customHeight="1" spans="5:160" x14ac:dyDescent="0.25">
      <c r="E54" s="1795">
        <v>2002</v>
      </c>
      <c r="F54" s="1796">
        <v>1615.063</v>
      </c>
      <c r="G54" s="925">
        <v>1762.4</v>
      </c>
      <c r="H54" s="925">
        <f t="shared" si="22"/>
        <v>1651.1434000000002</v>
      </c>
      <c r="I54" s="925">
        <f t="shared" si="26"/>
        <v>1651.1434000000002</v>
      </c>
      <c r="AB54" s="1795">
        <v>2002</v>
      </c>
      <c r="AC54" s="1741">
        <f t="shared" si="19"/>
        <v>10819.270899999998</v>
      </c>
      <c r="AD54" s="1222">
        <v>1762.4</v>
      </c>
      <c r="AE54" s="1222">
        <f t="shared" si="23"/>
        <v>9553.839549999999</v>
      </c>
      <c r="AF54" s="1222"/>
      <c r="AX54" s="1794" t="e">
        <f t="shared" si="20"/>
        <v>#REF!</v>
      </c>
      <c r="AZ54" s="1795">
        <v>2002</v>
      </c>
      <c r="BA54" s="1741">
        <v>10819.270899999998</v>
      </c>
      <c r="BB54" s="1222" t="e">
        <v>#REF!</v>
      </c>
      <c r="BC54" s="1222">
        <f t="shared" si="24"/>
        <v>9553.839549999999</v>
      </c>
      <c r="BT54" s="1797">
        <f t="shared" si="25"/>
        <v>9553.839549999999</v>
      </c>
      <c r="BU54" s="1795">
        <v>2002</v>
      </c>
      <c r="BV54" s="1741">
        <f t="shared" si="21"/>
        <v>10819.270899999998</v>
      </c>
      <c r="BW54" s="1222">
        <v>1942.4418</v>
      </c>
      <c r="BX54" s="1222">
        <v>9553.839549999999</v>
      </c>
      <c r="BY54" s="1222"/>
      <c r="CP54" s="1787">
        <v>2010</v>
      </c>
      <c r="CQ54" s="1788">
        <v>79.5</v>
      </c>
      <c r="CS54" s="1787"/>
      <c r="CT54" s="1787"/>
      <c r="EY54" s="59">
        <v>2017</v>
      </c>
      <c r="FD54" s="1776">
        <v>54.53</v>
      </c>
    </row>
    <row r="55" ht="21" customHeight="1" spans="5:160" x14ac:dyDescent="0.25">
      <c r="E55" s="1795">
        <v>2003</v>
      </c>
      <c r="F55" s="1796">
        <v>1815.658</v>
      </c>
      <c r="G55" s="925">
        <v>2186.4</v>
      </c>
      <c r="H55" s="925">
        <f t="shared" si="22"/>
        <v>2033.43</v>
      </c>
      <c r="I55" s="925">
        <f t="shared" si="26"/>
        <v>2033.43</v>
      </c>
      <c r="AB55" s="1795">
        <v>2003</v>
      </c>
      <c r="AC55" s="1741">
        <f t="shared" si="19"/>
        <v>13208.250299999998</v>
      </c>
      <c r="AD55" s="1222">
        <v>2186.4</v>
      </c>
      <c r="AE55" s="1222">
        <f t="shared" si="23"/>
        <v>11638.622939999997</v>
      </c>
      <c r="AF55" s="1222"/>
      <c r="AX55" s="1794" t="e">
        <f t="shared" si="20"/>
        <v>#REF!</v>
      </c>
      <c r="AZ55" s="1795">
        <v>2003</v>
      </c>
      <c r="BA55" s="1741">
        <v>13208.250299999998</v>
      </c>
      <c r="BB55" s="1222" t="e">
        <v>#REF!</v>
      </c>
      <c r="BC55" s="1222">
        <f t="shared" si="24"/>
        <v>11638.622939999997</v>
      </c>
      <c r="BT55" s="1797">
        <f t="shared" si="25"/>
        <v>11638.622939999997</v>
      </c>
      <c r="BU55" s="1795">
        <v>2003</v>
      </c>
      <c r="BV55" s="1741">
        <f t="shared" si="21"/>
        <v>13208.250299999998</v>
      </c>
      <c r="BW55" s="1222">
        <v>2366.3687</v>
      </c>
      <c r="BX55" s="1222">
        <v>11638.622939999997</v>
      </c>
      <c r="BY55" s="1222"/>
      <c r="CP55" s="1787">
        <v>2011</v>
      </c>
      <c r="CQ55" s="1788">
        <v>111.26</v>
      </c>
      <c r="CS55" s="1787"/>
      <c r="CT55" s="1787"/>
      <c r="EY55" s="59">
        <v>2018</v>
      </c>
      <c r="FD55" s="1776">
        <v>72.93</v>
      </c>
    </row>
    <row r="56" ht="21" customHeight="1" spans="5:160" x14ac:dyDescent="0.25">
      <c r="E56" s="1795">
        <v>2004</v>
      </c>
      <c r="F56" s="1796">
        <v>1972.112</v>
      </c>
      <c r="G56" s="925">
        <v>2865</v>
      </c>
      <c r="H56" s="925">
        <f t="shared" si="22"/>
        <v>2619.0199999999995</v>
      </c>
      <c r="I56" s="925">
        <f t="shared" si="26"/>
        <v>2619.0199999999995</v>
      </c>
      <c r="AB56" s="1795">
        <v>2004</v>
      </c>
      <c r="AC56" s="1741">
        <f t="shared" si="19"/>
        <v>17027.166999999998</v>
      </c>
      <c r="AD56" s="1222">
        <v>2865</v>
      </c>
      <c r="AE56" s="1222">
        <f t="shared" si="23"/>
        <v>14639.912769999997</v>
      </c>
      <c r="AF56" s="1222"/>
      <c r="AX56" s="1794" t="e">
        <f t="shared" si="20"/>
        <v>#REF!</v>
      </c>
      <c r="AZ56" s="1795">
        <v>2004</v>
      </c>
      <c r="BA56" s="1741">
        <v>17027.166999999998</v>
      </c>
      <c r="BB56" s="1222" t="e">
        <v>#REF!</v>
      </c>
      <c r="BC56" s="1222">
        <f t="shared" si="24"/>
        <v>14639.912769999997</v>
      </c>
      <c r="BT56" s="1797">
        <f t="shared" si="25"/>
        <v>14639.912769999997</v>
      </c>
      <c r="BU56" s="1795">
        <v>2004</v>
      </c>
      <c r="BV56" s="1741">
        <f t="shared" si="21"/>
        <v>17027.166999999998</v>
      </c>
      <c r="BW56" s="1222">
        <v>2889.8145</v>
      </c>
      <c r="BX56" s="1222">
        <v>14639.912769999997</v>
      </c>
      <c r="BY56" s="1222"/>
      <c r="CP56" s="1787">
        <v>2012</v>
      </c>
      <c r="CQ56" s="1788">
        <v>111.67</v>
      </c>
      <c r="CS56" s="1787"/>
      <c r="CT56" s="1787"/>
      <c r="EY56" s="59">
        <v>2019</v>
      </c>
      <c r="FD56" s="1776">
        <v>63.33</v>
      </c>
    </row>
    <row r="57" ht="21" customHeight="1" spans="5:160" x14ac:dyDescent="0.25">
      <c r="E57" s="1795">
        <v>2005</v>
      </c>
      <c r="F57" s="1796">
        <v>2943.686</v>
      </c>
      <c r="G57" s="925">
        <v>3611.1</v>
      </c>
      <c r="H57" s="925">
        <f t="shared" si="22"/>
        <v>3319.41</v>
      </c>
      <c r="I57" s="925">
        <f t="shared" si="26"/>
        <v>3319.41</v>
      </c>
      <c r="AB57" s="1795">
        <v>2005</v>
      </c>
      <c r="AC57" s="1741">
        <f t="shared" si="19"/>
        <v>21609.765799999997</v>
      </c>
      <c r="AD57" s="1222">
        <v>3611.1</v>
      </c>
      <c r="AE57" s="1222">
        <f t="shared" si="23"/>
        <v>18554.683059999996</v>
      </c>
      <c r="AF57" s="1222"/>
      <c r="AX57" s="1794" t="e">
        <f t="shared" si="20"/>
        <v>#REF!</v>
      </c>
      <c r="AZ57" s="1795">
        <v>2005</v>
      </c>
      <c r="BA57" s="1741">
        <v>21609.765799999997</v>
      </c>
      <c r="BB57" s="1222" t="e">
        <v>#REF!</v>
      </c>
      <c r="BC57" s="1222">
        <f t="shared" si="24"/>
        <v>18554.683059999996</v>
      </c>
      <c r="BT57" s="1797">
        <f t="shared" si="25"/>
        <v>18554.683059999996</v>
      </c>
      <c r="BU57" s="1795">
        <v>2005</v>
      </c>
      <c r="BV57" s="1741">
        <f t="shared" si="21"/>
        <v>21609.765799999997</v>
      </c>
      <c r="BW57" s="1222">
        <v>3645.9185</v>
      </c>
      <c r="BX57" s="1222">
        <v>18554.683059999996</v>
      </c>
      <c r="BY57" s="1222"/>
      <c r="CP57" s="1787">
        <v>2013</v>
      </c>
      <c r="CQ57" s="1788">
        <v>108.66</v>
      </c>
      <c r="CS57" s="1787"/>
      <c r="CT57" s="1787"/>
      <c r="DV57" s="869" t="s">
        <v>159</v>
      </c>
      <c r="DW57" s="703" t="s">
        <v>41</v>
      </c>
      <c r="DX57" s="703" t="s">
        <v>1640</v>
      </c>
      <c r="DY57" s="703" t="s">
        <v>1718</v>
      </c>
      <c r="DZ57" s="703" t="s">
        <v>1719</v>
      </c>
      <c r="EA57" s="703" t="s">
        <v>1720</v>
      </c>
      <c r="EB57" s="703" t="s">
        <v>1642</v>
      </c>
      <c r="EC57" s="703" t="s">
        <v>1721</v>
      </c>
      <c r="ES57" s="1488" t="s">
        <v>995</v>
      </c>
      <c r="ET57" s="1119"/>
      <c r="EY57" s="59">
        <v>2020</v>
      </c>
      <c r="FD57" s="1776">
        <v>40</v>
      </c>
    </row>
    <row r="58" ht="21" customHeight="1" spans="5:155" x14ac:dyDescent="0.25">
      <c r="E58" s="1795">
        <v>2006</v>
      </c>
      <c r="F58" s="1796">
        <v>3252.436</v>
      </c>
      <c r="G58" s="925">
        <v>4730</v>
      </c>
      <c r="H58" s="925">
        <f t="shared" si="22"/>
        <v>4319.72</v>
      </c>
      <c r="I58" s="925">
        <f t="shared" si="26"/>
        <v>4319.72</v>
      </c>
      <c r="AB58" s="1795">
        <v>2006</v>
      </c>
      <c r="AC58" s="1741">
        <f t="shared" si="19"/>
        <v>26917.2037</v>
      </c>
      <c r="AD58" s="1222">
        <v>4730</v>
      </c>
      <c r="AE58" s="1222">
        <f t="shared" si="23"/>
        <v>23346.96499</v>
      </c>
      <c r="AF58" s="1222"/>
      <c r="AX58" s="1794" t="e">
        <f t="shared" si="20"/>
        <v>#REF!</v>
      </c>
      <c r="AZ58" s="1795">
        <v>2006</v>
      </c>
      <c r="BA58" s="1741">
        <v>26917.2037</v>
      </c>
      <c r="BB58" s="1222" t="e">
        <v>#REF!</v>
      </c>
      <c r="BC58" s="1222">
        <f t="shared" si="24"/>
        <v>23346.96499</v>
      </c>
      <c r="BT58" s="1797">
        <f t="shared" si="25"/>
        <v>23346.96499</v>
      </c>
      <c r="BU58" s="1795">
        <v>2006</v>
      </c>
      <c r="BV58" s="1741">
        <f t="shared" si="21"/>
        <v>26917.2037</v>
      </c>
      <c r="BW58" s="1222">
        <v>4680.4097</v>
      </c>
      <c r="BX58" s="1222">
        <v>23346.96499</v>
      </c>
      <c r="BY58" s="1222"/>
      <c r="CP58" s="1787">
        <v>2014</v>
      </c>
      <c r="CQ58" s="1788">
        <v>98.95</v>
      </c>
      <c r="CS58" s="1787"/>
      <c r="CT58" s="1787"/>
      <c r="CZ58" s="1554" t="s">
        <v>1722</v>
      </c>
      <c r="DA58" s="393" t="s">
        <v>279</v>
      </c>
      <c r="DB58" s="1736" t="s">
        <v>983</v>
      </c>
      <c r="DC58" s="393" t="s">
        <v>1723</v>
      </c>
      <c r="DD58" s="1736" t="s">
        <v>983</v>
      </c>
      <c r="DE58" s="393" t="s">
        <v>1724</v>
      </c>
      <c r="DF58" s="1736" t="s">
        <v>983</v>
      </c>
      <c r="DG58" s="393" t="s">
        <v>1725</v>
      </c>
      <c r="DH58" s="1736" t="s">
        <v>983</v>
      </c>
      <c r="DI58" s="393" t="s">
        <v>826</v>
      </c>
      <c r="DJ58" s="1736" t="s">
        <v>983</v>
      </c>
      <c r="DK58" s="393" t="s">
        <v>799</v>
      </c>
      <c r="DL58" s="1736" t="s">
        <v>983</v>
      </c>
      <c r="DM58" s="393" t="s">
        <v>1726</v>
      </c>
      <c r="DN58" s="1736" t="s">
        <v>983</v>
      </c>
      <c r="DO58" s="393" t="s">
        <v>763</v>
      </c>
      <c r="DP58" s="1736" t="s">
        <v>983</v>
      </c>
      <c r="DQ58" s="391" t="s">
        <v>1727</v>
      </c>
      <c r="DR58" s="1803" t="s">
        <v>983</v>
      </c>
      <c r="DS58" s="391" t="s">
        <v>1728</v>
      </c>
      <c r="DT58" s="1803" t="s">
        <v>983</v>
      </c>
      <c r="DV58" s="850">
        <v>43127</v>
      </c>
      <c r="DW58" s="843" t="s">
        <v>840</v>
      </c>
      <c r="DX58" s="1149" t="s">
        <v>399</v>
      </c>
      <c r="DY58" s="1149" t="s">
        <v>399</v>
      </c>
      <c r="DZ58" s="1149" t="s">
        <v>399</v>
      </c>
      <c r="EA58" s="1740" t="s">
        <v>1645</v>
      </c>
      <c r="EB58" s="843" t="s">
        <v>840</v>
      </c>
      <c r="EC58" s="843" t="s">
        <v>840</v>
      </c>
      <c r="ES58" s="703" t="s">
        <v>1642</v>
      </c>
      <c r="ET58" s="703" t="s">
        <v>1721</v>
      </c>
      <c r="EY58" s="59">
        <v>2021</v>
      </c>
    </row>
    <row r="59" ht="21" customHeight="1" spans="5:155" x14ac:dyDescent="0.25">
      <c r="E59" s="1795">
        <v>2007</v>
      </c>
      <c r="F59" s="1796">
        <v>4296.411</v>
      </c>
      <c r="G59" s="925">
        <v>6716.222</v>
      </c>
      <c r="H59" s="925">
        <f t="shared" si="22"/>
        <v>6008.465399999999</v>
      </c>
      <c r="I59" s="925">
        <f t="shared" si="26"/>
        <v>6008.465399999999</v>
      </c>
      <c r="AB59" s="1795">
        <v>2007</v>
      </c>
      <c r="AC59" s="1741">
        <f t="shared" si="19"/>
        <v>33247.5132</v>
      </c>
      <c r="AD59" s="1222">
        <v>6716.222</v>
      </c>
      <c r="AE59" s="1222">
        <f t="shared" si="23"/>
        <v>29020.870870000002</v>
      </c>
      <c r="AF59" s="1222"/>
      <c r="AX59" s="1794" t="e">
        <f t="shared" si="20"/>
        <v>#REF!</v>
      </c>
      <c r="AZ59" s="1795">
        <v>2007</v>
      </c>
      <c r="BA59" s="1741">
        <v>33247.5132</v>
      </c>
      <c r="BB59" s="1222" t="e">
        <v>#REF!</v>
      </c>
      <c r="BC59" s="1222">
        <f t="shared" si="24"/>
        <v>29020.870870000002</v>
      </c>
      <c r="BT59" s="1797">
        <f t="shared" si="25"/>
        <v>29020.870870000002</v>
      </c>
      <c r="BU59" s="1795">
        <v>2007</v>
      </c>
      <c r="BV59" s="1741">
        <f t="shared" si="21"/>
        <v>33247.5132</v>
      </c>
      <c r="BW59" s="1222">
        <v>5750.9641</v>
      </c>
      <c r="BX59" s="1222">
        <v>29020.870870000002</v>
      </c>
      <c r="BY59" s="1222"/>
      <c r="CP59" s="1787">
        <v>2015</v>
      </c>
      <c r="CQ59" s="1788">
        <v>52.39</v>
      </c>
      <c r="CS59" s="1787"/>
      <c r="CT59" s="1787"/>
      <c r="CZ59" s="850">
        <v>42023</v>
      </c>
      <c r="DA59" s="843" t="s">
        <v>56</v>
      </c>
      <c r="DB59" s="843" t="s">
        <v>56</v>
      </c>
      <c r="DC59" s="843" t="s">
        <v>840</v>
      </c>
      <c r="DD59" s="843" t="s">
        <v>840</v>
      </c>
      <c r="DE59" s="843" t="s">
        <v>840</v>
      </c>
      <c r="DF59" s="843" t="s">
        <v>840</v>
      </c>
      <c r="DG59" s="843" t="s">
        <v>840</v>
      </c>
      <c r="DH59" s="843" t="s">
        <v>840</v>
      </c>
      <c r="DI59" s="843" t="s">
        <v>840</v>
      </c>
      <c r="DJ59" s="843" t="s">
        <v>840</v>
      </c>
      <c r="DK59" s="843" t="s">
        <v>56</v>
      </c>
      <c r="DL59" s="843" t="s">
        <v>56</v>
      </c>
      <c r="DM59" s="843" t="s">
        <v>840</v>
      </c>
      <c r="DN59" s="843" t="s">
        <v>840</v>
      </c>
      <c r="DO59" s="843" t="s">
        <v>56</v>
      </c>
      <c r="DP59" s="843" t="s">
        <v>56</v>
      </c>
      <c r="DQ59" s="843" t="s">
        <v>840</v>
      </c>
      <c r="DR59" s="843" t="s">
        <v>840</v>
      </c>
      <c r="DS59" s="843" t="s">
        <v>840</v>
      </c>
      <c r="DT59" s="843" t="s">
        <v>840</v>
      </c>
      <c r="DV59" s="1240">
        <v>1995</v>
      </c>
      <c r="DW59" s="1743">
        <v>1</v>
      </c>
      <c r="DX59" s="1744">
        <v>17.1</v>
      </c>
      <c r="DY59" s="48">
        <f>0.95*DM54+0.05*DX59</f>
        <v>0.8550000000000001</v>
      </c>
      <c r="DZ59" s="1804">
        <f>0.7*DW59+0.3*EA59</f>
        <v>1.96</v>
      </c>
      <c r="EA59" s="1744">
        <v>4.2</v>
      </c>
      <c r="EB59" s="1189">
        <f t="array" ref="EB59:EB80">TRANSPOSE(ОТЧЁТ!U187:AP187)</f>
        <v>1</v>
      </c>
      <c r="EC59" s="1738">
        <f t="array" ref="EC59:EC80">TRANSPOSE(ОТЧЁТ!U188:AP188)</f>
        <v>1</v>
      </c>
      <c r="ES59" s="1189">
        <v>1</v>
      </c>
      <c r="ET59" s="1805">
        <v>1</v>
      </c>
      <c r="EY59" s="59">
        <v>2022</v>
      </c>
    </row>
    <row r="60" ht="21" customHeight="1" spans="5:155" x14ac:dyDescent="0.25">
      <c r="E60" s="1795">
        <v>2008</v>
      </c>
      <c r="F60" s="1796">
        <v>5744.847</v>
      </c>
      <c r="G60" s="925">
        <v>8781.616</v>
      </c>
      <c r="H60" s="925">
        <f t="shared" si="22"/>
        <v>7963.375599999999</v>
      </c>
      <c r="I60" s="925">
        <f t="shared" ref="I60:I68" si="27">H60</f>
        <v>7963.375599999999</v>
      </c>
      <c r="AB60" s="1795">
        <v>2008</v>
      </c>
      <c r="AC60" s="1741">
        <f t="shared" si="19"/>
        <v>41276.8492</v>
      </c>
      <c r="AD60" s="1222">
        <v>8781.616</v>
      </c>
      <c r="AE60" s="1222">
        <f t="shared" si="23"/>
        <v>35996.1193</v>
      </c>
      <c r="AF60" s="1222">
        <f t="shared" ref="AF60:AF68" si="28">AE60</f>
        <v>35996.1193</v>
      </c>
      <c r="AX60" s="1794" t="e">
        <f t="shared" si="20"/>
        <v>#REF!</v>
      </c>
      <c r="AZ60" s="1795">
        <v>2008</v>
      </c>
      <c r="BA60" s="1741">
        <v>41276.8492</v>
      </c>
      <c r="BB60" s="1222" t="e">
        <v>#REF!</v>
      </c>
      <c r="BC60" s="1222">
        <f t="shared" si="24"/>
        <v>35996.1193</v>
      </c>
      <c r="BT60" s="1797">
        <f t="shared" si="25"/>
        <v>35996.1193</v>
      </c>
      <c r="BU60" s="1795">
        <v>2008</v>
      </c>
      <c r="BV60" s="1741">
        <f t="shared" si="21"/>
        <v>41276.8492</v>
      </c>
      <c r="BW60" s="1222">
        <v>7359.8442</v>
      </c>
      <c r="BX60" s="1222">
        <v>35996.1193</v>
      </c>
      <c r="BY60" s="1222"/>
      <c r="CZ60" s="1756">
        <v>1995</v>
      </c>
      <c r="DA60" s="1806">
        <f t="array" ref="DA60:DA78">TRANSPOSE(ОТЧЁТ!U67:AM67)</f>
        <v>1428.5209</v>
      </c>
      <c r="DB60" s="1807"/>
      <c r="DC60" s="1808">
        <f t="array" ref="DC60:DC78">TRANSPOSE(ОТЧЁТ!U127:AM127)</f>
        <v>0.959</v>
      </c>
      <c r="DD60" s="1807"/>
      <c r="DE60" s="1808" t="e">
        <f t="array" ref="DE60:DE78">TRANSPOSE(НАСТРОЙКА!#REF!)</f>
        <v>#REF!</v>
      </c>
      <c r="DF60" s="1807"/>
      <c r="DG60" s="1809">
        <v>1</v>
      </c>
      <c r="DH60" s="1807"/>
      <c r="DI60" s="1810">
        <v>1</v>
      </c>
      <c r="DJ60" s="1807"/>
      <c r="DK60" s="1806">
        <f t="array" ref="DK60:DK78">TRANSPOSE(ОТЧЁТ!U89:AM89)</f>
        <v>910.9</v>
      </c>
      <c r="DL60" s="1807"/>
      <c r="DM60" s="1808">
        <f t="array" ref="DM60:DM78">TRANSPOSE(ОТЧЁТ!U141:AM141)</f>
        <v>0.899</v>
      </c>
      <c r="DN60" s="1807"/>
      <c r="DO60" s="1806">
        <f t="array" ref="DO60:DO78">TRANSPOSE(ОТЧЁТ!U79:AM79)</f>
        <v>266.974</v>
      </c>
      <c r="DP60" s="1807"/>
      <c r="DQ60" s="1811">
        <v>1</v>
      </c>
      <c r="DR60" s="1807"/>
      <c r="DS60" s="1811" t="e">
        <f>#REF!*EC59+#REF!*DQ60+#REF!</f>
        <v>#REF!</v>
      </c>
      <c r="DT60" s="1807"/>
      <c r="DV60" s="1245">
        <v>1996</v>
      </c>
      <c r="DW60" s="1743">
        <f>НАСТРОЙКА!CY137</f>
        <v>1.218</v>
      </c>
      <c r="DX60" s="1744">
        <f t="shared" ref="DX60:DX81" si="29">DB19</f>
        <v>20.5</v>
      </c>
      <c r="DY60" s="48">
        <f>0.95*DW60+0.05*DX60</f>
        <v>2.1821</v>
      </c>
      <c r="DZ60" s="53">
        <f>0.7*DW60+0.3*EA60</f>
        <v>2.5206</v>
      </c>
      <c r="EA60" s="1744">
        <f t="shared" ref="EA60:EA81" si="30">DY19</f>
        <v>5.56</v>
      </c>
      <c r="EB60" s="1200">
        <v>1.2062700474653716</v>
      </c>
      <c r="EC60" s="1738">
        <v>1.170751567490661</v>
      </c>
      <c r="ES60" s="1200">
        <f t="shared" ref="ES60:ES80" si="31">EB60</f>
        <v>1.2062700474653716</v>
      </c>
      <c r="ET60" s="1738">
        <f t="shared" ref="ET60:ET80" si="32">EC60</f>
        <v>1.170751567490661</v>
      </c>
      <c r="EY60" s="59">
        <v>2023</v>
      </c>
    </row>
    <row r="61" ht="21" customHeight="1" spans="5:155" x14ac:dyDescent="0.25">
      <c r="E61" s="1795">
        <v>2009</v>
      </c>
      <c r="F61" s="1796">
        <v>6356.223</v>
      </c>
      <c r="G61" s="925">
        <v>7976.013</v>
      </c>
      <c r="H61" s="925">
        <f t="shared" si="22"/>
        <v>8011.1545</v>
      </c>
      <c r="I61" s="925">
        <f t="shared" si="27"/>
        <v>8011.1545</v>
      </c>
      <c r="AB61" s="1795">
        <v>2009</v>
      </c>
      <c r="AC61" s="1741">
        <f t="shared" si="19"/>
        <v>38807.270899999996</v>
      </c>
      <c r="AD61" s="1222">
        <v>7976.013</v>
      </c>
      <c r="AE61" s="1222">
        <f t="shared" si="23"/>
        <v>38436.19285</v>
      </c>
      <c r="AF61" s="1222">
        <f t="shared" si="28"/>
        <v>38436.19285</v>
      </c>
      <c r="AZ61" s="1795">
        <v>2009</v>
      </c>
      <c r="BA61" s="1741">
        <v>38807.270899999996</v>
      </c>
      <c r="BB61" s="1222" t="e">
        <v>#REF!</v>
      </c>
      <c r="BC61" s="1222">
        <f t="shared" si="24"/>
        <v>38436.19285</v>
      </c>
      <c r="BT61" s="1797">
        <f t="shared" si="25"/>
        <v>38436.19285</v>
      </c>
      <c r="BU61" s="1795">
        <v>2009</v>
      </c>
      <c r="BV61" s="1741">
        <f t="shared" si="21"/>
        <v>38807.270899999996</v>
      </c>
      <c r="BW61" s="1222">
        <v>8066.7</v>
      </c>
      <c r="BX61" s="1222">
        <v>38436.19285</v>
      </c>
      <c r="BY61" s="1222"/>
      <c r="CZ61" s="1759">
        <v>1996</v>
      </c>
      <c r="DA61" s="1806">
        <v>2007.8252000000002</v>
      </c>
      <c r="DB61" s="1765"/>
      <c r="DC61" s="1808">
        <v>0.964</v>
      </c>
      <c r="DD61" s="1765"/>
      <c r="DE61" s="1808" t="e">
        <v>#REF!</v>
      </c>
      <c r="DF61" s="1765"/>
      <c r="DG61" s="1808">
        <f>DG60*DC61</f>
        <v>0.964</v>
      </c>
      <c r="DH61" s="1765"/>
      <c r="DI61" s="1812" t="e">
        <f>DI60*DE61</f>
        <v>#REF!</v>
      </c>
      <c r="DJ61" s="1765"/>
      <c r="DK61" s="1806">
        <v>1357.1</v>
      </c>
      <c r="DL61" s="1765"/>
      <c r="DM61" s="1808">
        <v>0.819</v>
      </c>
      <c r="DN61" s="1765"/>
      <c r="DO61" s="1806">
        <v>375.958</v>
      </c>
      <c r="DP61" s="1765"/>
      <c r="DQ61" s="1811">
        <v>1.4230255714814841</v>
      </c>
      <c r="DR61" s="1765"/>
      <c r="DS61" s="1811" t="e">
        <f>#REF!*EC60+#REF!*DQ61+#REF!</f>
        <v>#REF!</v>
      </c>
      <c r="DT61" s="1765"/>
      <c r="DV61" s="1245">
        <v>1997</v>
      </c>
      <c r="DW61" s="1743">
        <f>НАСТРОЙКА!CY138</f>
        <v>1.3519800000000002</v>
      </c>
      <c r="DX61" s="1744">
        <f t="shared" si="29"/>
        <v>19.1</v>
      </c>
      <c r="DY61" s="48">
        <f t="shared" ref="DY61:DY94" si="33">0.95*DW61+0.05*DX61</f>
        <v>2.2393810000000003</v>
      </c>
      <c r="DZ61" s="53">
        <f t="shared" ref="DZ61:DZ94" si="34">0.7*DW61+0.3*EA61</f>
        <v>2.686386</v>
      </c>
      <c r="EA61" s="1744">
        <f t="shared" si="30"/>
        <v>5.8</v>
      </c>
      <c r="EB61" s="1200">
        <v>1.3416177583578945</v>
      </c>
      <c r="EC61" s="1738">
        <v>1.4027022303089887</v>
      </c>
      <c r="ES61" s="1200">
        <f t="shared" si="31"/>
        <v>1.3416177583578945</v>
      </c>
      <c r="ET61" s="1738">
        <f t="shared" si="32"/>
        <v>1.4027022303089887</v>
      </c>
      <c r="EY61" s="59">
        <v>2024</v>
      </c>
    </row>
    <row r="62" ht="21" customHeight="1" spans="5:155" x14ac:dyDescent="0.25">
      <c r="E62" s="1795">
        <v>2010</v>
      </c>
      <c r="F62" s="1796">
        <v>6275.931</v>
      </c>
      <c r="G62" s="925">
        <v>9152.1</v>
      </c>
      <c r="H62" s="925">
        <f t="shared" si="22"/>
        <v>8879.8342</v>
      </c>
      <c r="I62" s="925">
        <f t="shared" si="27"/>
        <v>8879.8342</v>
      </c>
      <c r="AB62" s="1795">
        <v>2010</v>
      </c>
      <c r="AC62" s="1741">
        <f t="shared" si="19"/>
        <v>46308.53100000001</v>
      </c>
      <c r="AD62" s="1222">
        <v>9152.1</v>
      </c>
      <c r="AE62" s="1222">
        <f t="shared" si="23"/>
        <v>43051.81661</v>
      </c>
      <c r="AF62" s="1222">
        <f t="shared" si="28"/>
        <v>43051.81661</v>
      </c>
      <c r="AZ62" s="1795">
        <v>2010</v>
      </c>
      <c r="BA62" s="1741">
        <v>46308.53100000001</v>
      </c>
      <c r="BB62" s="1222" t="e">
        <v>#REF!</v>
      </c>
      <c r="BC62" s="1222">
        <f t="shared" si="24"/>
        <v>43051.81661</v>
      </c>
      <c r="BT62" s="1797">
        <f t="shared" si="25"/>
        <v>43051.81661</v>
      </c>
      <c r="BU62" s="1795">
        <v>2010</v>
      </c>
      <c r="BV62" s="1741">
        <f t="shared" si="21"/>
        <v>46308.53100000001</v>
      </c>
      <c r="BW62" s="1222">
        <v>8671.323</v>
      </c>
      <c r="BX62" s="1222">
        <v>43051.81661</v>
      </c>
      <c r="BY62" s="1222"/>
      <c r="CZ62" s="1759">
        <v>1997</v>
      </c>
      <c r="DA62" s="1806">
        <v>2342.5137</v>
      </c>
      <c r="DB62" s="1765"/>
      <c r="DC62" s="1808">
        <v>1.014</v>
      </c>
      <c r="DD62" s="1765"/>
      <c r="DE62" s="1808" t="e">
        <v>#REF!</v>
      </c>
      <c r="DF62" s="1765"/>
      <c r="DG62" s="1808">
        <f t="shared" ref="DG62:DG78" si="35">DG61*DC62</f>
        <v>0.977496</v>
      </c>
      <c r="DH62" s="1765"/>
      <c r="DI62" s="1812" t="e">
        <f t="shared" ref="DI62:DI78" si="36">DI61*DE62</f>
        <v>#REF!</v>
      </c>
      <c r="DJ62" s="1765"/>
      <c r="DK62" s="1806">
        <v>1656.4</v>
      </c>
      <c r="DL62" s="1765"/>
      <c r="DM62" s="1808">
        <v>0.95</v>
      </c>
      <c r="DN62" s="1765"/>
      <c r="DO62" s="1806">
        <v>408.797</v>
      </c>
      <c r="DP62" s="1765"/>
      <c r="DQ62" s="1811">
        <v>1.6020944641617485</v>
      </c>
      <c r="DR62" s="1765"/>
      <c r="DS62" s="1811" t="e">
        <f>#REF!*EC61+#REF!*DQ62+#REF!</f>
        <v>#REF!</v>
      </c>
      <c r="DT62" s="1765"/>
      <c r="DV62" s="1245">
        <v>1998</v>
      </c>
      <c r="DW62" s="1743">
        <f>НАСТРОЙКА!CY139</f>
        <v>2.4930511200000005</v>
      </c>
      <c r="DX62" s="1744">
        <f t="shared" si="29"/>
        <v>12.7</v>
      </c>
      <c r="DY62" s="48">
        <f t="shared" si="33"/>
        <v>3.0033985640000003</v>
      </c>
      <c r="DZ62" s="53">
        <f t="shared" si="34"/>
        <v>3.545135784</v>
      </c>
      <c r="EA62" s="1744">
        <f t="shared" si="30"/>
        <v>6</v>
      </c>
      <c r="EB62" s="1200">
        <v>1.86606737883619</v>
      </c>
      <c r="EC62" s="1738">
        <v>2.077665776266209</v>
      </c>
      <c r="ES62" s="1200">
        <f t="shared" si="31"/>
        <v>1.86606737883619</v>
      </c>
      <c r="ET62" s="1738">
        <f t="shared" si="32"/>
        <v>2.077665776266209</v>
      </c>
      <c r="EY62" s="59">
        <v>2025</v>
      </c>
    </row>
    <row r="63" ht="21" customHeight="1" spans="5:150" x14ac:dyDescent="0.25">
      <c r="E63" s="1795">
        <v>2011</v>
      </c>
      <c r="F63" s="1796">
        <v>8813.314</v>
      </c>
      <c r="G63" s="925">
        <v>11035.652</v>
      </c>
      <c r="H63" s="925">
        <f t="shared" si="22"/>
        <v>10352.9777</v>
      </c>
      <c r="I63" s="925">
        <f t="shared" si="27"/>
        <v>10352.9777</v>
      </c>
      <c r="AB63" s="1795">
        <v>2011</v>
      </c>
      <c r="AC63" s="1741">
        <f t="shared" si="19"/>
        <v>60282.540400000005</v>
      </c>
      <c r="AD63" s="1222">
        <v>11035.652</v>
      </c>
      <c r="AE63" s="1222">
        <f t="shared" si="23"/>
        <v>51795.28368000001</v>
      </c>
      <c r="AF63" s="1222">
        <f t="shared" si="28"/>
        <v>51795.28368000001</v>
      </c>
      <c r="AZ63" s="1795">
        <v>2011</v>
      </c>
      <c r="BA63" s="1741">
        <v>60282.540400000005</v>
      </c>
      <c r="BB63" s="1222" t="e">
        <v>#REF!</v>
      </c>
      <c r="BC63" s="1222">
        <f t="shared" si="24"/>
        <v>51795.28368000001</v>
      </c>
      <c r="BT63" s="1797">
        <f t="shared" si="25"/>
        <v>51795.28368000001</v>
      </c>
      <c r="BU63" s="1795">
        <v>2011</v>
      </c>
      <c r="BV63" s="1741">
        <f t="shared" si="21"/>
        <v>60282.540400000005</v>
      </c>
      <c r="BW63" s="1222">
        <v>10527.4218</v>
      </c>
      <c r="BX63" s="1222">
        <v>51795.28368000001</v>
      </c>
      <c r="BY63" s="1222"/>
      <c r="CZ63" s="1759">
        <v>1998</v>
      </c>
      <c r="DA63" s="1806">
        <v>2629.6229</v>
      </c>
      <c r="DB63" s="1765"/>
      <c r="DC63" s="1808">
        <v>0.947</v>
      </c>
      <c r="DD63" s="1765"/>
      <c r="DE63" s="1808" t="e">
        <v>#REF!</v>
      </c>
      <c r="DF63" s="1765"/>
      <c r="DG63" s="1808">
        <f t="shared" si="35"/>
        <v>0.925688712</v>
      </c>
      <c r="DH63" s="1765"/>
      <c r="DI63" s="1812" t="e">
        <f t="shared" si="36"/>
        <v>#REF!</v>
      </c>
      <c r="DJ63" s="1765"/>
      <c r="DK63" s="1806">
        <v>1776</v>
      </c>
      <c r="DL63" s="1765"/>
      <c r="DM63" s="1808">
        <v>0.88</v>
      </c>
      <c r="DN63" s="1765"/>
      <c r="DO63" s="1806">
        <v>407.086</v>
      </c>
      <c r="DP63" s="1765"/>
      <c r="DQ63" s="1811">
        <v>1.7915975405266318</v>
      </c>
      <c r="DR63" s="1765"/>
      <c r="DS63" s="1811" t="e">
        <f>#REF!*EC62+#REF!*DQ63+#REF!</f>
        <v>#REF!</v>
      </c>
      <c r="DT63" s="1765"/>
      <c r="DV63" s="1245">
        <v>1999</v>
      </c>
      <c r="DW63" s="1743">
        <f>НАСТРОЙКА!CY140</f>
        <v>3.4030147788000007</v>
      </c>
      <c r="DX63" s="1744">
        <f t="shared" si="29"/>
        <v>17.7</v>
      </c>
      <c r="DY63" s="48">
        <f t="shared" si="33"/>
        <v>4.117864039860001</v>
      </c>
      <c r="DZ63" s="53">
        <f t="shared" si="34"/>
        <v>9.76811034516</v>
      </c>
      <c r="EA63" s="1744">
        <f t="shared" si="30"/>
        <v>24.62</v>
      </c>
      <c r="EB63" s="1200">
        <v>4.260651853603475</v>
      </c>
      <c r="EC63" s="1738">
        <v>4.894300618534394</v>
      </c>
      <c r="ES63" s="1200">
        <f t="shared" si="31"/>
        <v>4.260651853603475</v>
      </c>
      <c r="ET63" s="1738">
        <f t="shared" si="32"/>
        <v>4.894300618534394</v>
      </c>
    </row>
    <row r="64" ht="21" customHeight="1" spans="5:150" x14ac:dyDescent="0.25">
      <c r="E64" s="1795">
        <v>2012</v>
      </c>
      <c r="F64" s="1796">
        <v>10338.4</v>
      </c>
      <c r="G64" s="925">
        <v>12586.090400000001</v>
      </c>
      <c r="H64" s="925">
        <f t="shared" si="22"/>
        <v>11932.60368</v>
      </c>
      <c r="I64" s="925">
        <f t="shared" si="27"/>
        <v>11932.60368</v>
      </c>
      <c r="AB64" s="1795">
        <v>2012</v>
      </c>
      <c r="AC64" s="1741">
        <f t="shared" si="19"/>
        <v>68163.8831</v>
      </c>
      <c r="AD64" s="1222">
        <v>12586.090400000001</v>
      </c>
      <c r="AE64" s="1222">
        <f t="shared" si="23"/>
        <v>61428.40987</v>
      </c>
      <c r="AF64" s="1222">
        <f t="shared" si="28"/>
        <v>61428.40987</v>
      </c>
      <c r="AZ64" s="1795">
        <v>2012</v>
      </c>
      <c r="BA64" s="1741">
        <v>68163.8831</v>
      </c>
      <c r="BB64" s="1222" t="e">
        <v>#REF!</v>
      </c>
      <c r="BC64" s="1222">
        <f t="shared" si="24"/>
        <v>61428.40987</v>
      </c>
      <c r="BT64" s="1797">
        <f t="shared" si="25"/>
        <v>61428.40987</v>
      </c>
      <c r="BU64" s="1795">
        <v>2012</v>
      </c>
      <c r="BV64" s="1741">
        <f t="shared" si="21"/>
        <v>68163.8831</v>
      </c>
      <c r="BW64" s="1222">
        <v>12155.9717</v>
      </c>
      <c r="BX64" s="1222">
        <v>61428.40987</v>
      </c>
      <c r="BY64" s="1222"/>
      <c r="CZ64" s="1759">
        <v>1999</v>
      </c>
      <c r="DA64" s="1806">
        <v>4823.2329</v>
      </c>
      <c r="DB64" s="1765"/>
      <c r="DC64" s="1808">
        <v>1.064</v>
      </c>
      <c r="DD64" s="1765"/>
      <c r="DE64" s="1808" t="e">
        <v>#REF!</v>
      </c>
      <c r="DF64" s="1765"/>
      <c r="DG64" s="1808">
        <f t="shared" si="35"/>
        <v>0.9849327895680001</v>
      </c>
      <c r="DH64" s="1765"/>
      <c r="DI64" s="1812" t="e">
        <f t="shared" si="36"/>
        <v>#REF!</v>
      </c>
      <c r="DJ64" s="1765"/>
      <c r="DK64" s="1806">
        <v>2908.1</v>
      </c>
      <c r="DL64" s="1765"/>
      <c r="DM64" s="1808">
        <v>1.05</v>
      </c>
      <c r="DN64" s="1765"/>
      <c r="DO64" s="1806">
        <v>670.439</v>
      </c>
      <c r="DP64" s="1765"/>
      <c r="DQ64" s="1811">
        <v>3.0909273639762795</v>
      </c>
      <c r="DR64" s="1765"/>
      <c r="DS64" s="1811" t="e">
        <f>#REF!*EC63+#REF!*DQ64+#REF!</f>
        <v>#REF!</v>
      </c>
      <c r="DT64" s="1765"/>
      <c r="DV64" s="1245">
        <v>2000</v>
      </c>
      <c r="DW64" s="1743">
        <f>НАСТРОЙКА!CY141</f>
        <v>4.090423764117601</v>
      </c>
      <c r="DX64" s="1744">
        <f t="shared" si="29"/>
        <v>28.3</v>
      </c>
      <c r="DY64" s="48">
        <f t="shared" si="33"/>
        <v>5.300902575911721</v>
      </c>
      <c r="DZ64" s="53">
        <f t="shared" si="34"/>
        <v>11.311296634882321</v>
      </c>
      <c r="EA64" s="1744">
        <f t="shared" si="30"/>
        <v>28.16</v>
      </c>
      <c r="EB64" s="1200">
        <v>6.00821185960683</v>
      </c>
      <c r="EC64" s="1738">
        <v>5.1416113994451775</v>
      </c>
      <c r="ES64" s="1200">
        <f t="shared" si="31"/>
        <v>6.00821185960683</v>
      </c>
      <c r="ET64" s="1738">
        <f t="shared" si="32"/>
        <v>5.1416113994451775</v>
      </c>
    </row>
    <row r="65" ht="21" customHeight="1" spans="5:150" x14ac:dyDescent="0.25">
      <c r="E65" s="1795">
        <v>2013</v>
      </c>
      <c r="F65" s="1796">
        <v>11160.485</v>
      </c>
      <c r="G65" s="925">
        <v>13450.2382</v>
      </c>
      <c r="H65" s="925">
        <f t="shared" si="22"/>
        <v>13035.95002</v>
      </c>
      <c r="I65" s="925">
        <f t="shared" si="27"/>
        <v>13035.95002</v>
      </c>
      <c r="AB65" s="1795">
        <v>2013</v>
      </c>
      <c r="AC65" s="1741">
        <f t="shared" si="19"/>
        <v>73133.89509999998</v>
      </c>
      <c r="AD65" s="1222">
        <v>13450.2382</v>
      </c>
      <c r="AE65" s="1222">
        <f t="shared" si="23"/>
        <v>69072.62056</v>
      </c>
      <c r="AF65" s="1222">
        <f t="shared" si="28"/>
        <v>69072.62056</v>
      </c>
      <c r="AZ65" s="1795">
        <v>2013</v>
      </c>
      <c r="BA65" s="1741">
        <v>73133.89509999998</v>
      </c>
      <c r="BB65" s="1222" t="e">
        <v>#REF!</v>
      </c>
      <c r="BC65" s="1222">
        <f t="shared" si="24"/>
        <v>69072.62056</v>
      </c>
      <c r="BU65" s="1795">
        <v>2013</v>
      </c>
      <c r="BV65" s="1741">
        <f t="shared" si="21"/>
        <v>73133.89509999998</v>
      </c>
      <c r="BW65" s="1222">
        <v>13551.9461</v>
      </c>
      <c r="BX65" s="1222">
        <v>69072.62056</v>
      </c>
      <c r="BY65" s="1222">
        <f>BW65</f>
        <v>13551.9461</v>
      </c>
      <c r="CZ65" s="1759">
        <v>2000</v>
      </c>
      <c r="DA65" s="1806">
        <v>7305.6466</v>
      </c>
      <c r="DB65" s="1765"/>
      <c r="DC65" s="1808">
        <v>1.1</v>
      </c>
      <c r="DD65" s="1765"/>
      <c r="DE65" s="1808" t="e">
        <v>#REF!</v>
      </c>
      <c r="DF65" s="1765"/>
      <c r="DG65" s="1808">
        <f t="shared" si="35"/>
        <v>1.0834260685248003</v>
      </c>
      <c r="DH65" s="1765"/>
      <c r="DI65" s="1812" t="e">
        <f t="shared" si="36"/>
        <v>#REF!</v>
      </c>
      <c r="DJ65" s="1765"/>
      <c r="DK65" s="1806">
        <v>3983.9</v>
      </c>
      <c r="DL65" s="1765"/>
      <c r="DM65" s="1808">
        <v>1.174</v>
      </c>
      <c r="DN65" s="1765"/>
      <c r="DO65" s="1806">
        <v>1165.234</v>
      </c>
      <c r="DP65" s="1765"/>
      <c r="DQ65" s="1811">
        <v>4.298327894095345</v>
      </c>
      <c r="DR65" s="1765"/>
      <c r="DS65" s="1811" t="e">
        <f>#REF!*EC64+#REF!*DQ65+#REF!</f>
        <v>#REF!</v>
      </c>
      <c r="DT65" s="1765"/>
      <c r="DV65" s="1245">
        <v>2001</v>
      </c>
      <c r="DW65" s="1743">
        <f>НАСТРОЙКА!CY142</f>
        <v>4.851242584243474</v>
      </c>
      <c r="DX65" s="1744">
        <f t="shared" si="29"/>
        <v>24.4</v>
      </c>
      <c r="DY65" s="48">
        <f t="shared" si="33"/>
        <v>5.8286804550313</v>
      </c>
      <c r="DZ65" s="53">
        <f t="shared" si="34"/>
        <v>12.437869808970431</v>
      </c>
      <c r="EA65" s="1744">
        <f t="shared" si="30"/>
        <v>30.14</v>
      </c>
      <c r="EB65" s="1200">
        <v>5.910590005019161</v>
      </c>
      <c r="EC65" s="1738">
        <v>5.343385559062672</v>
      </c>
      <c r="ES65" s="1200">
        <f t="shared" si="31"/>
        <v>5.910590005019161</v>
      </c>
      <c r="ET65" s="1738">
        <f t="shared" si="32"/>
        <v>5.343385559062672</v>
      </c>
    </row>
    <row r="66" ht="21" customHeight="1" spans="5:150" x14ac:dyDescent="0.25">
      <c r="E66" s="1795">
        <v>2014</v>
      </c>
      <c r="F66" s="1796">
        <v>10888</v>
      </c>
      <c r="G66" s="925">
        <v>13902.6453</v>
      </c>
      <c r="H66" s="925">
        <f t="shared" si="22"/>
        <v>13680.508389999999</v>
      </c>
      <c r="I66" s="925">
        <f t="shared" si="27"/>
        <v>13680.508389999999</v>
      </c>
      <c r="AB66" s="1795">
        <v>2014</v>
      </c>
      <c r="AC66" s="1741">
        <f t="shared" si="19"/>
        <v>79058</v>
      </c>
      <c r="AD66" s="1222">
        <v>13902.6453</v>
      </c>
      <c r="AE66" s="1222">
        <f t="shared" si="23"/>
        <v>75101.94515</v>
      </c>
      <c r="AF66" s="1222">
        <f t="shared" si="28"/>
        <v>75101.94515</v>
      </c>
      <c r="AZ66" s="1795">
        <v>2014</v>
      </c>
      <c r="BA66" s="1741">
        <v>79058</v>
      </c>
      <c r="BB66" s="1222" t="e">
        <v>#REF!</v>
      </c>
      <c r="BC66" s="1222">
        <f t="shared" si="24"/>
        <v>75101.94515</v>
      </c>
      <c r="BU66" s="1795">
        <v>2014</v>
      </c>
      <c r="BV66" s="1741">
        <f t="shared" si="21"/>
        <v>79058</v>
      </c>
      <c r="BW66" s="1222">
        <v>14173.19</v>
      </c>
      <c r="BX66" s="1222">
        <v>75172.7744</v>
      </c>
      <c r="BY66" s="1222">
        <f>BW66</f>
        <v>14173.19</v>
      </c>
      <c r="CZ66" s="1759">
        <v>2001</v>
      </c>
      <c r="DA66" s="1806">
        <v>8943.5826</v>
      </c>
      <c r="DB66" s="1765"/>
      <c r="DC66" s="1808">
        <v>1.051</v>
      </c>
      <c r="DD66" s="1765"/>
      <c r="DE66" s="1808" t="e">
        <v>#REF!</v>
      </c>
      <c r="DF66" s="1765"/>
      <c r="DG66" s="1808">
        <f t="shared" si="35"/>
        <v>1.138680798019565</v>
      </c>
      <c r="DH66" s="1765"/>
      <c r="DI66" s="1812" t="e">
        <f t="shared" si="36"/>
        <v>#REF!</v>
      </c>
      <c r="DJ66" s="1765"/>
      <c r="DK66" s="1806">
        <v>5325.8</v>
      </c>
      <c r="DL66" s="1765"/>
      <c r="DM66" s="1808">
        <v>1.1</v>
      </c>
      <c r="DN66" s="1765"/>
      <c r="DO66" s="1806">
        <v>1504.7</v>
      </c>
      <c r="DP66" s="1765"/>
      <c r="DQ66" s="1811">
        <v>5.21015822142103</v>
      </c>
      <c r="DR66" s="1765"/>
      <c r="DS66" s="1811" t="e">
        <f>#REF!*EC65+#REF!*DQ66+#REF!</f>
        <v>#REF!</v>
      </c>
      <c r="DT66" s="1765"/>
      <c r="DV66" s="1245">
        <v>2002</v>
      </c>
      <c r="DW66" s="1743">
        <f>НАСТРОЙКА!CY143</f>
        <v>5.583780214464239</v>
      </c>
      <c r="DX66" s="1744">
        <f t="shared" si="29"/>
        <v>25</v>
      </c>
      <c r="DY66" s="48">
        <f t="shared" si="33"/>
        <v>6.554591203741027</v>
      </c>
      <c r="DZ66" s="53">
        <f t="shared" si="34"/>
        <v>13.328646150124968</v>
      </c>
      <c r="EA66" s="1744">
        <f t="shared" si="30"/>
        <v>31.4</v>
      </c>
      <c r="EB66" s="1200">
        <v>6.193634820546727</v>
      </c>
      <c r="EC66" s="1738">
        <v>5.696540648389541</v>
      </c>
      <c r="ES66" s="1200">
        <f t="shared" si="31"/>
        <v>6.193634820546727</v>
      </c>
      <c r="ET66" s="1738">
        <f t="shared" si="32"/>
        <v>5.696540648389541</v>
      </c>
    </row>
    <row r="67" ht="21" customHeight="1" spans="5:150" x14ac:dyDescent="0.25">
      <c r="E67" s="1795">
        <v>2015</v>
      </c>
      <c r="F67" s="1796">
        <v>10721</v>
      </c>
      <c r="G67" s="925">
        <v>13897.2</v>
      </c>
      <c r="H67" s="925">
        <f t="shared" si="22"/>
        <v>13853.59288</v>
      </c>
      <c r="I67" s="925">
        <f t="shared" si="27"/>
        <v>13853.59288</v>
      </c>
      <c r="AB67" s="1795">
        <v>2015</v>
      </c>
      <c r="AC67" s="1741">
        <f t="shared" si="19"/>
        <v>83094</v>
      </c>
      <c r="AD67" s="1222">
        <v>13897.2</v>
      </c>
      <c r="AE67" s="1222">
        <f t="shared" si="23"/>
        <v>79891.17902</v>
      </c>
      <c r="AF67" s="1222">
        <f t="shared" si="28"/>
        <v>79891.17902</v>
      </c>
      <c r="AZ67" s="1795">
        <v>2015</v>
      </c>
      <c r="BA67" s="1741">
        <v>83094</v>
      </c>
      <c r="BB67" s="1222" t="e">
        <v>#REF!</v>
      </c>
      <c r="BC67" s="1222">
        <f t="shared" si="24"/>
        <v>79891.17902</v>
      </c>
      <c r="BU67" s="1795">
        <v>2015</v>
      </c>
      <c r="BV67" s="1741">
        <f t="shared" si="21"/>
        <v>83094</v>
      </c>
      <c r="BW67" s="1222">
        <v>14684.12</v>
      </c>
      <c r="BX67" s="1222">
        <v>80002.98577</v>
      </c>
      <c r="BY67" s="1222">
        <f>BW67</f>
        <v>14684.12</v>
      </c>
      <c r="CZ67" s="1759">
        <v>2002</v>
      </c>
      <c r="DA67" s="1806">
        <v>10819.270899999998</v>
      </c>
      <c r="DB67" s="1765"/>
      <c r="DC67" s="1808">
        <v>1.047</v>
      </c>
      <c r="DD67" s="1765"/>
      <c r="DE67" s="1808" t="e">
        <v>#REF!</v>
      </c>
      <c r="DF67" s="1765"/>
      <c r="DG67" s="1808">
        <f t="shared" si="35"/>
        <v>1.1921987955264846</v>
      </c>
      <c r="DH67" s="1765"/>
      <c r="DI67" s="1812" t="e">
        <f t="shared" si="36"/>
        <v>#REF!</v>
      </c>
      <c r="DJ67" s="1765"/>
      <c r="DK67" s="1806">
        <v>6831</v>
      </c>
      <c r="DL67" s="1765"/>
      <c r="DM67" s="1808">
        <v>1.028</v>
      </c>
      <c r="DN67" s="1765"/>
      <c r="DO67" s="1806">
        <v>1762.4</v>
      </c>
      <c r="DP67" s="1765"/>
      <c r="DQ67" s="1811">
        <v>5.9296464112464475</v>
      </c>
      <c r="DR67" s="1765"/>
      <c r="DS67" s="1811" t="e">
        <f>#REF!*EC66+#REF!*DQ67+#REF!</f>
        <v>#REF!</v>
      </c>
      <c r="DT67" s="1765"/>
      <c r="DV67" s="1245">
        <v>2003</v>
      </c>
      <c r="DW67" s="1743">
        <f>НАСТРОЙКА!CY144</f>
        <v>6.253833840199949</v>
      </c>
      <c r="DX67" s="1744">
        <f t="shared" si="29"/>
        <v>28.9</v>
      </c>
      <c r="DY67" s="48">
        <f t="shared" si="33"/>
        <v>7.386142148189951</v>
      </c>
      <c r="DZ67" s="53">
        <f t="shared" si="34"/>
        <v>13.212683688139963</v>
      </c>
      <c r="EA67" s="1744">
        <f t="shared" si="30"/>
        <v>29.45</v>
      </c>
      <c r="EB67" s="1200">
        <v>6.715254624075821</v>
      </c>
      <c r="EC67" s="1738">
        <v>5.788123461724906</v>
      </c>
      <c r="ES67" s="1200">
        <f t="shared" si="31"/>
        <v>6.715254624075821</v>
      </c>
      <c r="ET67" s="1738">
        <f t="shared" si="32"/>
        <v>5.788123461724906</v>
      </c>
    </row>
    <row r="68" ht="21" customHeight="1" spans="5:150" x14ac:dyDescent="0.25">
      <c r="E68" s="1795">
        <v>2016</v>
      </c>
      <c r="F68" s="1796">
        <v>13256</v>
      </c>
      <c r="G68" s="925">
        <v>14748.8</v>
      </c>
      <c r="H68" s="925">
        <f t="shared" si="22"/>
        <v>14493.864529999999</v>
      </c>
      <c r="I68" s="925">
        <f t="shared" si="27"/>
        <v>14493.864529999999</v>
      </c>
      <c r="AB68" s="1795">
        <v>2016</v>
      </c>
      <c r="AC68" s="1741">
        <f t="shared" si="19"/>
        <v>86014</v>
      </c>
      <c r="AD68" s="1222">
        <v>14748.8</v>
      </c>
      <c r="AE68" s="1222">
        <f t="shared" si="23"/>
        <v>83746.8</v>
      </c>
      <c r="AF68" s="1222">
        <f t="shared" si="28"/>
        <v>83746.8</v>
      </c>
      <c r="AZ68" s="1795">
        <v>2016</v>
      </c>
      <c r="BA68" s="1741">
        <v>86014</v>
      </c>
      <c r="BB68" s="1222" t="e">
        <v>#REF!</v>
      </c>
      <c r="BC68" s="1222">
        <f t="shared" si="24"/>
        <v>83746.8</v>
      </c>
      <c r="BU68" s="1795">
        <v>2016</v>
      </c>
      <c r="BV68" s="1741">
        <f t="shared" si="21"/>
        <v>86014</v>
      </c>
      <c r="BW68" s="1222">
        <v>15728.49</v>
      </c>
      <c r="BX68" s="1222">
        <v>83831.54167</v>
      </c>
      <c r="BY68" s="1222">
        <f>BW68</f>
        <v>15728.49</v>
      </c>
      <c r="CZ68" s="1759">
        <v>2003</v>
      </c>
      <c r="DA68" s="1806">
        <v>13208.250299999998</v>
      </c>
      <c r="DB68" s="1765"/>
      <c r="DC68" s="1808">
        <v>1.073</v>
      </c>
      <c r="DD68" s="1765"/>
      <c r="DE68" s="1808" t="e">
        <v>#REF!</v>
      </c>
      <c r="DF68" s="1765"/>
      <c r="DG68" s="1808">
        <f t="shared" si="35"/>
        <v>1.279229307599918</v>
      </c>
      <c r="DH68" s="1765"/>
      <c r="DI68" s="1812" t="e">
        <f t="shared" si="36"/>
        <v>#REF!</v>
      </c>
      <c r="DJ68" s="1765"/>
      <c r="DK68" s="1806">
        <v>8900.5</v>
      </c>
      <c r="DL68" s="1765"/>
      <c r="DM68" s="1808">
        <v>1.125</v>
      </c>
      <c r="DN68" s="1765"/>
      <c r="DO68" s="1806">
        <v>2186.4</v>
      </c>
      <c r="DP68" s="1765"/>
      <c r="DQ68" s="1811">
        <v>6.774861199391402</v>
      </c>
      <c r="DR68" s="1765"/>
      <c r="DS68" s="1811" t="e">
        <f>#REF!*EC67+#REF!*DQ68+#REF!</f>
        <v>#REF!</v>
      </c>
      <c r="DT68" s="1765"/>
      <c r="DV68" s="1245">
        <v>2004</v>
      </c>
      <c r="DW68" s="1743">
        <f>НАСТРОЙКА!CY145</f>
        <v>6.9855323995033425</v>
      </c>
      <c r="DX68" s="1744">
        <f t="shared" si="29"/>
        <v>38.3</v>
      </c>
      <c r="DY68" s="48">
        <f t="shared" si="33"/>
        <v>8.551255779528175</v>
      </c>
      <c r="DZ68" s="53">
        <f t="shared" si="34"/>
        <v>13.214872679652338</v>
      </c>
      <c r="EA68" s="1744">
        <f t="shared" si="30"/>
        <v>27.75</v>
      </c>
      <c r="EB68" s="1200">
        <v>7.560419692709162</v>
      </c>
      <c r="EC68" s="1738">
        <v>5.617164966343532</v>
      </c>
      <c r="ES68" s="1200">
        <f t="shared" si="31"/>
        <v>7.560419692709162</v>
      </c>
      <c r="ET68" s="1738">
        <f t="shared" si="32"/>
        <v>5.617164966343532</v>
      </c>
    </row>
    <row r="69" ht="21" customHeight="1" spans="5:150" x14ac:dyDescent="0.25">
      <c r="E69" s="1795">
        <v>2017</v>
      </c>
      <c r="F69" s="1813"/>
      <c r="G69" s="1814"/>
      <c r="H69" s="1765"/>
      <c r="I69" s="1765"/>
      <c r="AB69" s="1795">
        <v>2017</v>
      </c>
      <c r="AC69" s="1741"/>
      <c r="AD69" s="1814">
        <f>ОТЧЁТ!AQ79</f>
        <v>16027.3</v>
      </c>
      <c r="AE69" s="1765"/>
      <c r="AF69" s="1765"/>
      <c r="AZ69" s="1795">
        <v>2017</v>
      </c>
      <c r="BA69" s="1741"/>
      <c r="BB69" s="1814"/>
      <c r="BC69" s="1765"/>
      <c r="BU69" s="1795">
        <v>2017</v>
      </c>
      <c r="BV69" s="1741"/>
      <c r="BW69" s="1814"/>
      <c r="BX69" s="1765"/>
      <c r="BY69" s="1765"/>
      <c r="CZ69" s="1759">
        <v>2004</v>
      </c>
      <c r="DA69" s="1806">
        <v>17027.166999999998</v>
      </c>
      <c r="DB69" s="1765"/>
      <c r="DC69" s="1808">
        <v>1.072</v>
      </c>
      <c r="DD69" s="1765"/>
      <c r="DE69" s="1808" t="e">
        <v>#REF!</v>
      </c>
      <c r="DF69" s="1765"/>
      <c r="DG69" s="1808">
        <f t="shared" si="35"/>
        <v>1.3713338177471122</v>
      </c>
      <c r="DH69" s="1765"/>
      <c r="DI69" s="1812" t="e">
        <f t="shared" si="36"/>
        <v>#REF!</v>
      </c>
      <c r="DJ69" s="1765"/>
      <c r="DK69" s="1806">
        <v>10976.3</v>
      </c>
      <c r="DL69" s="1765"/>
      <c r="DM69" s="1808">
        <v>1.137</v>
      </c>
      <c r="DN69" s="1765"/>
      <c r="DO69" s="1806">
        <v>2865</v>
      </c>
      <c r="DP69" s="1765"/>
      <c r="DQ69" s="1811">
        <v>7.988132464613644</v>
      </c>
      <c r="DR69" s="1765"/>
      <c r="DS69" s="1811" t="e">
        <f>#REF!*EC68+#REF!*DQ69+#REF!</f>
        <v>#REF!</v>
      </c>
      <c r="DT69" s="1765"/>
      <c r="DV69" s="1245">
        <v>2005</v>
      </c>
      <c r="DW69" s="1743">
        <f>НАСТРОЙКА!CY146</f>
        <v>7.746955431049207</v>
      </c>
      <c r="DX69" s="1744">
        <f t="shared" si="29"/>
        <v>54.4</v>
      </c>
      <c r="DY69" s="48">
        <f t="shared" si="33"/>
        <v>10.079607659496746</v>
      </c>
      <c r="DZ69" s="53">
        <f t="shared" si="34"/>
        <v>14.056868801734446</v>
      </c>
      <c r="EA69" s="1744">
        <f t="shared" si="30"/>
        <v>28.78</v>
      </c>
      <c r="EB69" s="1200">
        <v>9.215042167890525</v>
      </c>
      <c r="EC69" s="1738">
        <v>5.933656338117276</v>
      </c>
      <c r="ES69" s="1200">
        <f t="shared" si="31"/>
        <v>9.215042167890525</v>
      </c>
      <c r="ET69" s="1738">
        <f t="shared" si="32"/>
        <v>5.933656338117276</v>
      </c>
    </row>
    <row r="70" ht="21" customHeight="1" spans="5:150" x14ac:dyDescent="0.25">
      <c r="E70" s="1795">
        <v>2018</v>
      </c>
      <c r="F70" s="1813"/>
      <c r="G70" s="1814"/>
      <c r="H70" s="1765"/>
      <c r="I70" s="1765"/>
      <c r="AB70" s="1795">
        <v>2018</v>
      </c>
      <c r="AC70" s="1741"/>
      <c r="AD70" s="1814"/>
      <c r="AE70" s="1765"/>
      <c r="AF70" s="1765"/>
      <c r="AZ70" s="1795">
        <v>2018</v>
      </c>
      <c r="BA70" s="1741"/>
      <c r="BB70" s="1814"/>
      <c r="BC70" s="1765"/>
      <c r="BU70" s="1795">
        <v>2018</v>
      </c>
      <c r="BV70" s="1741"/>
      <c r="BW70" s="1814"/>
      <c r="BX70" s="1765"/>
      <c r="BY70" s="1765"/>
      <c r="CZ70" s="1759">
        <v>2005</v>
      </c>
      <c r="DA70" s="1806">
        <v>21609.765799999997</v>
      </c>
      <c r="DB70" s="1765"/>
      <c r="DC70" s="1808">
        <v>1.064</v>
      </c>
      <c r="DD70" s="1765"/>
      <c r="DE70" s="1808" t="e">
        <v>#REF!</v>
      </c>
      <c r="DF70" s="1765"/>
      <c r="DG70" s="1808">
        <f t="shared" si="35"/>
        <v>1.4590991820829273</v>
      </c>
      <c r="DH70" s="1765"/>
      <c r="DI70" s="1812" t="e">
        <f t="shared" si="36"/>
        <v>#REF!</v>
      </c>
      <c r="DJ70" s="1765"/>
      <c r="DK70" s="1806">
        <v>13819</v>
      </c>
      <c r="DL70" s="1765"/>
      <c r="DM70" s="1808">
        <v>1.102</v>
      </c>
      <c r="DN70" s="1765"/>
      <c r="DO70" s="1806">
        <v>3611.1</v>
      </c>
      <c r="DP70" s="1765"/>
      <c r="DQ70" s="1811">
        <v>9.575350609009634</v>
      </c>
      <c r="DR70" s="1765"/>
      <c r="DS70" s="1811" t="e">
        <f>#REF!*EC69+#REF!*DQ70+#REF!</f>
        <v>#REF!</v>
      </c>
      <c r="DT70" s="1765"/>
      <c r="DV70" s="1245">
        <v>2006</v>
      </c>
      <c r="DW70" s="1743">
        <f>НАСТРОЙКА!CY147</f>
        <v>8.444181419843636</v>
      </c>
      <c r="DX70" s="1744">
        <f t="shared" si="29"/>
        <v>65.4</v>
      </c>
      <c r="DY70" s="48">
        <f t="shared" si="33"/>
        <v>11.291972348851456</v>
      </c>
      <c r="DZ70" s="53">
        <f t="shared" si="34"/>
        <v>13.809926993890544</v>
      </c>
      <c r="EA70" s="1744">
        <f t="shared" si="30"/>
        <v>26.33</v>
      </c>
      <c r="EB70" s="1200">
        <v>10.24995388150444</v>
      </c>
      <c r="EC70" s="1738">
        <v>5.949475526803209</v>
      </c>
      <c r="ES70" s="1200">
        <f t="shared" si="31"/>
        <v>10.24995388150444</v>
      </c>
      <c r="ET70" s="1738">
        <f t="shared" si="32"/>
        <v>5.949475526803209</v>
      </c>
    </row>
    <row r="71" ht="21" customHeight="1" spans="5:150" x14ac:dyDescent="0.25">
      <c r="E71" s="1795">
        <v>2019</v>
      </c>
      <c r="F71" s="1813"/>
      <c r="G71" s="1814"/>
      <c r="H71" s="1765"/>
      <c r="I71" s="1765"/>
      <c r="AB71" s="1795">
        <v>2019</v>
      </c>
      <c r="AC71" s="1741"/>
      <c r="AD71" s="1814"/>
      <c r="AE71" s="1765"/>
      <c r="AF71" s="1765"/>
      <c r="AZ71" s="1795">
        <v>2019</v>
      </c>
      <c r="BA71" s="1741"/>
      <c r="BB71" s="1814"/>
      <c r="BC71" s="1765"/>
      <c r="BU71" s="1795">
        <v>2019</v>
      </c>
      <c r="BV71" s="1741"/>
      <c r="BW71" s="1814"/>
      <c r="BX71" s="1765"/>
      <c r="BY71" s="1765"/>
      <c r="CZ71" s="1759">
        <v>2006</v>
      </c>
      <c r="DA71" s="1806">
        <v>26917.2037</v>
      </c>
      <c r="DB71" s="1815"/>
      <c r="DC71" s="1808">
        <v>1.082</v>
      </c>
      <c r="DD71" s="1815"/>
      <c r="DE71" s="1808" t="e">
        <v>#REF!</v>
      </c>
      <c r="DF71" s="1815"/>
      <c r="DG71" s="1808">
        <f t="shared" si="35"/>
        <v>1.5787453150137274</v>
      </c>
      <c r="DH71" s="1815"/>
      <c r="DI71" s="1812" t="e">
        <f t="shared" si="36"/>
        <v>#REF!</v>
      </c>
      <c r="DJ71" s="1815"/>
      <c r="DK71" s="1806">
        <v>17290.1</v>
      </c>
      <c r="DL71" s="1815"/>
      <c r="DM71" s="1808">
        <v>1.167</v>
      </c>
      <c r="DN71" s="1815"/>
      <c r="DO71" s="1806">
        <v>4730</v>
      </c>
      <c r="DP71" s="1815"/>
      <c r="DQ71" s="1811">
        <v>10.995998689731229</v>
      </c>
      <c r="DR71" s="1815"/>
      <c r="DS71" s="1811" t="e">
        <f>#REF!*EC70+#REF!*DQ71+#REF!</f>
        <v>#REF!</v>
      </c>
      <c r="DT71" s="1815"/>
      <c r="DV71" s="1245">
        <v>2007</v>
      </c>
      <c r="DW71" s="1743">
        <f>НАСТРОЙКА!CY148</f>
        <v>9.446505754379075</v>
      </c>
      <c r="DX71" s="1744">
        <f t="shared" si="29"/>
        <v>72.7</v>
      </c>
      <c r="DY71" s="48">
        <f t="shared" si="33"/>
        <v>12.60918046666012</v>
      </c>
      <c r="DZ71" s="53">
        <f t="shared" si="34"/>
        <v>14.286554028065352</v>
      </c>
      <c r="EA71" s="1744">
        <f t="shared" si="30"/>
        <v>25.58</v>
      </c>
      <c r="EB71" s="1200">
        <v>10.650833844352405</v>
      </c>
      <c r="EC71" s="1738">
        <v>5.972486590341229</v>
      </c>
      <c r="ES71" s="1200">
        <f t="shared" si="31"/>
        <v>10.650833844352405</v>
      </c>
      <c r="ET71" s="1738">
        <f t="shared" si="32"/>
        <v>5.972486590341229</v>
      </c>
    </row>
    <row r="72" ht="21" customHeight="1" spans="5:150" x14ac:dyDescent="0.25">
      <c r="E72" s="1795">
        <v>2020</v>
      </c>
      <c r="F72" s="1813"/>
      <c r="G72" s="1814"/>
      <c r="H72" s="1765"/>
      <c r="I72" s="1765"/>
      <c r="AB72" s="1795">
        <v>2020</v>
      </c>
      <c r="AC72" s="1741"/>
      <c r="AD72" s="1814"/>
      <c r="AE72" s="1765"/>
      <c r="AF72" s="1765"/>
      <c r="AZ72" s="1795">
        <v>2020</v>
      </c>
      <c r="BA72" s="1741"/>
      <c r="BB72" s="1814"/>
      <c r="BC72" s="1765"/>
      <c r="BU72" s="1795">
        <v>2020</v>
      </c>
      <c r="BV72" s="1741"/>
      <c r="BW72" s="1814"/>
      <c r="BX72" s="1765"/>
      <c r="BY72" s="1765"/>
      <c r="CZ72" s="1759">
        <v>2007</v>
      </c>
      <c r="DA72" s="1806">
        <v>33247.5132</v>
      </c>
      <c r="DB72" s="1764"/>
      <c r="DC72" s="1808">
        <v>1.085</v>
      </c>
      <c r="DD72" s="1764"/>
      <c r="DE72" s="1808" t="e">
        <v>#REF!</v>
      </c>
      <c r="DF72" s="1764"/>
      <c r="DG72" s="1808">
        <f t="shared" si="35"/>
        <v>1.7129386667898943</v>
      </c>
      <c r="DH72" s="1764"/>
      <c r="DI72" s="1812" t="e">
        <f t="shared" si="36"/>
        <v>#REF!</v>
      </c>
      <c r="DJ72" s="1764"/>
      <c r="DK72" s="1806">
        <v>21311.5</v>
      </c>
      <c r="DL72" s="1764"/>
      <c r="DM72" s="1808">
        <v>1.227</v>
      </c>
      <c r="DN72" s="1764"/>
      <c r="DO72" s="1806">
        <v>6716.222</v>
      </c>
      <c r="DP72" s="1764"/>
      <c r="DQ72" s="1811">
        <v>12.595094794725632</v>
      </c>
      <c r="DR72" s="1764"/>
      <c r="DS72" s="1811" t="e">
        <f>#REF!*EC71+#REF!*DQ72+#REF!</f>
        <v>#REF!</v>
      </c>
      <c r="DT72" s="1764"/>
      <c r="DV72" s="1245">
        <v>2008</v>
      </c>
      <c r="DW72" s="1743">
        <f>НАСТРОЙКА!CY149</f>
        <v>10.701001718560617</v>
      </c>
      <c r="DX72" s="1744">
        <f t="shared" si="29"/>
        <v>97.7</v>
      </c>
      <c r="DY72" s="48">
        <f t="shared" si="33"/>
        <v>15.050951632632586</v>
      </c>
      <c r="DZ72" s="53">
        <f t="shared" si="34"/>
        <v>14.945701202992431</v>
      </c>
      <c r="EA72" s="1744">
        <f t="shared" si="30"/>
        <v>24.85</v>
      </c>
      <c r="EB72" s="1200">
        <v>13.643325842032947</v>
      </c>
      <c r="EC72" s="1738">
        <v>6.61807370062663</v>
      </c>
      <c r="ES72" s="1200">
        <f t="shared" si="31"/>
        <v>13.643325842032947</v>
      </c>
      <c r="ET72" s="1738">
        <f t="shared" si="32"/>
        <v>6.61807370062663</v>
      </c>
    </row>
    <row r="73" ht="21" customHeight="1" spans="5:150" x14ac:dyDescent="0.25">
      <c r="E73" s="1795">
        <v>2021</v>
      </c>
      <c r="F73" s="1813"/>
      <c r="G73" s="1814"/>
      <c r="H73" s="1765"/>
      <c r="I73" s="1765"/>
      <c r="AB73" s="1795">
        <v>2021</v>
      </c>
      <c r="AC73" s="1741"/>
      <c r="AD73" s="1814"/>
      <c r="AE73" s="1765"/>
      <c r="AF73" s="1765"/>
      <c r="AZ73" s="1795">
        <v>2021</v>
      </c>
      <c r="BA73" s="1741"/>
      <c r="BB73" s="1814"/>
      <c r="BC73" s="1765"/>
      <c r="BU73" s="1795">
        <v>2021</v>
      </c>
      <c r="BV73" s="1741"/>
      <c r="BW73" s="1814"/>
      <c r="BX73" s="1765"/>
      <c r="BY73" s="1765"/>
      <c r="CZ73" s="1759">
        <v>2008</v>
      </c>
      <c r="DA73" s="1806">
        <v>41276.8492</v>
      </c>
      <c r="DB73" s="1764"/>
      <c r="DC73" s="1808">
        <v>1.052</v>
      </c>
      <c r="DD73" s="1764"/>
      <c r="DE73" s="1808" t="e">
        <v>#REF!</v>
      </c>
      <c r="DF73" s="1764"/>
      <c r="DG73" s="1808">
        <f t="shared" si="35"/>
        <v>1.8020114774629687</v>
      </c>
      <c r="DH73" s="1764"/>
      <c r="DI73" s="1812" t="e">
        <f t="shared" si="36"/>
        <v>#REF!</v>
      </c>
      <c r="DJ73" s="1764"/>
      <c r="DK73" s="1806">
        <v>25244</v>
      </c>
      <c r="DL73" s="1764"/>
      <c r="DM73" s="1808">
        <v>1.095</v>
      </c>
      <c r="DN73" s="1764"/>
      <c r="DO73" s="1806">
        <v>8781.616</v>
      </c>
      <c r="DP73" s="1764"/>
      <c r="DQ73" s="1811">
        <v>14.90816825584335</v>
      </c>
      <c r="DR73" s="1764"/>
      <c r="DS73" s="1811" t="e">
        <f>#REF!*EC72+#REF!*DQ73+#REF!</f>
        <v>#REF!</v>
      </c>
      <c r="DT73" s="1764"/>
      <c r="DV73" s="1245">
        <v>2009</v>
      </c>
      <c r="DW73" s="1743">
        <f>НАСТРОЙКА!CY150</f>
        <v>11.642689869793951</v>
      </c>
      <c r="DX73" s="1744">
        <f t="shared" si="29"/>
        <v>61.9</v>
      </c>
      <c r="DY73" s="48">
        <f t="shared" si="33"/>
        <v>14.155555376304253</v>
      </c>
      <c r="DZ73" s="53">
        <f t="shared" si="34"/>
        <v>17.665882908855764</v>
      </c>
      <c r="EA73" s="1744">
        <f t="shared" si="30"/>
        <v>31.72</v>
      </c>
      <c r="EB73" s="1200">
        <v>12.010355196687106</v>
      </c>
      <c r="EC73" s="1738">
        <v>8.30157321960723</v>
      </c>
      <c r="ES73" s="1200">
        <f t="shared" si="31"/>
        <v>12.010355196687106</v>
      </c>
      <c r="ET73" s="1738">
        <f t="shared" si="32"/>
        <v>8.30157321960723</v>
      </c>
    </row>
    <row r="74" ht="21" customHeight="1" spans="5:150" x14ac:dyDescent="0.25">
      <c r="E74" s="1795">
        <v>2022</v>
      </c>
      <c r="F74" s="1813"/>
      <c r="G74" s="1814"/>
      <c r="H74" s="1765"/>
      <c r="I74" s="1765"/>
      <c r="AB74" s="1795">
        <v>2022</v>
      </c>
      <c r="AC74" s="1741"/>
      <c r="AD74" s="1814"/>
      <c r="AE74" s="1765"/>
      <c r="AF74" s="1765"/>
      <c r="AZ74" s="1795">
        <v>2022</v>
      </c>
      <c r="BA74" s="1741"/>
      <c r="BB74" s="1814"/>
      <c r="BC74" s="1765"/>
      <c r="BU74" s="1795">
        <v>2022</v>
      </c>
      <c r="BV74" s="1741"/>
      <c r="BW74" s="1814"/>
      <c r="BX74" s="1765"/>
      <c r="BY74" s="1765"/>
      <c r="CZ74" s="1759">
        <v>2009</v>
      </c>
      <c r="DA74" s="1806">
        <v>38807.270899999996</v>
      </c>
      <c r="DB74" s="1764"/>
      <c r="DC74" s="1808">
        <v>0.921</v>
      </c>
      <c r="DD74" s="1764"/>
      <c r="DE74" s="1808" t="e">
        <v>#REF!</v>
      </c>
      <c r="DF74" s="1764"/>
      <c r="DG74" s="1808">
        <f t="shared" si="35"/>
        <v>1.6596525707433942</v>
      </c>
      <c r="DH74" s="1764"/>
      <c r="DI74" s="1812" t="e">
        <f t="shared" si="36"/>
        <v>#REF!</v>
      </c>
      <c r="DJ74" s="1764"/>
      <c r="DK74" s="1806">
        <v>28697.5</v>
      </c>
      <c r="DL74" s="1764"/>
      <c r="DM74" s="1808">
        <v>0.865</v>
      </c>
      <c r="DN74" s="1764"/>
      <c r="DO74" s="1806">
        <v>7976.013</v>
      </c>
      <c r="DP74" s="1764"/>
      <c r="DQ74" s="1811">
        <v>15.145649385720535</v>
      </c>
      <c r="DR74" s="1764"/>
      <c r="DS74" s="1811" t="e">
        <f>#REF!*EC73+#REF!*DQ74+#REF!</f>
        <v>#REF!</v>
      </c>
      <c r="DT74" s="1764"/>
      <c r="DV74" s="1245">
        <v>2010</v>
      </c>
      <c r="DW74" s="1743">
        <f>НАСТРОЙКА!CY151</f>
        <v>12.664918040361862</v>
      </c>
      <c r="DX74" s="1744">
        <f t="shared" si="29"/>
        <v>79.6</v>
      </c>
      <c r="DY74" s="48">
        <f t="shared" si="33"/>
        <v>16.011672138343766</v>
      </c>
      <c r="DZ74" s="53">
        <f t="shared" si="34"/>
        <v>17.976442628253302</v>
      </c>
      <c r="EA74" s="1744">
        <f t="shared" si="30"/>
        <v>30.37</v>
      </c>
      <c r="EB74" s="1200">
        <v>14.006747557636276</v>
      </c>
      <c r="EC74" s="1738">
        <v>8.121605375451491</v>
      </c>
      <c r="ES74" s="1200">
        <f t="shared" si="31"/>
        <v>14.006747557636276</v>
      </c>
      <c r="ET74" s="1738">
        <f t="shared" si="32"/>
        <v>8.121605375451491</v>
      </c>
    </row>
    <row r="75" ht="21" customHeight="1" spans="5:150" x14ac:dyDescent="0.25">
      <c r="E75" s="1795">
        <v>2023</v>
      </c>
      <c r="F75" s="1813"/>
      <c r="G75" s="1814"/>
      <c r="H75" s="1815"/>
      <c r="I75" s="1815"/>
      <c r="AB75" s="1795">
        <v>2023</v>
      </c>
      <c r="AC75" s="1741"/>
      <c r="AD75" s="1814"/>
      <c r="AE75" s="1815"/>
      <c r="AF75" s="1815"/>
      <c r="AZ75" s="1795">
        <v>2023</v>
      </c>
      <c r="BA75" s="1741"/>
      <c r="BB75" s="1814"/>
      <c r="BC75" s="1815"/>
      <c r="BU75" s="1795">
        <v>2023</v>
      </c>
      <c r="BV75" s="1741"/>
      <c r="BW75" s="1814"/>
      <c r="BX75" s="1815"/>
      <c r="BY75" s="1815"/>
      <c r="CZ75" s="1759">
        <v>2010</v>
      </c>
      <c r="DA75" s="1806">
        <v>46308.53100000001</v>
      </c>
      <c r="DB75" s="1764"/>
      <c r="DC75" s="1808">
        <v>1.045</v>
      </c>
      <c r="DD75" s="1764"/>
      <c r="DE75" s="1808" t="e">
        <v>#REF!</v>
      </c>
      <c r="DF75" s="1764"/>
      <c r="DG75" s="1808">
        <f t="shared" si="35"/>
        <v>1.7343369364268468</v>
      </c>
      <c r="DH75" s="1764"/>
      <c r="DI75" s="1812" t="e">
        <f t="shared" si="36"/>
        <v>#REF!</v>
      </c>
      <c r="DJ75" s="1764"/>
      <c r="DK75" s="1806">
        <v>32498.3</v>
      </c>
      <c r="DL75" s="1764"/>
      <c r="DM75" s="1808">
        <v>1.063</v>
      </c>
      <c r="DN75" s="1764"/>
      <c r="DO75" s="1806">
        <v>9152.1</v>
      </c>
      <c r="DP75" s="1764"/>
      <c r="DQ75" s="1811">
        <v>17.430127110309737</v>
      </c>
      <c r="DR75" s="1764"/>
      <c r="DS75" s="1811" t="e">
        <f>#REF!*EC74+#REF!*DQ75+#REF!</f>
        <v>#REF!</v>
      </c>
      <c r="DT75" s="1764"/>
      <c r="DV75" s="1245">
        <v>2011</v>
      </c>
      <c r="DW75" s="1743">
        <f>НАСТРОЙКА!CY152</f>
        <v>13.437478040823935</v>
      </c>
      <c r="DX75" s="1744">
        <f t="shared" si="29"/>
        <v>111</v>
      </c>
      <c r="DY75" s="48">
        <f t="shared" si="33"/>
        <v>18.31560413878274</v>
      </c>
      <c r="DZ75" s="53">
        <f t="shared" si="34"/>
        <v>18.223234628576755</v>
      </c>
      <c r="EA75" s="1744">
        <f t="shared" si="30"/>
        <v>29.39</v>
      </c>
      <c r="EB75" s="1200">
        <v>17.40812446892646</v>
      </c>
      <c r="EC75" s="1738">
        <v>8.282874191876036</v>
      </c>
      <c r="ES75" s="1200">
        <f t="shared" si="31"/>
        <v>17.40812446892646</v>
      </c>
      <c r="ET75" s="1738">
        <f t="shared" si="32"/>
        <v>8.282874191876036</v>
      </c>
    </row>
    <row r="76" ht="21" customHeight="1" spans="5:150" x14ac:dyDescent="0.25">
      <c r="E76" s="1795">
        <v>2024</v>
      </c>
      <c r="F76" s="1813"/>
      <c r="G76" s="1814"/>
      <c r="H76" s="1815"/>
      <c r="I76" s="1815"/>
      <c r="AB76" s="1795">
        <v>2024</v>
      </c>
      <c r="AC76" s="1741"/>
      <c r="AD76" s="1814"/>
      <c r="AE76" s="1815"/>
      <c r="AF76" s="1815"/>
      <c r="AZ76" s="1795">
        <v>2024</v>
      </c>
      <c r="BA76" s="1741"/>
      <c r="BB76" s="1814"/>
      <c r="BC76" s="1815"/>
      <c r="BU76" s="1795">
        <v>2024</v>
      </c>
      <c r="BV76" s="1741"/>
      <c r="BW76" s="1814"/>
      <c r="BX76" s="1815"/>
      <c r="BY76" s="1815"/>
      <c r="CZ76" s="1759">
        <v>2011</v>
      </c>
      <c r="DA76" s="1806">
        <v>60282.540400000005</v>
      </c>
      <c r="DB76" s="1764"/>
      <c r="DC76" s="1808">
        <v>1.043</v>
      </c>
      <c r="DD76" s="1764"/>
      <c r="DE76" s="1808" t="e">
        <v>#REF!</v>
      </c>
      <c r="DF76" s="1764"/>
      <c r="DG76" s="1808">
        <f t="shared" si="35"/>
        <v>1.808913424693201</v>
      </c>
      <c r="DH76" s="1764"/>
      <c r="DI76" s="1812" t="e">
        <f t="shared" si="36"/>
        <v>#REF!</v>
      </c>
      <c r="DJ76" s="1764"/>
      <c r="DK76" s="1806">
        <v>35648.7</v>
      </c>
      <c r="DL76" s="1764"/>
      <c r="DM76" s="1808">
        <v>1.108</v>
      </c>
      <c r="DN76" s="1764"/>
      <c r="DO76" s="1806">
        <v>11035.652</v>
      </c>
      <c r="DP76" s="1764"/>
      <c r="DQ76" s="1811">
        <v>20.04293555360671</v>
      </c>
      <c r="DR76" s="1764"/>
      <c r="DS76" s="1811" t="e">
        <f>#REF!*EC75+#REF!*DQ76+#REF!</f>
        <v>#REF!</v>
      </c>
      <c r="DT76" s="1764"/>
      <c r="DV76" s="1245">
        <v>2012</v>
      </c>
      <c r="DW76" s="1743">
        <f>НАСТРОЙКА!CY153</f>
        <v>14.321664095910151</v>
      </c>
      <c r="DX76" s="1744">
        <f t="shared" si="29"/>
        <v>111.4</v>
      </c>
      <c r="DY76" s="48">
        <f t="shared" si="33"/>
        <v>19.17558089111464</v>
      </c>
      <c r="DZ76" s="53">
        <f t="shared" si="34"/>
        <v>19.349164867137105</v>
      </c>
      <c r="EA76" s="1744">
        <f t="shared" si="30"/>
        <v>31.08</v>
      </c>
      <c r="EB76" s="1200">
        <v>18.653542469425737</v>
      </c>
      <c r="EC76" s="1738">
        <v>8.667019917064364</v>
      </c>
      <c r="ES76" s="1200">
        <f t="shared" si="31"/>
        <v>18.653542469425737</v>
      </c>
      <c r="ET76" s="1738">
        <f t="shared" si="32"/>
        <v>8.667019917064364</v>
      </c>
    </row>
    <row r="77" ht="21" customHeight="1" spans="5:150" x14ac:dyDescent="0.25">
      <c r="E77" s="1795">
        <v>2025</v>
      </c>
      <c r="F77" s="1813"/>
      <c r="G77" s="1814"/>
      <c r="H77" s="1815"/>
      <c r="I77" s="1815"/>
      <c r="AB77" s="1795">
        <v>2025</v>
      </c>
      <c r="AC77" s="1741"/>
      <c r="AD77" s="1814"/>
      <c r="AE77" s="1815"/>
      <c r="AF77" s="1815"/>
      <c r="AZ77" s="1795">
        <v>2025</v>
      </c>
      <c r="BA77" s="1741"/>
      <c r="BB77" s="1814"/>
      <c r="BC77" s="1815"/>
      <c r="BU77" s="1795">
        <v>2025</v>
      </c>
      <c r="BV77" s="1741"/>
      <c r="BW77" s="1814"/>
      <c r="BX77" s="1815"/>
      <c r="BY77" s="1815"/>
      <c r="CZ77" s="1759">
        <v>2012</v>
      </c>
      <c r="DA77" s="1806">
        <v>68163.8831</v>
      </c>
      <c r="DB77" s="1764"/>
      <c r="DC77" s="1808">
        <v>1.0365590157306384</v>
      </c>
      <c r="DD77" s="1764"/>
      <c r="DE77" s="1808" t="e">
        <v>#REF!</v>
      </c>
      <c r="DF77" s="1764"/>
      <c r="DG77" s="1808">
        <f t="shared" si="35"/>
        <v>1.8750455190419226</v>
      </c>
      <c r="DH77" s="1764"/>
      <c r="DI77" s="1812" t="e">
        <f t="shared" si="36"/>
        <v>#REF!</v>
      </c>
      <c r="DJ77" s="1764"/>
      <c r="DK77" s="1806">
        <v>39904</v>
      </c>
      <c r="DL77" s="1764"/>
      <c r="DM77" s="1808">
        <v>1.068</v>
      </c>
      <c r="DN77" s="1764"/>
      <c r="DO77" s="1806">
        <v>12586.090400000001</v>
      </c>
      <c r="DP77" s="1764"/>
      <c r="DQ77" s="1811">
        <v>21.49505155882681</v>
      </c>
      <c r="DR77" s="1764"/>
      <c r="DS77" s="1811" t="e">
        <f>#REF!*EC76+#REF!*DQ77+#REF!</f>
        <v>#REF!</v>
      </c>
      <c r="DT77" s="1764"/>
      <c r="DV77" s="1245">
        <v>2013</v>
      </c>
      <c r="DW77" s="1743">
        <f>НАСТРОЙКА!CY154</f>
        <v>15.245411430096356</v>
      </c>
      <c r="DX77" s="1744">
        <f t="shared" si="29"/>
        <v>108.8</v>
      </c>
      <c r="DY77" s="48">
        <f t="shared" si="33"/>
        <v>19.923140858591537</v>
      </c>
      <c r="DZ77" s="53">
        <f t="shared" si="34"/>
        <v>20.226788001067447</v>
      </c>
      <c r="EA77" s="1744">
        <f t="shared" si="30"/>
        <v>31.85</v>
      </c>
      <c r="EB77" s="1200">
        <v>18.357364736075578</v>
      </c>
      <c r="EC77" s="1738">
        <v>9.0619465420278</v>
      </c>
      <c r="ES77" s="1200">
        <f t="shared" si="31"/>
        <v>18.357364736075578</v>
      </c>
      <c r="ET77" s="1738">
        <f t="shared" si="32"/>
        <v>9.0619465420278</v>
      </c>
    </row>
    <row r="78" ht="21" customHeight="1" spans="5:150" x14ac:dyDescent="0.25">
      <c r="E78" s="1795">
        <v>2026</v>
      </c>
      <c r="F78" s="1813"/>
      <c r="G78" s="1814"/>
      <c r="H78" s="1815"/>
      <c r="I78" s="1815"/>
      <c r="AB78" s="1795">
        <v>2026</v>
      </c>
      <c r="AC78" s="1741"/>
      <c r="AD78" s="1814"/>
      <c r="AE78" s="1815"/>
      <c r="AF78" s="1815"/>
      <c r="AZ78" s="1795">
        <v>2026</v>
      </c>
      <c r="BA78" s="1741"/>
      <c r="BB78" s="1814"/>
      <c r="BC78" s="1815"/>
      <c r="BU78" s="1795">
        <v>2026</v>
      </c>
      <c r="BV78" s="1741"/>
      <c r="BW78" s="1814"/>
      <c r="BX78" s="1815"/>
      <c r="BY78" s="1815"/>
      <c r="CZ78" s="1759">
        <v>2013</v>
      </c>
      <c r="DA78" s="1806">
        <v>73133.89509999998</v>
      </c>
      <c r="DB78" s="1764"/>
      <c r="DC78" s="1808">
        <v>1.0178535450091057</v>
      </c>
      <c r="DD78" s="1764"/>
      <c r="DE78" s="1808" t="e">
        <v>#REF!</v>
      </c>
      <c r="DF78" s="1764"/>
      <c r="DG78" s="1808">
        <f t="shared" si="35"/>
        <v>1.9085217286102596</v>
      </c>
      <c r="DH78" s="1764"/>
      <c r="DI78" s="1812" t="e">
        <f t="shared" si="36"/>
        <v>#REF!</v>
      </c>
      <c r="DJ78" s="1764"/>
      <c r="DK78" s="1806">
        <v>44650</v>
      </c>
      <c r="DL78" s="1764"/>
      <c r="DM78" s="1808">
        <v>1.008</v>
      </c>
      <c r="DN78" s="1764"/>
      <c r="DO78" s="1806">
        <v>13450.2382</v>
      </c>
      <c r="DP78" s="1764"/>
      <c r="DQ78" s="1811">
        <v>22.757607622707155</v>
      </c>
      <c r="DR78" s="1764"/>
      <c r="DS78" s="1811" t="e">
        <f>#REF!*EC77+#REF!*DQ78+#REF!</f>
        <v>#REF!</v>
      </c>
      <c r="DT78" s="1764"/>
      <c r="DV78" s="1245">
        <v>2014</v>
      </c>
      <c r="DW78" s="1743">
        <f>НАСТРОЙКА!CY155</f>
        <v>17.31878738458946</v>
      </c>
      <c r="DX78" s="1744">
        <f t="shared" si="29"/>
        <v>98.9</v>
      </c>
      <c r="DY78" s="48">
        <f t="shared" si="33"/>
        <v>21.397848015359987</v>
      </c>
      <c r="DZ78" s="53">
        <f t="shared" si="34"/>
        <v>23.70615116921262</v>
      </c>
      <c r="EA78" s="1744">
        <f t="shared" si="30"/>
        <v>38.61</v>
      </c>
      <c r="EB78" s="1235">
        <v>20.747451690988555</v>
      </c>
      <c r="EC78" s="1738">
        <v>10.713774916786434</v>
      </c>
      <c r="ES78" s="1200">
        <f t="shared" si="31"/>
        <v>20.747451690988555</v>
      </c>
      <c r="ET78" s="1738">
        <f t="shared" si="32"/>
        <v>10.713774916786434</v>
      </c>
    </row>
    <row r="79" ht="21" customHeight="1" spans="5:150" x14ac:dyDescent="0.25">
      <c r="E79" s="1795">
        <v>2027</v>
      </c>
      <c r="F79" s="1813"/>
      <c r="G79" s="1814"/>
      <c r="H79" s="1815"/>
      <c r="I79" s="1815"/>
      <c r="AB79" s="1795">
        <v>2027</v>
      </c>
      <c r="AC79" s="1741"/>
      <c r="AD79" s="1814"/>
      <c r="AE79" s="1815"/>
      <c r="AF79" s="1815"/>
      <c r="AZ79" s="1795">
        <v>2027</v>
      </c>
      <c r="BA79" s="1741"/>
      <c r="BB79" s="1814"/>
      <c r="BC79" s="1815"/>
      <c r="BU79" s="1795">
        <v>2027</v>
      </c>
      <c r="BV79" s="1741"/>
      <c r="BW79" s="1814"/>
      <c r="BX79" s="1815"/>
      <c r="BY79" s="1815"/>
      <c r="CZ79" s="1759">
        <v>2014</v>
      </c>
      <c r="DA79" s="1814"/>
      <c r="DB79" s="1816" t="e">
        <f t="array" ref="DB79:DB95">TRANSPOSE(СЧЁТ!#REF!)</f>
        <v>#REF!</v>
      </c>
      <c r="DC79" s="1814"/>
      <c r="DD79" s="1815">
        <f t="array" ref="DD79:DD95">TRANSPOSE(СЧЁТ!AH219:AX219)</f>
        <v>0</v>
      </c>
      <c r="DE79" s="1814"/>
      <c r="DF79" s="1815" t="e">
        <f t="array" ref="DF79:DF95">TRANSPOSE(СЧЁТ!#REF!)</f>
        <v>#REF!</v>
      </c>
      <c r="DG79" s="1814"/>
      <c r="DH79" s="1815">
        <f>DG78*DD79</f>
        <v>0</v>
      </c>
      <c r="DI79" s="1817"/>
      <c r="DJ79" s="1815" t="e">
        <f>DI78*DF79</f>
        <v>#REF!</v>
      </c>
      <c r="DK79" s="1814"/>
      <c r="DL79" s="1816" t="e">
        <f t="array" ref="DL79:DL95">TRANSPOSE(СЧЁТ!#REF!)</f>
        <v>#REF!</v>
      </c>
      <c r="DM79" s="1811"/>
      <c r="DN79" s="1815">
        <f t="array" ref="DN79:DN95">TRANSPOSE(СЧЁТ!AH230:AX230)</f>
        <v>0</v>
      </c>
      <c r="DO79" s="1811"/>
      <c r="DP79" s="1816">
        <f t="array" ref="DP79:DP95">TRANSPOSE(СЧЁТ!AH187:AX187)</f>
        <v>2.7734367261611617</v>
      </c>
      <c r="DQ79" s="1814"/>
      <c r="DR79" s="1764"/>
      <c r="DS79" s="1814"/>
      <c r="DT79" s="1764"/>
      <c r="DV79" s="1245">
        <v>2015</v>
      </c>
      <c r="DW79" s="1743">
        <f>НАСТРОЙКА!CY156</f>
        <v>19.5529109572015</v>
      </c>
      <c r="DX79" s="1744">
        <f t="shared" si="29"/>
        <v>52.4</v>
      </c>
      <c r="DY79" s="48">
        <f t="shared" si="33"/>
        <v>21.195265409341427</v>
      </c>
      <c r="DZ79" s="53">
        <f t="shared" si="34"/>
        <v>32.00803767004105</v>
      </c>
      <c r="EA79" s="1744">
        <f t="shared" si="30"/>
        <v>61.07</v>
      </c>
      <c r="EB79" s="1235">
        <v>22.2745200953556</v>
      </c>
      <c r="EC79" s="1738">
        <v>15.00558323794657</v>
      </c>
      <c r="ES79" s="1200">
        <f t="shared" si="31"/>
        <v>22.2745200953556</v>
      </c>
      <c r="ET79" s="1738">
        <f t="shared" si="32"/>
        <v>15.00558323794657</v>
      </c>
    </row>
    <row r="80" ht="21" customHeight="1" spans="5:150" x14ac:dyDescent="0.25">
      <c r="E80" s="1795">
        <v>2028</v>
      </c>
      <c r="F80" s="1813"/>
      <c r="G80" s="1814"/>
      <c r="H80" s="1815"/>
      <c r="I80" s="1815"/>
      <c r="AB80" s="1795">
        <v>2028</v>
      </c>
      <c r="AC80" s="1741"/>
      <c r="AD80" s="1814"/>
      <c r="AE80" s="1815"/>
      <c r="AF80" s="1815"/>
      <c r="AZ80" s="1795">
        <v>2028</v>
      </c>
      <c r="BA80" s="1741"/>
      <c r="BB80" s="1814"/>
      <c r="BC80" s="1815"/>
      <c r="BU80" s="1795">
        <v>2028</v>
      </c>
      <c r="BV80" s="1741"/>
      <c r="BW80" s="1814"/>
      <c r="BX80" s="1815"/>
      <c r="BY80" s="1815"/>
      <c r="CZ80" s="1759">
        <v>2015</v>
      </c>
      <c r="DA80" s="1814"/>
      <c r="DB80" s="1816" t="e">
        <v>#REF!</v>
      </c>
      <c r="DC80" s="1814"/>
      <c r="DD80" s="1815">
        <v>0</v>
      </c>
      <c r="DE80" s="1814"/>
      <c r="DF80" s="1815" t="e">
        <v>#REF!</v>
      </c>
      <c r="DG80" s="1814"/>
      <c r="DH80" s="1815">
        <f>DH79*DD80</f>
        <v>0</v>
      </c>
      <c r="DI80" s="1817"/>
      <c r="DJ80" s="1815" t="e">
        <f>DJ79*DF80</f>
        <v>#REF!</v>
      </c>
      <c r="DK80" s="1814"/>
      <c r="DL80" s="1816" t="e">
        <v>#REF!</v>
      </c>
      <c r="DM80" s="1811"/>
      <c r="DN80" s="1815">
        <v>0</v>
      </c>
      <c r="DO80" s="1811"/>
      <c r="DP80" s="1816">
        <v>2.5127336739020127</v>
      </c>
      <c r="DQ80" s="1814"/>
      <c r="DR80" s="1764"/>
      <c r="DS80" s="1814"/>
      <c r="DT80" s="1764"/>
      <c r="DV80" s="1245">
        <v>2016</v>
      </c>
      <c r="DW80" s="1743">
        <f>НАСТРОЙКА!CY157</f>
        <v>20.60681285779466</v>
      </c>
      <c r="DX80" s="1744">
        <f t="shared" si="29"/>
        <v>44</v>
      </c>
      <c r="DY80" s="48">
        <f t="shared" si="33"/>
        <v>21.776472214904928</v>
      </c>
      <c r="DZ80" s="53">
        <f t="shared" si="34"/>
        <v>34.248769000456264</v>
      </c>
      <c r="EA80" s="1744">
        <f t="shared" si="30"/>
        <v>66.08</v>
      </c>
      <c r="EB80" s="1235">
        <v>20.030786917707065</v>
      </c>
      <c r="EC80" s="1738">
        <v>16.052012422908835</v>
      </c>
      <c r="ES80" s="1200">
        <f t="shared" si="31"/>
        <v>20.030786917707065</v>
      </c>
      <c r="ET80" s="1738">
        <f t="shared" si="32"/>
        <v>16.052012422908835</v>
      </c>
    </row>
    <row r="81" ht="21" customHeight="1" spans="5:150" x14ac:dyDescent="0.25">
      <c r="E81" s="1795">
        <v>2029</v>
      </c>
      <c r="F81" s="1813"/>
      <c r="G81" s="1814"/>
      <c r="H81" s="1815"/>
      <c r="I81" s="1815"/>
      <c r="AB81" s="1795">
        <v>2029</v>
      </c>
      <c r="AC81" s="1741"/>
      <c r="AD81" s="1814"/>
      <c r="AE81" s="1815"/>
      <c r="AF81" s="1815"/>
      <c r="AZ81" s="1795">
        <v>2029</v>
      </c>
      <c r="BA81" s="1741"/>
      <c r="BB81" s="1814"/>
      <c r="BC81" s="1815"/>
      <c r="BU81" s="1795">
        <v>2029</v>
      </c>
      <c r="BV81" s="1741"/>
      <c r="BW81" s="1814"/>
      <c r="BX81" s="1815"/>
      <c r="BY81" s="1815"/>
      <c r="CZ81" s="1759">
        <v>2016</v>
      </c>
      <c r="DA81" s="1814"/>
      <c r="DB81" s="1816" t="e">
        <v>#REF!</v>
      </c>
      <c r="DC81" s="1814"/>
      <c r="DD81" s="1815">
        <v>0</v>
      </c>
      <c r="DE81" s="1814"/>
      <c r="DF81" s="1815" t="e">
        <v>#REF!</v>
      </c>
      <c r="DG81" s="1814"/>
      <c r="DH81" s="1815">
        <f t="shared" ref="DH81:DH95" si="37">DH80*DD81</f>
        <v>0</v>
      </c>
      <c r="DI81" s="1817"/>
      <c r="DJ81" s="1815" t="e">
        <f t="shared" ref="DJ81:DJ95" si="38">DJ80*DF81</f>
        <v>#REF!</v>
      </c>
      <c r="DK81" s="1814"/>
      <c r="DL81" s="1816" t="e">
        <v>#REF!</v>
      </c>
      <c r="DM81" s="1811"/>
      <c r="DN81" s="1815">
        <v>0</v>
      </c>
      <c r="DO81" s="1811"/>
      <c r="DP81" s="1816">
        <v>2.4649917340978744</v>
      </c>
      <c r="DQ81" s="1814"/>
      <c r="DR81" s="1764"/>
      <c r="DS81" s="1814"/>
      <c r="DT81" s="1764"/>
      <c r="DV81" s="1245">
        <v>2017</v>
      </c>
      <c r="DW81" s="1743">
        <f>НАСТРОЙКА!DA158</f>
        <v>0</v>
      </c>
      <c r="DX81" s="1744">
        <f t="shared" si="29"/>
        <v>54.53</v>
      </c>
      <c r="DY81" s="48">
        <f t="shared" si="33"/>
        <v>2.7265</v>
      </c>
      <c r="DZ81" s="53">
        <f t="shared" si="34"/>
        <v>17.487</v>
      </c>
      <c r="EA81" s="1744">
        <f t="shared" si="30"/>
        <v>58.29</v>
      </c>
      <c r="EB81" s="1235"/>
      <c r="EC81" s="1187"/>
      <c r="ES81" s="1200">
        <f t="shared" ref="ES81:ES94" si="39">0.941*(0.95*DW81+0.05*DX81)-0.2661</f>
        <v>2.2995365000000003</v>
      </c>
      <c r="ET81" s="1738">
        <f t="shared" ref="ET81:ET94" si="40">0.4659*(0.7*DW81+0.3*EA81)-0.1713</f>
        <v>7.975893299999999</v>
      </c>
    </row>
    <row r="82" ht="21" customHeight="1" spans="5:150" x14ac:dyDescent="0.25">
      <c r="E82" s="1818">
        <v>2030</v>
      </c>
      <c r="F82" s="1819"/>
      <c r="G82" s="1820"/>
      <c r="H82" s="1821"/>
      <c r="I82" s="1821"/>
      <c r="AB82" s="1818">
        <v>2030</v>
      </c>
      <c r="AC82" s="1822"/>
      <c r="AD82" s="1820"/>
      <c r="AE82" s="1821"/>
      <c r="AF82" s="1821"/>
      <c r="AZ82" s="1818">
        <v>2030</v>
      </c>
      <c r="BA82" s="1822"/>
      <c r="BB82" s="1820"/>
      <c r="BC82" s="1821"/>
      <c r="BU82" s="1818">
        <v>2030</v>
      </c>
      <c r="BV82" s="1822"/>
      <c r="BW82" s="1820"/>
      <c r="BX82" s="1821"/>
      <c r="BY82" s="1821"/>
      <c r="CZ82" s="1759">
        <v>2017</v>
      </c>
      <c r="DA82" s="1814"/>
      <c r="DB82" s="1816" t="e">
        <v>#REF!</v>
      </c>
      <c r="DC82" s="1814"/>
      <c r="DD82" s="1815">
        <v>0</v>
      </c>
      <c r="DE82" s="1814"/>
      <c r="DF82" s="1815" t="e">
        <v>#REF!</v>
      </c>
      <c r="DG82" s="1814"/>
      <c r="DH82" s="1815">
        <f t="shared" si="37"/>
        <v>0</v>
      </c>
      <c r="DI82" s="1817"/>
      <c r="DJ82" s="1815" t="e">
        <f t="shared" si="38"/>
        <v>#REF!</v>
      </c>
      <c r="DK82" s="1814"/>
      <c r="DL82" s="1816" t="e">
        <v>#REF!</v>
      </c>
      <c r="DM82" s="1811"/>
      <c r="DN82" s="1815">
        <v>0</v>
      </c>
      <c r="DO82" s="1811"/>
      <c r="DP82" s="1816">
        <v>2.546336461323104</v>
      </c>
      <c r="DQ82" s="1814"/>
      <c r="DR82" s="1764"/>
      <c r="DS82" s="1814"/>
      <c r="DT82" s="1764"/>
      <c r="DV82" s="1245">
        <v>2018</v>
      </c>
      <c r="DW82" s="1743">
        <f>НАСТРОЙКА!DA159</f>
        <v>22.02392812898368</v>
      </c>
      <c r="DX82" s="1823">
        <f t="shared" ref="DX82:DX90" si="41">DD46</f>
        <v>62.954</v>
      </c>
      <c r="DY82" s="48">
        <f t="shared" si="33"/>
        <v>24.070431722534497</v>
      </c>
      <c r="DZ82" s="53">
        <f t="shared" si="34"/>
        <v>15.416749690288576</v>
      </c>
      <c r="EA82" s="1823">
        <f t="shared" ref="EA82:EA94" si="42">DZ41</f>
        <v>0</v>
      </c>
      <c r="EB82" s="1235"/>
      <c r="EC82" s="1187"/>
      <c r="ES82" s="1200">
        <f t="shared" si="39"/>
        <v>22.384176250904957</v>
      </c>
      <c r="ET82" s="1738">
        <f t="shared" si="40"/>
        <v>7.011363680705447</v>
      </c>
    </row>
    <row r="83" ht="21" customHeight="1" spans="104:150" x14ac:dyDescent="0.25">
      <c r="CZ83" s="1759">
        <v>2018</v>
      </c>
      <c r="DA83" s="1814"/>
      <c r="DB83" s="1816" t="e">
        <v>#REF!</v>
      </c>
      <c r="DC83" s="1814"/>
      <c r="DD83" s="1815">
        <v>0</v>
      </c>
      <c r="DE83" s="1814"/>
      <c r="DF83" s="1815" t="e">
        <v>#REF!</v>
      </c>
      <c r="DG83" s="1814"/>
      <c r="DH83" s="1815">
        <f t="shared" si="37"/>
        <v>0</v>
      </c>
      <c r="DI83" s="1817"/>
      <c r="DJ83" s="1815" t="e">
        <f t="shared" si="38"/>
        <v>#REF!</v>
      </c>
      <c r="DK83" s="1814"/>
      <c r="DL83" s="1816" t="e">
        <v>#REF!</v>
      </c>
      <c r="DM83" s="1811"/>
      <c r="DN83" s="1815">
        <v>0</v>
      </c>
      <c r="DO83" s="1811"/>
      <c r="DP83" s="1816">
        <v>2.604902199933535</v>
      </c>
      <c r="DQ83" s="1814"/>
      <c r="DR83" s="1764"/>
      <c r="DS83" s="1814"/>
      <c r="DT83" s="1764"/>
      <c r="DV83" s="1245">
        <v>2019</v>
      </c>
      <c r="DW83" s="1743">
        <f>НАСТРОЙКА!DA160</f>
        <v>22.693455544104783</v>
      </c>
      <c r="DX83" s="1824">
        <f t="shared" si="41"/>
        <v>69.6932</v>
      </c>
      <c r="DY83" s="48">
        <f t="shared" si="33"/>
        <v>25.043442766899545</v>
      </c>
      <c r="DZ83" s="53">
        <f t="shared" si="34"/>
        <v>15.885418880873347</v>
      </c>
      <c r="EA83" s="1824">
        <f t="shared" si="42"/>
        <v>0</v>
      </c>
      <c r="EB83" s="1235"/>
      <c r="EC83" s="1187"/>
      <c r="ES83" s="1200">
        <f t="shared" si="39"/>
        <v>23.29977964365247</v>
      </c>
      <c r="ET83" s="1738">
        <f t="shared" si="40"/>
        <v>7.229716656598892</v>
      </c>
    </row>
    <row r="84" ht="21" customHeight="1" spans="104:150" x14ac:dyDescent="0.25">
      <c r="CZ84" s="1759">
        <v>2019</v>
      </c>
      <c r="DA84" s="1814"/>
      <c r="DB84" s="1816" t="e">
        <v>#REF!</v>
      </c>
      <c r="DC84" s="1814"/>
      <c r="DD84" s="1815">
        <v>0</v>
      </c>
      <c r="DE84" s="1814"/>
      <c r="DF84" s="1815" t="e">
        <v>#REF!</v>
      </c>
      <c r="DG84" s="1814"/>
      <c r="DH84" s="1815">
        <f t="shared" si="37"/>
        <v>0</v>
      </c>
      <c r="DI84" s="1817"/>
      <c r="DJ84" s="1815" t="e">
        <f t="shared" si="38"/>
        <v>#REF!</v>
      </c>
      <c r="DK84" s="1814"/>
      <c r="DL84" s="1816" t="e">
        <v>#REF!</v>
      </c>
      <c r="DM84" s="1811"/>
      <c r="DN84" s="1815">
        <v>0</v>
      </c>
      <c r="DO84" s="1811"/>
      <c r="DP84" s="1816">
        <v>2.721622066394527</v>
      </c>
      <c r="DQ84" s="1814"/>
      <c r="DR84" s="1764"/>
      <c r="DS84" s="1814"/>
      <c r="DT84" s="1764"/>
      <c r="DV84" s="1245">
        <v>2020</v>
      </c>
      <c r="DW84" s="1743">
        <f>НАСТРОЙКА!DA161</f>
        <v>23.807704211320324</v>
      </c>
      <c r="DX84" s="1824">
        <f t="shared" si="41"/>
        <v>75.08456000000001</v>
      </c>
      <c r="DY84" s="48">
        <f t="shared" si="33"/>
        <v>26.37154700075431</v>
      </c>
      <c r="DZ84" s="53">
        <f t="shared" si="34"/>
        <v>16.665392947924225</v>
      </c>
      <c r="EA84" s="1824">
        <f t="shared" si="42"/>
        <v>0</v>
      </c>
      <c r="EB84" s="1235"/>
      <c r="EC84" s="1187"/>
      <c r="ES84" s="1200">
        <f t="shared" si="39"/>
        <v>24.549525727709803</v>
      </c>
      <c r="ET84" s="1738">
        <f t="shared" si="40"/>
        <v>7.593106574437897</v>
      </c>
    </row>
    <row r="85" ht="21" customHeight="1" spans="5:150" x14ac:dyDescent="0.25">
      <c r="E85" s="869" t="s">
        <v>159</v>
      </c>
      <c r="F85" s="1153" t="s">
        <v>648</v>
      </c>
      <c r="G85" s="1153" t="s">
        <v>381</v>
      </c>
      <c r="H85" s="391" t="s">
        <v>1704</v>
      </c>
      <c r="I85" s="391" t="s">
        <v>1705</v>
      </c>
      <c r="AB85" s="1554" t="s">
        <v>159</v>
      </c>
      <c r="AC85" s="703" t="s">
        <v>648</v>
      </c>
      <c r="AD85" s="391" t="s">
        <v>949</v>
      </c>
      <c r="AE85" s="703" t="s">
        <v>705</v>
      </c>
      <c r="AU85" s="703" t="s">
        <v>648</v>
      </c>
      <c r="AW85" s="1554" t="s">
        <v>159</v>
      </c>
      <c r="AX85" s="703" t="s">
        <v>1729</v>
      </c>
      <c r="AY85" s="391" t="s">
        <v>949</v>
      </c>
      <c r="AZ85" s="703" t="s">
        <v>705</v>
      </c>
      <c r="BP85" s="703" t="s">
        <v>1729</v>
      </c>
      <c r="CZ85" s="1759">
        <v>2020</v>
      </c>
      <c r="DA85" s="1814"/>
      <c r="DB85" s="1816" t="e">
        <v>#REF!</v>
      </c>
      <c r="DC85" s="1814"/>
      <c r="DD85" s="1815">
        <v>0</v>
      </c>
      <c r="DE85" s="1814"/>
      <c r="DF85" s="1815" t="e">
        <v>#REF!</v>
      </c>
      <c r="DG85" s="1814"/>
      <c r="DH85" s="1815">
        <f t="shared" si="37"/>
        <v>0</v>
      </c>
      <c r="DI85" s="1817"/>
      <c r="DJ85" s="1815" t="e">
        <f t="shared" si="38"/>
        <v>#REF!</v>
      </c>
      <c r="DK85" s="1814"/>
      <c r="DL85" s="1816" t="e">
        <v>#REF!</v>
      </c>
      <c r="DM85" s="1811"/>
      <c r="DN85" s="1815">
        <v>0</v>
      </c>
      <c r="DO85" s="1811"/>
      <c r="DP85" s="1816">
        <v>2.82012494029242</v>
      </c>
      <c r="DQ85" s="1814"/>
      <c r="DR85" s="1764"/>
      <c r="DS85" s="1814"/>
      <c r="DT85" s="1764"/>
      <c r="DV85" s="1245">
        <v>2021</v>
      </c>
      <c r="DW85" s="1743">
        <f>НАСТРОЙКА!DA162</f>
        <v>24.99808942188634</v>
      </c>
      <c r="DX85" s="1824">
        <f t="shared" si="41"/>
        <v>79.39764800000002</v>
      </c>
      <c r="DY85" s="48">
        <f t="shared" si="33"/>
        <v>27.718067350792026</v>
      </c>
      <c r="DZ85" s="53">
        <f t="shared" si="34"/>
        <v>17.498662595320436</v>
      </c>
      <c r="EA85" s="1824">
        <f t="shared" si="42"/>
        <v>0</v>
      </c>
      <c r="EB85" s="1235"/>
      <c r="EC85" s="1187"/>
      <c r="ES85" s="1200">
        <f t="shared" si="39"/>
        <v>25.816601377095292</v>
      </c>
      <c r="ET85" s="1738">
        <f t="shared" si="40"/>
        <v>7.98132690315979</v>
      </c>
    </row>
    <row r="86" ht="21" customHeight="1" spans="5:150" x14ac:dyDescent="0.25">
      <c r="E86" s="850">
        <v>43130</v>
      </c>
      <c r="F86" s="843" t="s">
        <v>706</v>
      </c>
      <c r="G86" s="843" t="s">
        <v>706</v>
      </c>
      <c r="H86" s="843" t="s">
        <v>840</v>
      </c>
      <c r="I86" s="843" t="s">
        <v>840</v>
      </c>
      <c r="AB86" s="1567">
        <v>43130</v>
      </c>
      <c r="AC86" s="843" t="s">
        <v>840</v>
      </c>
      <c r="AD86" s="843" t="s">
        <v>840</v>
      </c>
      <c r="AE86" s="843" t="s">
        <v>840</v>
      </c>
      <c r="AU86" s="785" t="s">
        <v>633</v>
      </c>
      <c r="AW86" s="1567">
        <v>43130</v>
      </c>
      <c r="AX86" s="843" t="s">
        <v>840</v>
      </c>
      <c r="AY86" s="843" t="s">
        <v>840</v>
      </c>
      <c r="AZ86" s="843" t="s">
        <v>840</v>
      </c>
      <c r="BP86" s="785" t="s">
        <v>633</v>
      </c>
      <c r="CZ86" s="1759">
        <v>2021</v>
      </c>
      <c r="DA86" s="1814"/>
      <c r="DB86" s="1816" t="e">
        <v>#REF!</v>
      </c>
      <c r="DC86" s="1814"/>
      <c r="DD86" s="1815">
        <v>0</v>
      </c>
      <c r="DE86" s="1814"/>
      <c r="DF86" s="1815" t="e">
        <v>#REF!</v>
      </c>
      <c r="DG86" s="1814"/>
      <c r="DH86" s="1815">
        <f t="shared" si="37"/>
        <v>0</v>
      </c>
      <c r="DI86" s="1817"/>
      <c r="DJ86" s="1815" t="e">
        <f t="shared" si="38"/>
        <v>#REF!</v>
      </c>
      <c r="DK86" s="1814"/>
      <c r="DL86" s="1816" t="e">
        <v>#REF!</v>
      </c>
      <c r="DM86" s="1811"/>
      <c r="DN86" s="1815">
        <v>0</v>
      </c>
      <c r="DO86" s="1811"/>
      <c r="DP86" s="1816">
        <v>2.9876106811441123</v>
      </c>
      <c r="DQ86" s="1814"/>
      <c r="DR86" s="1764"/>
      <c r="DS86" s="1814"/>
      <c r="DT86" s="1764"/>
      <c r="DV86" s="1245">
        <v>2022</v>
      </c>
      <c r="DW86" s="1743">
        <f>НАСТРОЙКА!DA163</f>
        <v>26.24799389298066</v>
      </c>
      <c r="DX86" s="1824">
        <f t="shared" si="41"/>
        <v>82.84811840000002</v>
      </c>
      <c r="DY86" s="48">
        <f t="shared" si="33"/>
        <v>29.078000118331627</v>
      </c>
      <c r="DZ86" s="53">
        <f t="shared" si="34"/>
        <v>18.37359572508646</v>
      </c>
      <c r="EA86" s="1824">
        <f t="shared" si="42"/>
        <v>0</v>
      </c>
      <c r="EB86" s="1235"/>
      <c r="EC86" s="1187"/>
      <c r="ES86" s="1200">
        <f t="shared" si="39"/>
        <v>27.09629811135006</v>
      </c>
      <c r="ET86" s="1738">
        <f t="shared" si="40"/>
        <v>8.388958248317781</v>
      </c>
    </row>
    <row r="87" ht="21" customHeight="1" spans="5:150" x14ac:dyDescent="0.25">
      <c r="E87" s="1792">
        <v>1995</v>
      </c>
      <c r="F87" s="1825">
        <f t="array" ref="F87:F108">TRANSPOSE(ОТЧЁТ!U191:AP191)</f>
        <v>1</v>
      </c>
      <c r="G87" s="1826">
        <f t="array" ref="G87:G108">TRANSPOSE(ОТЧЁТ!U151:AP151)</f>
        <v>1</v>
      </c>
      <c r="H87" s="57">
        <f>G87</f>
        <v>1</v>
      </c>
      <c r="I87" s="1738"/>
      <c r="AB87" s="828">
        <v>1995</v>
      </c>
      <c r="AC87" s="1737">
        <f>F87</f>
        <v>1</v>
      </c>
      <c r="AD87" s="1738"/>
      <c r="AE87" s="1222" t="e">
        <f>НАСТРОЙКА!#REF!</f>
        <v>#REF!</v>
      </c>
      <c r="AU87" s="58">
        <f>AC87</f>
        <v>1</v>
      </c>
      <c r="AW87" s="828">
        <v>1995</v>
      </c>
      <c r="AX87" s="1737">
        <f t="array" ref="AX87:AX108">TRANSPOSE(ОТЧЁТ!U190:AP190)</f>
        <v>1</v>
      </c>
      <c r="AY87" s="1738"/>
      <c r="AZ87" s="1222">
        <v>1</v>
      </c>
      <c r="BP87" s="58">
        <f>AX87</f>
        <v>1</v>
      </c>
      <c r="CZ87" s="1759">
        <v>2022</v>
      </c>
      <c r="DA87" s="1814"/>
      <c r="DB87" s="1816" t="e">
        <v>#REF!</v>
      </c>
      <c r="DC87" s="1814"/>
      <c r="DD87" s="1815">
        <v>0</v>
      </c>
      <c r="DE87" s="1814"/>
      <c r="DF87" s="1815" t="e">
        <v>#REF!</v>
      </c>
      <c r="DG87" s="1814"/>
      <c r="DH87" s="1815">
        <f t="shared" si="37"/>
        <v>0</v>
      </c>
      <c r="DI87" s="1817"/>
      <c r="DJ87" s="1815" t="e">
        <f t="shared" si="38"/>
        <v>#REF!</v>
      </c>
      <c r="DK87" s="1814"/>
      <c r="DL87" s="1816" t="e">
        <v>#REF!</v>
      </c>
      <c r="DM87" s="1811"/>
      <c r="DN87" s="1815">
        <v>0</v>
      </c>
      <c r="DO87" s="1811"/>
      <c r="DP87" s="1816">
        <v>3.1318358804286244</v>
      </c>
      <c r="DQ87" s="1814"/>
      <c r="DR87" s="1764"/>
      <c r="DS87" s="1814"/>
      <c r="DT87" s="1764"/>
      <c r="DV87" s="1245">
        <v>2023</v>
      </c>
      <c r="DW87" s="1743">
        <f>НАСТРОЙКА!DA164</f>
        <v>27.560393587629694</v>
      </c>
      <c r="DX87" s="1824">
        <f t="shared" si="41"/>
        <v>85.60849472000002</v>
      </c>
      <c r="DY87" s="48">
        <f t="shared" si="33"/>
        <v>30.46279864424821</v>
      </c>
      <c r="DZ87" s="53">
        <f t="shared" si="34"/>
        <v>19.292275511340783</v>
      </c>
      <c r="EA87" s="1824">
        <f t="shared" si="42"/>
        <v>0</v>
      </c>
      <c r="EB87" s="1235"/>
      <c r="EC87" s="1187"/>
      <c r="ES87" s="1200">
        <f t="shared" si="39"/>
        <v>28.399393524237563</v>
      </c>
      <c r="ET87" s="1738">
        <f t="shared" si="40"/>
        <v>8.81697116073367</v>
      </c>
    </row>
    <row r="88" ht="21" customHeight="1" spans="5:150" x14ac:dyDescent="0.25">
      <c r="E88" s="1795">
        <v>1996</v>
      </c>
      <c r="F88" s="1827">
        <v>1.695396731545807</v>
      </c>
      <c r="G88" s="1826">
        <v>1.218</v>
      </c>
      <c r="H88" s="57">
        <f>G88</f>
        <v>1.218</v>
      </c>
      <c r="I88" s="1738"/>
      <c r="AB88" s="559">
        <v>1996</v>
      </c>
      <c r="AC88" s="1827">
        <f>F88</f>
        <v>1.695396731545807</v>
      </c>
      <c r="AD88" s="1742"/>
      <c r="AE88" s="1742" t="e">
        <f>НАСТРОЙКА!#REF!</f>
        <v>#REF!</v>
      </c>
      <c r="AU88" s="316">
        <f>AC88</f>
        <v>1.695396731545807</v>
      </c>
      <c r="AW88" s="559">
        <v>1996</v>
      </c>
      <c r="AX88" s="1827">
        <v>2.4661634872716665</v>
      </c>
      <c r="AY88" s="1742"/>
      <c r="AZ88" s="1742">
        <v>1.218</v>
      </c>
      <c r="BP88" s="316">
        <f>AX88</f>
        <v>2.4661634872716665</v>
      </c>
      <c r="CZ88" s="1759">
        <v>2023</v>
      </c>
      <c r="DA88" s="1814"/>
      <c r="DB88" s="1816" t="e">
        <v>#REF!</v>
      </c>
      <c r="DC88" s="1814"/>
      <c r="DD88" s="1815">
        <v>0</v>
      </c>
      <c r="DE88" s="1814"/>
      <c r="DF88" s="1815" t="e">
        <v>#REF!</v>
      </c>
      <c r="DG88" s="1814"/>
      <c r="DH88" s="1815">
        <f t="shared" si="37"/>
        <v>0</v>
      </c>
      <c r="DI88" s="1817"/>
      <c r="DJ88" s="1815" t="e">
        <f t="shared" si="38"/>
        <v>#REF!</v>
      </c>
      <c r="DK88" s="1814"/>
      <c r="DL88" s="1816" t="e">
        <v>#REF!</v>
      </c>
      <c r="DM88" s="1811"/>
      <c r="DN88" s="1815">
        <v>0</v>
      </c>
      <c r="DO88" s="1811"/>
      <c r="DP88" s="1816">
        <v>3.276816912164585</v>
      </c>
      <c r="DQ88" s="1814"/>
      <c r="DR88" s="1764"/>
      <c r="DS88" s="1814"/>
      <c r="DT88" s="1764"/>
      <c r="DV88" s="1245">
        <v>2024</v>
      </c>
      <c r="DW88" s="1743">
        <f>НАСТРОЙКА!DA165</f>
        <v>28.938413267011178</v>
      </c>
      <c r="DX88" s="1824">
        <f t="shared" si="41"/>
        <v>87.81679577600003</v>
      </c>
      <c r="DY88" s="48">
        <f t="shared" si="33"/>
        <v>31.88233239246062</v>
      </c>
      <c r="DZ88" s="53">
        <f t="shared" si="34"/>
        <v>20.256889286907825</v>
      </c>
      <c r="EA88" s="1824">
        <f t="shared" si="42"/>
        <v>0</v>
      </c>
      <c r="EB88" s="1235"/>
      <c r="EC88" s="1187"/>
      <c r="ES88" s="1200">
        <f t="shared" si="39"/>
        <v>29.73517478130544</v>
      </c>
      <c r="ET88" s="1738">
        <f t="shared" si="40"/>
        <v>9.266384718770354</v>
      </c>
    </row>
    <row r="89" ht="21" customHeight="1" spans="5:150" x14ac:dyDescent="0.25">
      <c r="E89" s="1795">
        <v>1997</v>
      </c>
      <c r="F89" s="1827">
        <v>2.415292468742241</v>
      </c>
      <c r="G89" s="1826">
        <v>1.3519800000000002</v>
      </c>
      <c r="H89" s="57">
        <f t="shared" ref="H89:H105" si="43">G89</f>
        <v>1.3519800000000002</v>
      </c>
      <c r="I89" s="925"/>
      <c r="AB89" s="559">
        <v>1997</v>
      </c>
      <c r="AC89" s="1827">
        <f t="shared" ref="AC89:AC108" si="44">F89</f>
        <v>2.415292468742241</v>
      </c>
      <c r="AD89" s="1742"/>
      <c r="AE89" s="1742" t="e">
        <f>НАСТРОЙКА!#REF!</f>
        <v>#REF!</v>
      </c>
      <c r="AU89" s="316">
        <f t="shared" ref="AU89:AU108" si="45">AC89</f>
        <v>2.415292468742241</v>
      </c>
      <c r="AW89" s="559">
        <v>1997</v>
      </c>
      <c r="AX89" s="1827">
        <v>2.5165818894824628</v>
      </c>
      <c r="AY89" s="1742"/>
      <c r="AZ89" s="1742">
        <v>1.3519800000000002</v>
      </c>
      <c r="BP89" s="316">
        <f t="shared" ref="BP89:BP108" si="46">AX89</f>
        <v>2.5165818894824628</v>
      </c>
      <c r="CZ89" s="1759">
        <v>2024</v>
      </c>
      <c r="DA89" s="1814"/>
      <c r="DB89" s="1816" t="e">
        <v>#REF!</v>
      </c>
      <c r="DC89" s="1814"/>
      <c r="DD89" s="1815">
        <v>0</v>
      </c>
      <c r="DE89" s="1814"/>
      <c r="DF89" s="1815" t="e">
        <v>#REF!</v>
      </c>
      <c r="DG89" s="1814"/>
      <c r="DH89" s="1815">
        <f t="shared" si="37"/>
        <v>0</v>
      </c>
      <c r="DI89" s="1817"/>
      <c r="DJ89" s="1815" t="e">
        <f t="shared" si="38"/>
        <v>#REF!</v>
      </c>
      <c r="DK89" s="1814"/>
      <c r="DL89" s="1816" t="e">
        <v>#REF!</v>
      </c>
      <c r="DM89" s="1811"/>
      <c r="DN89" s="1815">
        <v>0</v>
      </c>
      <c r="DO89" s="1811"/>
      <c r="DP89" s="1816">
        <v>3.4250255201235156</v>
      </c>
      <c r="DQ89" s="1814"/>
      <c r="DR89" s="1764"/>
      <c r="DS89" s="1814"/>
      <c r="DT89" s="1764"/>
      <c r="DV89" s="1245">
        <v>2025</v>
      </c>
      <c r="DW89" s="1743">
        <f>НАСТРОЙКА!DA166</f>
        <v>30.38533393036174</v>
      </c>
      <c r="DX89" s="1824">
        <f t="shared" si="41"/>
        <v>89.58343662080004</v>
      </c>
      <c r="DY89" s="48">
        <f t="shared" si="33"/>
        <v>33.34523906488366</v>
      </c>
      <c r="DZ89" s="53">
        <f t="shared" si="34"/>
        <v>21.269733751253217</v>
      </c>
      <c r="EA89" s="1824">
        <f t="shared" si="42"/>
        <v>0</v>
      </c>
      <c r="EB89" s="1235"/>
      <c r="EC89" s="1187"/>
      <c r="ES89" s="1200">
        <f t="shared" si="39"/>
        <v>31.11176996005552</v>
      </c>
      <c r="ET89" s="1738">
        <f t="shared" si="40"/>
        <v>9.738268954708873</v>
      </c>
    </row>
    <row r="90" ht="21" customHeight="1" spans="5:150" x14ac:dyDescent="0.25">
      <c r="E90" s="1795">
        <v>1998</v>
      </c>
      <c r="F90" s="1827">
        <v>2.6727462335842294</v>
      </c>
      <c r="G90" s="1826">
        <v>2.4930511200000005</v>
      </c>
      <c r="H90" s="57">
        <f t="shared" si="43"/>
        <v>2.4930511200000005</v>
      </c>
      <c r="I90" s="925"/>
      <c r="AB90" s="559">
        <v>1998</v>
      </c>
      <c r="AC90" s="1827">
        <f t="shared" si="44"/>
        <v>2.6727462335842294</v>
      </c>
      <c r="AD90" s="1742"/>
      <c r="AE90" s="1742" t="e">
        <f>НАСТРОЙКА!#REF!</f>
        <v>#REF!</v>
      </c>
      <c r="AU90" s="316">
        <f t="shared" si="45"/>
        <v>2.6727462335842294</v>
      </c>
      <c r="AW90" s="559">
        <v>1998</v>
      </c>
      <c r="AX90" s="1827">
        <v>2.6836249787031963</v>
      </c>
      <c r="AY90" s="1742"/>
      <c r="AZ90" s="1742">
        <v>2.4930511200000005</v>
      </c>
      <c r="BP90" s="316">
        <f t="shared" si="46"/>
        <v>2.6836249787031963</v>
      </c>
      <c r="CZ90" s="1759">
        <v>2025</v>
      </c>
      <c r="DA90" s="1814"/>
      <c r="DB90" s="1816" t="e">
        <v>#REF!</v>
      </c>
      <c r="DC90" s="1814"/>
      <c r="DD90" s="1815">
        <v>0</v>
      </c>
      <c r="DE90" s="1814"/>
      <c r="DF90" s="1815" t="e">
        <v>#REF!</v>
      </c>
      <c r="DG90" s="1814"/>
      <c r="DH90" s="1815">
        <f t="shared" si="37"/>
        <v>0</v>
      </c>
      <c r="DI90" s="1817"/>
      <c r="DJ90" s="1815" t="e">
        <f t="shared" si="38"/>
        <v>#REF!</v>
      </c>
      <c r="DK90" s="1814"/>
      <c r="DL90" s="1816" t="e">
        <v>#REF!</v>
      </c>
      <c r="DM90" s="1811"/>
      <c r="DN90" s="1815">
        <v>0</v>
      </c>
      <c r="DO90" s="1811"/>
      <c r="DP90" s="1816">
        <v>3.5781337236652386</v>
      </c>
      <c r="DQ90" s="1814"/>
      <c r="DR90" s="1764"/>
      <c r="DS90" s="1814"/>
      <c r="DT90" s="1764"/>
      <c r="DV90" s="1245">
        <v>2026</v>
      </c>
      <c r="DW90" s="1743">
        <f>НАСТРОЙКА!DA167</f>
        <v>31.904600626879827</v>
      </c>
      <c r="DX90" s="1824">
        <f t="shared" si="41"/>
        <v>0</v>
      </c>
      <c r="DY90" s="48">
        <f t="shared" si="33"/>
        <v>30.309370595535835</v>
      </c>
      <c r="DZ90" s="53">
        <f t="shared" si="34"/>
        <v>22.33322043881588</v>
      </c>
      <c r="EA90" s="1824">
        <f t="shared" si="42"/>
        <v>0</v>
      </c>
      <c r="EB90" s="1235"/>
      <c r="EC90" s="1187"/>
      <c r="ES90" s="1200">
        <f t="shared" si="39"/>
        <v>28.255017730399217</v>
      </c>
      <c r="ET90" s="1738">
        <f t="shared" si="40"/>
        <v>10.233747402444317</v>
      </c>
    </row>
    <row r="91" ht="21" customHeight="1" spans="5:150" x14ac:dyDescent="0.25">
      <c r="E91" s="1795">
        <v>1999</v>
      </c>
      <c r="F91" s="1827">
        <v>3.4893420575027583</v>
      </c>
      <c r="G91" s="1826">
        <v>3.4030147788000007</v>
      </c>
      <c r="H91" s="57">
        <f t="shared" si="43"/>
        <v>3.4030147788000007</v>
      </c>
      <c r="I91" s="925"/>
      <c r="AB91" s="559">
        <v>1999</v>
      </c>
      <c r="AC91" s="1827">
        <f t="shared" si="44"/>
        <v>3.4893420575027583</v>
      </c>
      <c r="AD91" s="1742"/>
      <c r="AE91" s="1742" t="e">
        <f>НАСТРОЙКА!#REF!</f>
        <v>#REF!</v>
      </c>
      <c r="AU91" s="316">
        <f t="shared" si="45"/>
        <v>3.4893420575027583</v>
      </c>
      <c r="AW91" s="559">
        <v>1999</v>
      </c>
      <c r="AX91" s="1827">
        <v>2.701164323022275</v>
      </c>
      <c r="AY91" s="1742"/>
      <c r="AZ91" s="1742">
        <v>3.4030147788000007</v>
      </c>
      <c r="BP91" s="316">
        <f t="shared" si="46"/>
        <v>2.701164323022275</v>
      </c>
      <c r="CZ91" s="1759">
        <v>2026</v>
      </c>
      <c r="DA91" s="1814"/>
      <c r="DB91" s="1816" t="e">
        <v>#REF!</v>
      </c>
      <c r="DC91" s="1814"/>
      <c r="DD91" s="1815">
        <v>0</v>
      </c>
      <c r="DE91" s="1814"/>
      <c r="DF91" s="1815" t="e">
        <v>#REF!</v>
      </c>
      <c r="DG91" s="1814"/>
      <c r="DH91" s="1815">
        <f t="shared" si="37"/>
        <v>0</v>
      </c>
      <c r="DI91" s="1817"/>
      <c r="DJ91" s="1815" t="e">
        <f t="shared" si="38"/>
        <v>#REF!</v>
      </c>
      <c r="DK91" s="1814"/>
      <c r="DL91" s="1816" t="e">
        <v>#REF!</v>
      </c>
      <c r="DM91" s="1811"/>
      <c r="DN91" s="1815">
        <v>0</v>
      </c>
      <c r="DO91" s="1811"/>
      <c r="DP91" s="1816">
        <v>3.7373233083186994</v>
      </c>
      <c r="DQ91" s="1814"/>
      <c r="DR91" s="1764"/>
      <c r="DS91" s="1814"/>
      <c r="DT91" s="1764"/>
      <c r="DV91" s="1245">
        <v>2027</v>
      </c>
      <c r="DW91" s="1743">
        <f>НАСТРОЙКА!DA168</f>
        <v>33.49983065822382</v>
      </c>
      <c r="DX91" s="1824" t="e">
        <f>#REF!</f>
        <v>#REF!</v>
      </c>
      <c r="DY91" s="48" t="e">
        <f t="shared" si="33"/>
        <v>#REF!</v>
      </c>
      <c r="DZ91" s="53">
        <f t="shared" si="34"/>
        <v>23.449881460756675</v>
      </c>
      <c r="EA91" s="1824">
        <f t="shared" si="42"/>
        <v>0</v>
      </c>
      <c r="EB91" s="1235"/>
      <c r="EC91" s="1187"/>
      <c r="ES91" s="1200" t="e">
        <f t="shared" si="39"/>
        <v>#REF!</v>
      </c>
      <c r="ET91" s="1738">
        <f t="shared" si="40"/>
        <v>10.753999772566534</v>
      </c>
    </row>
    <row r="92" ht="21" customHeight="1" spans="5:150" x14ac:dyDescent="0.25">
      <c r="E92" s="1795">
        <v>2000</v>
      </c>
      <c r="F92" s="1827">
        <v>3.9448052793534916</v>
      </c>
      <c r="G92" s="1826">
        <v>4.090423764117601</v>
      </c>
      <c r="H92" s="57">
        <f t="shared" si="43"/>
        <v>4.090423764117601</v>
      </c>
      <c r="I92" s="925"/>
      <c r="AB92" s="559">
        <v>2000</v>
      </c>
      <c r="AC92" s="1827">
        <f t="shared" si="44"/>
        <v>3.9448052793534916</v>
      </c>
      <c r="AD92" s="1742"/>
      <c r="AE92" s="1742" t="e">
        <f>НАСТРОЙКА!#REF!</f>
        <v>#REF!</v>
      </c>
      <c r="AU92" s="316">
        <f t="shared" si="45"/>
        <v>3.9448052793534916</v>
      </c>
      <c r="AW92" s="559">
        <v>2000</v>
      </c>
      <c r="AX92" s="1827">
        <v>3.2947518370474893</v>
      </c>
      <c r="AY92" s="1742"/>
      <c r="AZ92" s="1742">
        <v>4.090423764117601</v>
      </c>
      <c r="BP92" s="316">
        <f t="shared" si="46"/>
        <v>3.2947518370474893</v>
      </c>
      <c r="CZ92" s="1759">
        <v>2027</v>
      </c>
      <c r="DA92" s="1814"/>
      <c r="DB92" s="1816" t="e">
        <v>#REF!</v>
      </c>
      <c r="DC92" s="1814"/>
      <c r="DD92" s="1815">
        <v>0</v>
      </c>
      <c r="DE92" s="1814"/>
      <c r="DF92" s="1815" t="e">
        <v>#REF!</v>
      </c>
      <c r="DG92" s="1814"/>
      <c r="DH92" s="1815">
        <f t="shared" si="37"/>
        <v>0</v>
      </c>
      <c r="DI92" s="1817"/>
      <c r="DJ92" s="1815" t="e">
        <f t="shared" si="38"/>
        <v>#REF!</v>
      </c>
      <c r="DK92" s="1814"/>
      <c r="DL92" s="1816" t="e">
        <v>#REF!</v>
      </c>
      <c r="DM92" s="1811"/>
      <c r="DN92" s="1815">
        <v>0</v>
      </c>
      <c r="DO92" s="1811"/>
      <c r="DP92" s="1816">
        <v>3.90347853135344</v>
      </c>
      <c r="DQ92" s="1814"/>
      <c r="DR92" s="1764"/>
      <c r="DS92" s="1814"/>
      <c r="DT92" s="1764"/>
      <c r="DV92" s="1245">
        <v>2028</v>
      </c>
      <c r="DW92" s="1743">
        <f>НАСТРОЙКА!DA169</f>
        <v>35.174822191135014</v>
      </c>
      <c r="DX92" s="1824">
        <f>DD55</f>
        <v>0</v>
      </c>
      <c r="DY92" s="48">
        <f t="shared" si="33"/>
        <v>33.41608108157826</v>
      </c>
      <c r="DZ92" s="53">
        <f t="shared" si="34"/>
        <v>24.622375533794507</v>
      </c>
      <c r="EA92" s="1824">
        <f t="shared" si="42"/>
        <v>0</v>
      </c>
      <c r="EB92" s="1235"/>
      <c r="EC92" s="1187"/>
      <c r="ES92" s="1200">
        <f t="shared" si="39"/>
        <v>31.17843229776514</v>
      </c>
      <c r="ET92" s="1738">
        <f t="shared" si="40"/>
        <v>11.30026476119486</v>
      </c>
    </row>
    <row r="93" ht="21" customHeight="1" spans="5:150" x14ac:dyDescent="0.25">
      <c r="E93" s="1795">
        <v>2001</v>
      </c>
      <c r="F93" s="1827">
        <v>4.396024616222597</v>
      </c>
      <c r="G93" s="1826">
        <v>4.851242584243474</v>
      </c>
      <c r="H93" s="57">
        <f t="shared" si="43"/>
        <v>4.851242584243474</v>
      </c>
      <c r="I93" s="925"/>
      <c r="AB93" s="559">
        <v>2001</v>
      </c>
      <c r="AC93" s="1827">
        <f t="shared" si="44"/>
        <v>4.396024616222597</v>
      </c>
      <c r="AD93" s="1742"/>
      <c r="AE93" s="1742" t="e">
        <f>НАСТРОЙКА!#REF!</f>
        <v>#REF!</v>
      </c>
      <c r="AU93" s="316">
        <f t="shared" si="45"/>
        <v>4.396024616222597</v>
      </c>
      <c r="AW93" s="559">
        <v>2001</v>
      </c>
      <c r="AX93" s="1827">
        <v>3.7846782806927575</v>
      </c>
      <c r="AY93" s="1742"/>
      <c r="AZ93" s="1742">
        <v>4.851242584243474</v>
      </c>
      <c r="BP93" s="316">
        <f t="shared" si="46"/>
        <v>3.7846782806927575</v>
      </c>
      <c r="CZ93" s="1759">
        <v>2028</v>
      </c>
      <c r="DA93" s="1814"/>
      <c r="DB93" s="1816" t="e">
        <v>#REF!</v>
      </c>
      <c r="DC93" s="1814"/>
      <c r="DD93" s="1815">
        <v>0</v>
      </c>
      <c r="DE93" s="1814"/>
      <c r="DF93" s="1815" t="e">
        <v>#REF!</v>
      </c>
      <c r="DG93" s="1814"/>
      <c r="DH93" s="1815">
        <f t="shared" si="37"/>
        <v>0</v>
      </c>
      <c r="DI93" s="1817"/>
      <c r="DJ93" s="1815" t="e">
        <f t="shared" si="38"/>
        <v>#REF!</v>
      </c>
      <c r="DK93" s="1814"/>
      <c r="DL93" s="1816" t="e">
        <v>#REF!</v>
      </c>
      <c r="DM93" s="1811"/>
      <c r="DN93" s="1815">
        <v>0</v>
      </c>
      <c r="DO93" s="1811"/>
      <c r="DP93" s="1816">
        <v>4.077306260656329</v>
      </c>
      <c r="DQ93" s="1814"/>
      <c r="DR93" s="1764"/>
      <c r="DS93" s="1814"/>
      <c r="DT93" s="1764"/>
      <c r="DV93" s="1245">
        <v>2029</v>
      </c>
      <c r="DW93" s="1743">
        <f>НАСТРОЙКА!DA170</f>
        <v>36.933563300691766</v>
      </c>
      <c r="DX93" s="1824">
        <f>DD56</f>
        <v>0</v>
      </c>
      <c r="DY93" s="48">
        <f t="shared" si="33"/>
        <v>35.08688513565718</v>
      </c>
      <c r="DZ93" s="53">
        <f t="shared" si="34"/>
        <v>25.853494310484233</v>
      </c>
      <c r="EA93" s="1824">
        <f t="shared" si="42"/>
        <v>0</v>
      </c>
      <c r="EB93" s="1235"/>
      <c r="EC93" s="1187"/>
      <c r="ES93" s="1200">
        <f t="shared" si="39"/>
        <v>32.7506589126534</v>
      </c>
      <c r="ET93" s="1738">
        <f t="shared" si="40"/>
        <v>11.873842999254604</v>
      </c>
    </row>
    <row r="94" ht="21" customHeight="1" spans="5:150" x14ac:dyDescent="0.25">
      <c r="E94" s="1795">
        <v>2002</v>
      </c>
      <c r="F94" s="1827">
        <v>5.884382361829743</v>
      </c>
      <c r="G94" s="1826">
        <v>5.583780214464239</v>
      </c>
      <c r="H94" s="57">
        <f t="shared" si="43"/>
        <v>5.583780214464239</v>
      </c>
      <c r="I94" s="925"/>
      <c r="AB94" s="559">
        <v>2002</v>
      </c>
      <c r="AC94" s="1827">
        <f t="shared" si="44"/>
        <v>5.884382361829743</v>
      </c>
      <c r="AD94" s="1742"/>
      <c r="AE94" s="1742" t="e">
        <f>НАСТРОЙКА!#REF!</f>
        <v>#REF!</v>
      </c>
      <c r="AU94" s="316">
        <f t="shared" si="45"/>
        <v>5.884382361829743</v>
      </c>
      <c r="AW94" s="559">
        <v>2002</v>
      </c>
      <c r="AX94" s="1827">
        <v>4.522803189792793</v>
      </c>
      <c r="AY94" s="1742"/>
      <c r="AZ94" s="1742">
        <v>5.583780214464239</v>
      </c>
      <c r="BP94" s="316">
        <f t="shared" si="46"/>
        <v>4.522803189792793</v>
      </c>
      <c r="CZ94" s="1759">
        <v>2029</v>
      </c>
      <c r="DA94" s="1814"/>
      <c r="DB94" s="1816" t="e">
        <v>#REF!</v>
      </c>
      <c r="DC94" s="1814"/>
      <c r="DD94" s="1815">
        <v>0</v>
      </c>
      <c r="DE94" s="1814"/>
      <c r="DF94" s="1815" t="e">
        <v>#REF!</v>
      </c>
      <c r="DG94" s="1814"/>
      <c r="DH94" s="1815">
        <f t="shared" si="37"/>
        <v>0</v>
      </c>
      <c r="DI94" s="1817"/>
      <c r="DJ94" s="1815" t="e">
        <f t="shared" si="38"/>
        <v>#REF!</v>
      </c>
      <c r="DK94" s="1814"/>
      <c r="DL94" s="1816" t="e">
        <v>#REF!</v>
      </c>
      <c r="DM94" s="1811"/>
      <c r="DN94" s="1815">
        <v>0</v>
      </c>
      <c r="DO94" s="1811"/>
      <c r="DP94" s="1816">
        <v>4.2594110227937145</v>
      </c>
      <c r="DQ94" s="1814"/>
      <c r="DR94" s="1764"/>
      <c r="DS94" s="1814"/>
      <c r="DT94" s="1764"/>
      <c r="DV94" s="1291">
        <v>2030</v>
      </c>
      <c r="DW94" s="1302">
        <f>НАСТРОЙКА!DA176</f>
        <v>49.494507172004546</v>
      </c>
      <c r="DX94" s="1828">
        <f>DD57</f>
        <v>0</v>
      </c>
      <c r="DY94" s="1829">
        <f t="shared" si="33"/>
        <v>47.019781813404315</v>
      </c>
      <c r="DZ94" s="88">
        <f t="shared" si="34"/>
        <v>34.64615502040318</v>
      </c>
      <c r="EA94" s="1828">
        <f t="shared" si="42"/>
        <v>0</v>
      </c>
      <c r="EB94" s="1249"/>
      <c r="EC94" s="1830"/>
      <c r="ES94" s="1302">
        <f t="shared" si="39"/>
        <v>43.97951468641346</v>
      </c>
      <c r="ET94" s="1782">
        <f t="shared" si="40"/>
        <v>15.97034362400584</v>
      </c>
    </row>
    <row r="95" ht="20.5" customHeight="1" spans="5:124" x14ac:dyDescent="0.25">
      <c r="E95" s="1795">
        <v>2003</v>
      </c>
      <c r="F95" s="1827">
        <v>5.90091640449027</v>
      </c>
      <c r="G95" s="1826">
        <v>6.253833840199949</v>
      </c>
      <c r="H95" s="57">
        <f t="shared" si="43"/>
        <v>6.253833840199949</v>
      </c>
      <c r="I95" s="925"/>
      <c r="AB95" s="559">
        <v>2003</v>
      </c>
      <c r="AC95" s="1827">
        <f t="shared" si="44"/>
        <v>5.90091640449027</v>
      </c>
      <c r="AD95" s="1742"/>
      <c r="AE95" s="1742" t="e">
        <f>НАСТРОЙКА!#REF!</f>
        <v>#REF!</v>
      </c>
      <c r="AU95" s="316">
        <f t="shared" si="45"/>
        <v>5.90091640449027</v>
      </c>
      <c r="AW95" s="559">
        <v>2003</v>
      </c>
      <c r="AX95" s="1827">
        <v>5.542638112686384</v>
      </c>
      <c r="AY95" s="1742"/>
      <c r="AZ95" s="1742">
        <v>6.253833840199949</v>
      </c>
      <c r="BP95" s="316">
        <f t="shared" si="46"/>
        <v>5.542638112686384</v>
      </c>
      <c r="CZ95" s="1798">
        <v>2030</v>
      </c>
      <c r="DA95" s="1831"/>
      <c r="DB95" s="1832" t="e">
        <v>#REF!</v>
      </c>
      <c r="DC95" s="1820"/>
      <c r="DD95" s="1821">
        <v>0</v>
      </c>
      <c r="DE95" s="1820"/>
      <c r="DF95" s="1821" t="e">
        <v>#REF!</v>
      </c>
      <c r="DG95" s="1820"/>
      <c r="DH95" s="1815">
        <f t="shared" si="37"/>
        <v>0</v>
      </c>
      <c r="DI95" s="1831"/>
      <c r="DJ95" s="1815" t="e">
        <f t="shared" si="38"/>
        <v>#REF!</v>
      </c>
      <c r="DK95" s="1820"/>
      <c r="DL95" s="1832" t="e">
        <v>#REF!</v>
      </c>
      <c r="DM95" s="1833"/>
      <c r="DN95" s="1821">
        <v>0</v>
      </c>
      <c r="DO95" s="1833"/>
      <c r="DP95" s="1832">
        <v>4.450342035559935</v>
      </c>
      <c r="DQ95" s="1820"/>
      <c r="DR95" s="1834"/>
      <c r="DS95" s="1820"/>
      <c r="DT95" s="1834"/>
    </row>
    <row r="96" ht="20.5" customHeight="1" spans="5:68" x14ac:dyDescent="0.25">
      <c r="E96" s="1795">
        <v>2004</v>
      </c>
      <c r="F96" s="1827">
        <v>5.736138604273994</v>
      </c>
      <c r="G96" s="1826">
        <v>6.9855323995033425</v>
      </c>
      <c r="H96" s="57">
        <f t="shared" si="43"/>
        <v>6.9855323995033425</v>
      </c>
      <c r="I96" s="925"/>
      <c r="AB96" s="559">
        <v>2004</v>
      </c>
      <c r="AC96" s="1827">
        <f t="shared" si="44"/>
        <v>5.736138604273994</v>
      </c>
      <c r="AD96" s="1742"/>
      <c r="AE96" s="1742" t="e">
        <f>НАСТРОЙКА!#REF!</f>
        <v>#REF!</v>
      </c>
      <c r="AU96" s="316">
        <f t="shared" si="45"/>
        <v>5.736138604273994</v>
      </c>
      <c r="AW96" s="559">
        <v>2004</v>
      </c>
      <c r="AX96" s="1827">
        <v>6.272852216104846</v>
      </c>
      <c r="AY96" s="1742"/>
      <c r="AZ96" s="1742">
        <v>6.9855323995033425</v>
      </c>
      <c r="BP96" s="316">
        <f t="shared" si="46"/>
        <v>6.272852216104846</v>
      </c>
    </row>
    <row r="97" ht="20.5" customHeight="1" spans="5:68" x14ac:dyDescent="0.25">
      <c r="E97" s="1795">
        <v>2005</v>
      </c>
      <c r="F97" s="1827">
        <v>7.718849506887088</v>
      </c>
      <c r="G97" s="1826">
        <v>7.746955431049207</v>
      </c>
      <c r="H97" s="57">
        <f t="shared" si="43"/>
        <v>7.746955431049207</v>
      </c>
      <c r="I97" s="925"/>
      <c r="AB97" s="559">
        <v>2005</v>
      </c>
      <c r="AC97" s="1827">
        <f t="shared" si="44"/>
        <v>7.718849506887088</v>
      </c>
      <c r="AD97" s="1742"/>
      <c r="AE97" s="1742" t="e">
        <f>НАСТРОЙКА!#REF!</f>
        <v>#REF!</v>
      </c>
      <c r="AU97" s="316">
        <f t="shared" si="45"/>
        <v>7.718849506887088</v>
      </c>
      <c r="AW97" s="559">
        <v>2005</v>
      </c>
      <c r="AX97" s="1827">
        <v>7.324439758120246</v>
      </c>
      <c r="AY97" s="1742"/>
      <c r="AZ97" s="1742">
        <v>7.746955431049207</v>
      </c>
      <c r="BP97" s="316">
        <f t="shared" si="46"/>
        <v>7.324439758120246</v>
      </c>
    </row>
    <row r="98" ht="20.5" customHeight="1" spans="5:68" x14ac:dyDescent="0.25">
      <c r="E98" s="1795">
        <v>2006</v>
      </c>
      <c r="F98" s="1827">
        <v>7.333907061981483</v>
      </c>
      <c r="G98" s="1826">
        <v>8.444181419843636</v>
      </c>
      <c r="H98" s="57">
        <f t="shared" si="43"/>
        <v>8.444181419843636</v>
      </c>
      <c r="I98" s="925"/>
      <c r="AB98" s="559">
        <v>2006</v>
      </c>
      <c r="AC98" s="1827">
        <f t="shared" si="44"/>
        <v>7.333907061981483</v>
      </c>
      <c r="AD98" s="1742"/>
      <c r="AE98" s="1742" t="e">
        <f>НАСТРОЙКА!#REF!</f>
        <v>#REF!</v>
      </c>
      <c r="AU98" s="316">
        <f t="shared" si="45"/>
        <v>7.333907061981483</v>
      </c>
      <c r="AW98" s="559">
        <v>2006</v>
      </c>
      <c r="AX98" s="1827">
        <v>8.186196716537998</v>
      </c>
      <c r="AY98" s="1742"/>
      <c r="AZ98" s="1742">
        <v>8.444181419843636</v>
      </c>
      <c r="BP98" s="316">
        <f t="shared" si="46"/>
        <v>8.186196716537998</v>
      </c>
    </row>
    <row r="99" ht="20.5" customHeight="1" spans="5:68" x14ac:dyDescent="0.25">
      <c r="E99" s="1795">
        <v>2007</v>
      </c>
      <c r="F99" s="1827">
        <v>7.941801279807624</v>
      </c>
      <c r="G99" s="1826">
        <v>9.446505754379075</v>
      </c>
      <c r="H99" s="57">
        <f t="shared" si="43"/>
        <v>9.446505754379075</v>
      </c>
      <c r="I99" s="925"/>
      <c r="AB99" s="559">
        <v>2007</v>
      </c>
      <c r="AC99" s="1827">
        <f t="shared" si="44"/>
        <v>7.941801279807624</v>
      </c>
      <c r="AD99" s="1742"/>
      <c r="AE99" s="1742" t="e">
        <f>НАСТРОЙКА!#REF!</f>
        <v>#REF!</v>
      </c>
      <c r="AU99" s="316">
        <f t="shared" si="45"/>
        <v>7.941801279807624</v>
      </c>
      <c r="AW99" s="559">
        <v>2007</v>
      </c>
      <c r="AX99" s="1827">
        <v>10.097240670067599</v>
      </c>
      <c r="AY99" s="1742"/>
      <c r="AZ99" s="1742">
        <v>9.446505754379075</v>
      </c>
      <c r="BP99" s="316">
        <f t="shared" si="46"/>
        <v>10.097240670067599</v>
      </c>
    </row>
    <row r="100" ht="20.5" customHeight="1" spans="5:68" x14ac:dyDescent="0.25">
      <c r="E100" s="1795">
        <v>2008</v>
      </c>
      <c r="F100" s="1827">
        <v>9.313557709187231</v>
      </c>
      <c r="G100" s="1826">
        <v>10.701001718560617</v>
      </c>
      <c r="H100" s="57">
        <f t="shared" si="43"/>
        <v>10.701001718560617</v>
      </c>
      <c r="I100" s="925"/>
      <c r="AB100" s="559">
        <v>2008</v>
      </c>
      <c r="AC100" s="1827">
        <f t="shared" si="44"/>
        <v>9.313557709187231</v>
      </c>
      <c r="AD100" s="1742"/>
      <c r="AE100" s="1742" t="e">
        <f>НАСТРОЙКА!#REF!</f>
        <v>#REF!</v>
      </c>
      <c r="AU100" s="316">
        <f t="shared" si="45"/>
        <v>9.313557709187231</v>
      </c>
      <c r="AW100" s="559">
        <v>2008</v>
      </c>
      <c r="AX100" s="1827">
        <v>12.014838376677151</v>
      </c>
      <c r="AY100" s="1742"/>
      <c r="AZ100" s="1742">
        <v>10.701001718560617</v>
      </c>
      <c r="BP100" s="316">
        <f t="shared" si="46"/>
        <v>12.014838376677151</v>
      </c>
    </row>
    <row r="101" ht="20.5" customHeight="1" spans="5:68" x14ac:dyDescent="0.25">
      <c r="E101" s="1795">
        <v>2009</v>
      </c>
      <c r="F101" s="1827">
        <v>10.66694831320229</v>
      </c>
      <c r="G101" s="1826">
        <v>11.642689869793951</v>
      </c>
      <c r="H101" s="57">
        <f t="shared" si="43"/>
        <v>11.642689869793951</v>
      </c>
      <c r="I101" s="925"/>
      <c r="AB101" s="559">
        <v>2009</v>
      </c>
      <c r="AC101" s="1827">
        <f t="shared" si="44"/>
        <v>10.66694831320229</v>
      </c>
      <c r="AD101" s="1742"/>
      <c r="AE101" s="1742" t="e">
        <f>НАСТРОЙКА!#REF!</f>
        <v>#REF!</v>
      </c>
      <c r="AU101" s="316">
        <f t="shared" si="45"/>
        <v>10.66694831320229</v>
      </c>
      <c r="AW101" s="559">
        <v>2009</v>
      </c>
      <c r="AX101" s="1827">
        <v>12.870829474853368</v>
      </c>
      <c r="AY101" s="1742"/>
      <c r="AZ101" s="1742">
        <v>11.642689869793951</v>
      </c>
      <c r="BP101" s="316">
        <f t="shared" si="46"/>
        <v>12.870829474853368</v>
      </c>
    </row>
    <row r="102" ht="20.5" customHeight="1" spans="5:68" x14ac:dyDescent="0.25">
      <c r="E102" s="1795">
        <v>2010</v>
      </c>
      <c r="F102" s="1827">
        <v>11.27644871677545</v>
      </c>
      <c r="G102" s="1826">
        <v>12.664918040361862</v>
      </c>
      <c r="H102" s="57">
        <f t="shared" si="43"/>
        <v>12.664918040361862</v>
      </c>
      <c r="I102" s="925"/>
      <c r="AB102" s="559">
        <v>2010</v>
      </c>
      <c r="AC102" s="1827">
        <f t="shared" si="44"/>
        <v>11.27644871677545</v>
      </c>
      <c r="AD102" s="1742"/>
      <c r="AE102" s="1742" t="e">
        <f>НАСТРОЙКА!#REF!</f>
        <v>#REF!</v>
      </c>
      <c r="AU102" s="316">
        <f t="shared" si="45"/>
        <v>11.27644871677545</v>
      </c>
      <c r="AW102" s="559">
        <v>2010</v>
      </c>
      <c r="AX102" s="1827">
        <v>14.148307151553455</v>
      </c>
      <c r="AY102" s="1742"/>
      <c r="AZ102" s="1742">
        <v>12.664918040361862</v>
      </c>
      <c r="BP102" s="316">
        <f t="shared" si="46"/>
        <v>14.148307151553455</v>
      </c>
    </row>
    <row r="103" ht="20.5" customHeight="1" spans="5:68" x14ac:dyDescent="0.25">
      <c r="E103" s="1795">
        <v>2011</v>
      </c>
      <c r="F103" s="1827">
        <v>12.282914423380722</v>
      </c>
      <c r="G103" s="1826">
        <v>13.437478040823935</v>
      </c>
      <c r="H103" s="57">
        <f t="shared" si="43"/>
        <v>13.437478040823935</v>
      </c>
      <c r="I103" s="925"/>
      <c r="AB103" s="559">
        <v>2011</v>
      </c>
      <c r="AC103" s="1827">
        <f t="shared" si="44"/>
        <v>12.282914423380722</v>
      </c>
      <c r="AD103" s="1742"/>
      <c r="AE103" s="1742" t="e">
        <f>НАСТРОЙКА!#REF!</f>
        <v>#REF!</v>
      </c>
      <c r="AU103" s="316">
        <f t="shared" si="45"/>
        <v>12.282914423380722</v>
      </c>
      <c r="AW103" s="559">
        <v>2011</v>
      </c>
      <c r="AX103" s="1827">
        <v>15.766970202222982</v>
      </c>
      <c r="AY103" s="1742"/>
      <c r="AZ103" s="1742">
        <v>13.437478040823935</v>
      </c>
      <c r="BP103" s="316">
        <f t="shared" si="46"/>
        <v>15.766970202222982</v>
      </c>
    </row>
    <row r="104" ht="21" customHeight="1" spans="5:83" x14ac:dyDescent="0.25">
      <c r="E104" s="1795">
        <v>2012</v>
      </c>
      <c r="F104" s="1827">
        <v>13.249096044334456</v>
      </c>
      <c r="G104" s="1826">
        <v>14.321664095910151</v>
      </c>
      <c r="H104" s="57">
        <f t="shared" si="43"/>
        <v>14.321664095910151</v>
      </c>
      <c r="I104" s="925"/>
      <c r="AB104" s="559">
        <v>2012</v>
      </c>
      <c r="AC104" s="1827">
        <f t="shared" si="44"/>
        <v>13.249096044334456</v>
      </c>
      <c r="AD104" s="1742"/>
      <c r="AE104" s="1742" t="e">
        <f>НАСТРОЙКА!#REF!</f>
        <v>#REF!</v>
      </c>
      <c r="AU104" s="316">
        <f t="shared" si="45"/>
        <v>13.249096044334456</v>
      </c>
      <c r="AW104" s="559">
        <v>2012</v>
      </c>
      <c r="AX104" s="1827">
        <v>16.974068796381736</v>
      </c>
      <c r="AY104" s="1742"/>
      <c r="AZ104" s="1742">
        <v>14.324351591518315</v>
      </c>
      <c r="BP104" s="316">
        <f t="shared" si="46"/>
        <v>16.974068796381736</v>
      </c>
      <c r="CE104" s="779"/>
    </row>
    <row r="105" ht="20.5" customHeight="1" spans="5:68" x14ac:dyDescent="0.25">
      <c r="E105" s="1795">
        <v>2013</v>
      </c>
      <c r="F105" s="1827">
        <v>14.15863931501705</v>
      </c>
      <c r="G105" s="1826">
        <v>15.245411430096356</v>
      </c>
      <c r="H105" s="57">
        <f t="shared" si="43"/>
        <v>15.245411430096356</v>
      </c>
      <c r="I105" s="925"/>
      <c r="AB105" s="559">
        <v>2013</v>
      </c>
      <c r="AC105" s="1827">
        <f t="shared" si="44"/>
        <v>14.15863931501705</v>
      </c>
      <c r="AD105" s="1742"/>
      <c r="AE105" s="1742" t="e">
        <f>НАСТРОЙКА!#REF!</f>
        <v>#REF!</v>
      </c>
      <c r="AU105" s="316">
        <f t="shared" si="45"/>
        <v>14.15863931501705</v>
      </c>
      <c r="AW105" s="559">
        <v>2013</v>
      </c>
      <c r="AX105" s="1827">
        <v>17.95315842273053</v>
      </c>
      <c r="AY105" s="1742"/>
      <c r="AZ105" s="1742">
        <v>15.255434444967005</v>
      </c>
      <c r="BP105" s="316">
        <f t="shared" si="46"/>
        <v>17.95315842273053</v>
      </c>
    </row>
    <row r="106" ht="20.5" customHeight="1" spans="5:68" x14ac:dyDescent="0.25">
      <c r="E106" s="1795">
        <v>2014</v>
      </c>
      <c r="F106" s="1827">
        <v>14.240158664898729</v>
      </c>
      <c r="G106" s="1826">
        <v>17.31878738458946</v>
      </c>
      <c r="H106" s="20"/>
      <c r="I106" s="925"/>
      <c r="AB106" s="559">
        <v>2014</v>
      </c>
      <c r="AC106" s="1827">
        <f t="shared" si="44"/>
        <v>14.240158664898729</v>
      </c>
      <c r="AD106" s="1742"/>
      <c r="AE106" s="1742" t="e">
        <f>НАСТРОЙКА!#REF!</f>
        <v>#REF!</v>
      </c>
      <c r="AU106" s="316">
        <f t="shared" si="45"/>
        <v>14.240158664898729</v>
      </c>
      <c r="AW106" s="559">
        <v>2014</v>
      </c>
      <c r="AX106" s="1827">
        <v>19.115802786548628</v>
      </c>
      <c r="AY106" s="1742"/>
      <c r="AZ106" s="1742">
        <v>16.994553971693247</v>
      </c>
      <c r="BP106" s="316">
        <f t="shared" si="46"/>
        <v>19.115802786548628</v>
      </c>
    </row>
    <row r="107" ht="20.5" customHeight="1" spans="5:68" x14ac:dyDescent="0.25">
      <c r="E107" s="1795">
        <v>2015</v>
      </c>
      <c r="F107" s="1827">
        <v>14.837823597492827</v>
      </c>
      <c r="G107" s="1826">
        <v>19.5529109572015</v>
      </c>
      <c r="H107" s="20"/>
      <c r="I107" s="925"/>
      <c r="AB107" s="559">
        <v>2015</v>
      </c>
      <c r="AC107" s="1827">
        <f t="shared" si="44"/>
        <v>14.837823597492827</v>
      </c>
      <c r="AD107" s="1742">
        <f>AC107</f>
        <v>14.837823597492827</v>
      </c>
      <c r="AE107" s="1742" t="e">
        <f>НАСТРОЙКА!#REF!</f>
        <v>#REF!</v>
      </c>
      <c r="AU107" s="316">
        <f t="shared" si="45"/>
        <v>14.837823597492827</v>
      </c>
      <c r="AW107" s="559">
        <v>2015</v>
      </c>
      <c r="AX107" s="1827">
        <v>20.193444864834213</v>
      </c>
      <c r="AY107" s="1742">
        <f>AX107</f>
        <v>20.193444864834213</v>
      </c>
      <c r="AZ107" s="1742">
        <v>19.186851434041674</v>
      </c>
      <c r="BP107" s="316">
        <f t="shared" si="46"/>
        <v>20.193444864834213</v>
      </c>
    </row>
    <row r="108" ht="20.5" customHeight="1" spans="5:68" x14ac:dyDescent="0.25">
      <c r="E108" s="1795">
        <v>2016</v>
      </c>
      <c r="F108" s="1827">
        <v>15.707409284457475</v>
      </c>
      <c r="G108" s="1826">
        <v>20.608768148890384</v>
      </c>
      <c r="H108" s="20"/>
      <c r="I108" s="925"/>
      <c r="AB108" s="559">
        <v>2016</v>
      </c>
      <c r="AC108" s="1827">
        <f t="shared" si="44"/>
        <v>15.707409284457475</v>
      </c>
      <c r="AD108" s="1742">
        <f>AC108</f>
        <v>15.707409284457475</v>
      </c>
      <c r="AE108" s="1742" t="e">
        <f>НАСТРОЙКА!#REF!</f>
        <v>#REF!</v>
      </c>
      <c r="AU108" s="316">
        <f t="shared" si="45"/>
        <v>15.707409284457475</v>
      </c>
      <c r="AW108" s="559">
        <v>2016</v>
      </c>
      <c r="AX108" s="1827">
        <v>22.17789046888298</v>
      </c>
      <c r="AY108" s="1742">
        <f>AX108</f>
        <v>22.17789046888298</v>
      </c>
      <c r="AZ108" s="1742">
        <v>20.222941411479926</v>
      </c>
      <c r="BP108" s="316">
        <f t="shared" si="46"/>
        <v>22.17789046888298</v>
      </c>
    </row>
    <row r="109" ht="18" customHeight="1" spans="5:68" x14ac:dyDescent="0.25">
      <c r="E109" s="1795">
        <v>2017</v>
      </c>
      <c r="F109" s="1813"/>
      <c r="G109" s="1814"/>
      <c r="H109" s="1835"/>
      <c r="I109" s="1765"/>
      <c r="AB109" s="559">
        <v>2017</v>
      </c>
      <c r="AC109" s="1763"/>
      <c r="AD109" s="1764">
        <f>AD108+0.95*(AD108-AD107)</f>
        <v>16.53351568707389</v>
      </c>
      <c r="AE109" s="1742" t="e">
        <f>НАСТРОЙКА!#REF!</f>
        <v>#REF!</v>
      </c>
      <c r="AU109" s="316">
        <f>AD109</f>
        <v>16.53351568707389</v>
      </c>
      <c r="AW109" s="559">
        <v>2017</v>
      </c>
      <c r="AX109" s="1763"/>
      <c r="AY109" s="1764">
        <f>AY108+0.95*(AY108-AY107)</f>
        <v>24.063113792729304</v>
      </c>
      <c r="AZ109" s="1742">
        <v>20.72851494676692</v>
      </c>
      <c r="BP109" s="316">
        <f>AY109</f>
        <v>24.063113792729304</v>
      </c>
    </row>
    <row r="110" ht="18" customHeight="1" spans="5:68" x14ac:dyDescent="0.25">
      <c r="E110" s="1795">
        <v>2018</v>
      </c>
      <c r="F110" s="1813"/>
      <c r="G110" s="1814"/>
      <c r="H110" s="1835"/>
      <c r="I110" s="1765"/>
      <c r="AB110" s="559">
        <v>2018</v>
      </c>
      <c r="AC110" s="1763"/>
      <c r="AD110" s="1764">
        <f t="shared" ref="AD110:AD122" si="47">AD109+0.95*(AD109-AD108)</f>
        <v>17.318316769559488</v>
      </c>
      <c r="AE110" s="1742" t="e">
        <f>НАСТРОЙКА!#REF!</f>
        <v>#REF!</v>
      </c>
      <c r="AU110" s="316">
        <f t="shared" ref="AU110:AU122" si="48">AD110</f>
        <v>17.318316769559488</v>
      </c>
      <c r="AW110" s="559">
        <v>2018</v>
      </c>
      <c r="AX110" s="1763"/>
      <c r="AY110" s="1764">
        <f t="shared" ref="AY110:AY122" si="49">AY109+0.95*(AY109-AY108)</f>
        <v>25.85407595038331</v>
      </c>
      <c r="AZ110" s="1742">
        <v>21.184542275595796</v>
      </c>
      <c r="BP110" s="316">
        <f t="shared" ref="BP110:BP122" si="50">AY110</f>
        <v>25.85407595038331</v>
      </c>
    </row>
    <row r="111" ht="18" customHeight="1" spans="5:68" x14ac:dyDescent="0.25">
      <c r="E111" s="1795">
        <v>2019</v>
      </c>
      <c r="F111" s="1813"/>
      <c r="G111" s="1814"/>
      <c r="H111" s="1835"/>
      <c r="I111" s="1765"/>
      <c r="AB111" s="559">
        <v>2019</v>
      </c>
      <c r="AC111" s="1763"/>
      <c r="AD111" s="1764">
        <f t="shared" si="47"/>
        <v>18.063877797920803</v>
      </c>
      <c r="AE111" s="1742" t="e">
        <f>НАСТРОЙКА!#REF!</f>
        <v>#REF!</v>
      </c>
      <c r="AU111" s="316">
        <f t="shared" si="48"/>
        <v>18.063877797920803</v>
      </c>
      <c r="AW111" s="559">
        <v>2019</v>
      </c>
      <c r="AX111" s="1763"/>
      <c r="AY111" s="1764">
        <f t="shared" si="49"/>
        <v>27.55549000015462</v>
      </c>
      <c r="AZ111" s="1742">
        <v>21.608233121107713</v>
      </c>
      <c r="BP111" s="316">
        <f t="shared" si="50"/>
        <v>27.55549000015462</v>
      </c>
    </row>
    <row r="112" ht="18" customHeight="1" spans="5:68" x14ac:dyDescent="0.25">
      <c r="E112" s="1795">
        <v>2020</v>
      </c>
      <c r="F112" s="1813"/>
      <c r="G112" s="1814"/>
      <c r="H112" s="1835"/>
      <c r="I112" s="1765"/>
      <c r="AB112" s="559">
        <v>2020</v>
      </c>
      <c r="AC112" s="1763"/>
      <c r="AD112" s="1764">
        <f t="shared" si="47"/>
        <v>18.77216077486405</v>
      </c>
      <c r="AE112" s="1742" t="e">
        <f>НАСТРОЙКА!#REF!</f>
        <v>#REF!</v>
      </c>
      <c r="AU112" s="316">
        <f t="shared" si="48"/>
        <v>18.77216077486405</v>
      </c>
      <c r="AW112" s="559">
        <v>2020</v>
      </c>
      <c r="AX112" s="1763"/>
      <c r="AY112" s="1764">
        <f t="shared" si="49"/>
        <v>29.171833347437364</v>
      </c>
      <c r="AZ112" s="1742">
        <v>22.040397783529865</v>
      </c>
      <c r="BP112" s="316">
        <f t="shared" si="50"/>
        <v>29.171833347437364</v>
      </c>
    </row>
    <row r="113" ht="18" customHeight="1" spans="5:68" x14ac:dyDescent="0.25">
      <c r="E113" s="1795">
        <v>2021</v>
      </c>
      <c r="F113" s="1813"/>
      <c r="G113" s="1814"/>
      <c r="H113" s="1835"/>
      <c r="I113" s="1765"/>
      <c r="AB113" s="559">
        <v>2021</v>
      </c>
      <c r="AC113" s="1763"/>
      <c r="AD113" s="1764">
        <f t="shared" si="47"/>
        <v>19.445029602960137</v>
      </c>
      <c r="AE113" s="1742" t="e">
        <f>НАСТРОЙКА!#REF!</f>
        <v>#REF!</v>
      </c>
      <c r="AU113" s="316">
        <f t="shared" si="48"/>
        <v>19.445029602960137</v>
      </c>
      <c r="AW113" s="559">
        <v>2021</v>
      </c>
      <c r="AX113" s="1763"/>
      <c r="AY113" s="1764">
        <f t="shared" si="49"/>
        <v>30.70735952735597</v>
      </c>
      <c r="AZ113" s="1742">
        <v>22.481205739200462</v>
      </c>
      <c r="BP113" s="316">
        <f t="shared" si="50"/>
        <v>30.70735952735597</v>
      </c>
    </row>
    <row r="114" ht="18" customHeight="1" spans="5:68" x14ac:dyDescent="0.25">
      <c r="E114" s="1795">
        <v>2022</v>
      </c>
      <c r="F114" s="1813"/>
      <c r="G114" s="1814"/>
      <c r="H114" s="1835"/>
      <c r="I114" s="1765"/>
      <c r="AB114" s="559">
        <v>2022</v>
      </c>
      <c r="AC114" s="1763"/>
      <c r="AD114" s="1764">
        <f t="shared" si="47"/>
        <v>20.084254989651416</v>
      </c>
      <c r="AE114" s="1742" t="e">
        <f>НАСТРОЙКА!#REF!</f>
        <v>#REF!</v>
      </c>
      <c r="AU114" s="316">
        <f t="shared" si="48"/>
        <v>20.084254989651416</v>
      </c>
      <c r="AW114" s="559">
        <v>2022</v>
      </c>
      <c r="AX114" s="1763"/>
      <c r="AY114" s="1764">
        <f t="shared" si="49"/>
        <v>32.16610939827864</v>
      </c>
      <c r="AZ114" s="1742">
        <v>22.93082985398447</v>
      </c>
      <c r="BP114" s="316">
        <f t="shared" si="50"/>
        <v>32.16610939827864</v>
      </c>
    </row>
    <row r="115" ht="18" customHeight="1" spans="5:68" x14ac:dyDescent="0.25">
      <c r="E115" s="1795">
        <v>2023</v>
      </c>
      <c r="F115" s="1813"/>
      <c r="G115" s="1814"/>
      <c r="H115" s="1836"/>
      <c r="I115" s="1815"/>
      <c r="AB115" s="559">
        <v>2023</v>
      </c>
      <c r="AC115" s="1763"/>
      <c r="AD115" s="1764">
        <f t="shared" si="47"/>
        <v>20.691519107008133</v>
      </c>
      <c r="AE115" s="1742" t="e">
        <f>НАСТРОЙКА!#REF!</f>
        <v>#REF!</v>
      </c>
      <c r="AU115" s="316">
        <f t="shared" si="48"/>
        <v>20.691519107008133</v>
      </c>
      <c r="AW115" s="559">
        <v>2023</v>
      </c>
      <c r="AX115" s="1763"/>
      <c r="AY115" s="1764">
        <f t="shared" si="49"/>
        <v>33.55192177565518</v>
      </c>
      <c r="AZ115" s="1742">
        <v>23.38944645106416</v>
      </c>
      <c r="BP115" s="316">
        <f t="shared" si="50"/>
        <v>33.55192177565518</v>
      </c>
    </row>
    <row r="116" ht="18" customHeight="1" spans="5:68" x14ac:dyDescent="0.25">
      <c r="E116" s="1795">
        <v>2024</v>
      </c>
      <c r="F116" s="1813"/>
      <c r="G116" s="1814"/>
      <c r="H116" s="1836"/>
      <c r="I116" s="1815"/>
      <c r="AB116" s="559">
        <v>2024</v>
      </c>
      <c r="AC116" s="1763"/>
      <c r="AD116" s="1764">
        <f t="shared" si="47"/>
        <v>21.268420018497014</v>
      </c>
      <c r="AE116" s="1742" t="e">
        <f>НАСТРОЙКА!#REF!</f>
        <v>#REF!</v>
      </c>
      <c r="AU116" s="316">
        <f t="shared" si="48"/>
        <v>21.268420018497014</v>
      </c>
      <c r="AW116" s="559">
        <v>2024</v>
      </c>
      <c r="AX116" s="1763"/>
      <c r="AY116" s="1764">
        <f t="shared" si="49"/>
        <v>34.86844353416289</v>
      </c>
      <c r="AZ116" s="1742">
        <v>23.857235380085445</v>
      </c>
      <c r="BP116" s="316">
        <f t="shared" si="50"/>
        <v>34.86844353416289</v>
      </c>
    </row>
    <row r="117" ht="18" customHeight="1" spans="5:68" x14ac:dyDescent="0.25">
      <c r="E117" s="1795">
        <v>2025</v>
      </c>
      <c r="F117" s="1813"/>
      <c r="G117" s="1814"/>
      <c r="H117" s="1836"/>
      <c r="I117" s="1815"/>
      <c r="AB117" s="559">
        <v>2025</v>
      </c>
      <c r="AC117" s="1763"/>
      <c r="AD117" s="1764">
        <f t="shared" si="47"/>
        <v>21.816475884411453</v>
      </c>
      <c r="AE117" s="1742" t="e">
        <f>НАСТРОЙКА!#REF!</f>
        <v>#REF!</v>
      </c>
      <c r="AU117" s="316">
        <f t="shared" si="48"/>
        <v>21.816475884411453</v>
      </c>
      <c r="AW117" s="559">
        <v>2025</v>
      </c>
      <c r="AX117" s="1763"/>
      <c r="AY117" s="1764">
        <f t="shared" si="49"/>
        <v>36.11913920474522</v>
      </c>
      <c r="AZ117" s="1742">
        <v>24.334380087687155</v>
      </c>
      <c r="BP117" s="316">
        <f t="shared" si="50"/>
        <v>36.11913920474522</v>
      </c>
    </row>
    <row r="118" ht="20.5" customHeight="1" spans="5:80" x14ac:dyDescent="0.25">
      <c r="E118" s="1795">
        <v>2026</v>
      </c>
      <c r="F118" s="1813"/>
      <c r="G118" s="1814"/>
      <c r="H118" s="1836"/>
      <c r="I118" s="1815"/>
      <c r="AB118" s="559">
        <v>2026</v>
      </c>
      <c r="AC118" s="1763"/>
      <c r="AD118" s="1764">
        <f t="shared" si="47"/>
        <v>22.33712895703017</v>
      </c>
      <c r="AE118" s="1742" t="e">
        <f>НАСТРОЙКА!#REF!</f>
        <v>#REF!</v>
      </c>
      <c r="AU118" s="316">
        <f t="shared" si="48"/>
        <v>22.33712895703017</v>
      </c>
      <c r="AW118" s="559">
        <v>2026</v>
      </c>
      <c r="AX118" s="1763"/>
      <c r="AY118" s="1764">
        <f t="shared" si="49"/>
        <v>37.307300091798425</v>
      </c>
      <c r="AZ118" s="1742">
        <v>24.8210676894409</v>
      </c>
      <c r="BP118" s="316">
        <f t="shared" si="50"/>
        <v>37.307300091798425</v>
      </c>
      <c r="CB118" s="59"/>
    </row>
    <row r="119" ht="20.5" customHeight="1" spans="5:80" x14ac:dyDescent="0.25">
      <c r="E119" s="1795">
        <v>2027</v>
      </c>
      <c r="F119" s="1813"/>
      <c r="G119" s="1814"/>
      <c r="H119" s="1836"/>
      <c r="I119" s="1815"/>
      <c r="AB119" s="559">
        <v>2027</v>
      </c>
      <c r="AC119" s="1763"/>
      <c r="AD119" s="1764">
        <f t="shared" si="47"/>
        <v>22.831749376017953</v>
      </c>
      <c r="AE119" s="1742" t="e">
        <f>НАСТРОЙКА!#REF!</f>
        <v>#REF!</v>
      </c>
      <c r="AU119" s="316">
        <f t="shared" si="48"/>
        <v>22.831749376017953</v>
      </c>
      <c r="AW119" s="559">
        <v>2027</v>
      </c>
      <c r="AX119" s="1763"/>
      <c r="AY119" s="1764">
        <f t="shared" si="49"/>
        <v>38.436052934498974</v>
      </c>
      <c r="AZ119" s="1742">
        <v>25.317489043229717</v>
      </c>
      <c r="BP119" s="316">
        <f t="shared" si="50"/>
        <v>38.436052934498974</v>
      </c>
      <c r="CB119" s="59"/>
    </row>
    <row r="120" ht="20.5" customHeight="1" spans="5:80" x14ac:dyDescent="0.25">
      <c r="E120" s="1795">
        <v>2028</v>
      </c>
      <c r="F120" s="1813"/>
      <c r="G120" s="1814"/>
      <c r="H120" s="1836"/>
      <c r="I120" s="1815"/>
      <c r="AB120" s="559">
        <v>2028</v>
      </c>
      <c r="AC120" s="1763"/>
      <c r="AD120" s="1764">
        <f t="shared" si="47"/>
        <v>23.301638774056347</v>
      </c>
      <c r="AE120" s="1742" t="e">
        <f>НАСТРОЙКА!#REF!</f>
        <v>#REF!</v>
      </c>
      <c r="AU120" s="316">
        <f t="shared" si="48"/>
        <v>23.301638774056347</v>
      </c>
      <c r="AW120" s="559">
        <v>2028</v>
      </c>
      <c r="AX120" s="1763"/>
      <c r="AY120" s="1764">
        <f t="shared" si="49"/>
        <v>39.508368135064494</v>
      </c>
      <c r="AZ120" s="1742">
        <v>25.823838824094313</v>
      </c>
      <c r="BP120" s="316">
        <f t="shared" si="50"/>
        <v>39.508368135064494</v>
      </c>
      <c r="CB120" s="59"/>
    </row>
    <row r="121" ht="20.5" customHeight="1" spans="5:80" x14ac:dyDescent="0.25">
      <c r="E121" s="1795">
        <v>2029</v>
      </c>
      <c r="F121" s="1813"/>
      <c r="G121" s="1814"/>
      <c r="H121" s="1836"/>
      <c r="I121" s="1815"/>
      <c r="AB121" s="559">
        <v>2029</v>
      </c>
      <c r="AC121" s="1763"/>
      <c r="AD121" s="1764">
        <f t="shared" si="47"/>
        <v>23.74803370219282</v>
      </c>
      <c r="AE121" s="1742" t="e">
        <f>НАСТРОЙКА!#REF!</f>
        <v>#REF!</v>
      </c>
      <c r="AU121" s="316">
        <f t="shared" si="48"/>
        <v>23.74803370219282</v>
      </c>
      <c r="AW121" s="559">
        <v>2029</v>
      </c>
      <c r="AX121" s="1763"/>
      <c r="AY121" s="1764">
        <f t="shared" si="49"/>
        <v>40.527067575601734</v>
      </c>
      <c r="AZ121" s="1742">
        <v>26.3403156005762</v>
      </c>
      <c r="BP121" s="316">
        <f t="shared" si="50"/>
        <v>40.527067575601734</v>
      </c>
      <c r="BT121" s="59"/>
      <c r="BU121" s="59"/>
      <c r="BV121" s="59"/>
      <c r="BW121" s="59"/>
      <c r="BX121" s="59"/>
      <c r="BY121" s="59"/>
      <c r="BZ121" s="59"/>
      <c r="CA121" s="59"/>
      <c r="CB121" s="59"/>
    </row>
    <row r="122" ht="20.5" customHeight="1" spans="5:80" x14ac:dyDescent="0.25">
      <c r="E122" s="1818">
        <v>2030</v>
      </c>
      <c r="F122" s="1819"/>
      <c r="G122" s="1820"/>
      <c r="H122" s="1837"/>
      <c r="I122" s="1821"/>
      <c r="AB122" s="960">
        <v>2030</v>
      </c>
      <c r="AC122" s="1777"/>
      <c r="AD122" s="1777">
        <f t="shared" si="47"/>
        <v>24.172108883922473</v>
      </c>
      <c r="AE122" s="1838" t="e">
        <f>НАСТРОЙКА!#REF!</f>
        <v>#REF!</v>
      </c>
      <c r="AU122" s="386">
        <f t="shared" si="48"/>
        <v>24.172108883922473</v>
      </c>
      <c r="AW122" s="960">
        <v>2030</v>
      </c>
      <c r="AX122" s="1777"/>
      <c r="AY122" s="1764">
        <f t="shared" si="49"/>
        <v>41.494832044112115</v>
      </c>
      <c r="AZ122" s="1838">
        <v>26.867121912587724</v>
      </c>
      <c r="BP122" s="386">
        <f t="shared" si="50"/>
        <v>41.494832044112115</v>
      </c>
      <c r="BT122" s="59"/>
      <c r="BU122" s="59"/>
      <c r="BV122" s="59"/>
      <c r="BW122" s="59"/>
      <c r="BX122" s="59"/>
      <c r="BY122" s="59"/>
      <c r="BZ122" s="59"/>
      <c r="CA122" s="59"/>
      <c r="CB122" s="59"/>
    </row>
    <row r="123" ht="20.5" customHeight="1" spans="72:80" x14ac:dyDescent="0.25">
      <c r="BT123" s="59"/>
      <c r="BU123" s="59"/>
      <c r="BV123" s="59"/>
      <c r="BW123" s="59"/>
      <c r="BX123" s="59"/>
      <c r="BY123" s="59"/>
      <c r="BZ123" s="59"/>
      <c r="CA123" s="59"/>
      <c r="CB123" s="59"/>
    </row>
    <row r="124" ht="20.5" customHeight="1" spans="72:80" x14ac:dyDescent="0.25">
      <c r="BT124" s="59"/>
      <c r="BU124" s="59"/>
      <c r="BV124" s="59"/>
      <c r="BW124" s="59"/>
      <c r="BX124" s="59"/>
      <c r="BY124" s="59"/>
      <c r="BZ124" s="59"/>
      <c r="CA124" s="59"/>
      <c r="CB124" s="59"/>
    </row>
    <row r="125" ht="20.5" customHeight="1" spans="78:80" x14ac:dyDescent="0.25">
      <c r="BZ125" s="59"/>
      <c r="CA125" s="59"/>
      <c r="CB125" s="59"/>
    </row>
    <row r="126" ht="20.5" customHeight="1" spans="72:80" x14ac:dyDescent="0.25">
      <c r="BT126" s="59"/>
      <c r="BU126" s="59"/>
      <c r="BV126" s="59"/>
      <c r="BW126" s="59"/>
      <c r="BX126" s="59"/>
      <c r="BY126" s="59"/>
      <c r="BZ126" s="59"/>
      <c r="CA126" s="59"/>
      <c r="CB126" s="59"/>
    </row>
    <row r="127" ht="20.5" customHeight="1" spans="72:80" x14ac:dyDescent="0.25">
      <c r="BT127" s="59"/>
      <c r="BU127" s="59"/>
      <c r="BV127" s="59"/>
      <c r="BW127" s="59"/>
      <c r="BX127" s="59"/>
      <c r="BY127" s="59"/>
      <c r="BZ127" s="59"/>
      <c r="CA127" s="59"/>
      <c r="CB127" s="59"/>
    </row>
    <row r="128" ht="20.5" customHeight="1" spans="72:80" x14ac:dyDescent="0.25">
      <c r="BT128" s="59"/>
      <c r="BU128" s="59"/>
      <c r="BV128" s="59"/>
      <c r="BW128" s="59"/>
      <c r="BX128" s="59"/>
      <c r="BY128" s="59"/>
      <c r="BZ128" s="59"/>
      <c r="CA128" s="59"/>
      <c r="CB128" s="59"/>
    </row>
    <row r="129" ht="20.5" customHeight="1" spans="72:80" x14ac:dyDescent="0.25">
      <c r="BT129" s="59"/>
      <c r="BU129" s="59"/>
      <c r="BV129" s="59"/>
      <c r="BW129" s="59"/>
      <c r="BX129" s="59"/>
      <c r="BY129" s="59"/>
      <c r="BZ129" s="59"/>
      <c r="CA129" s="59"/>
      <c r="CB129" s="59"/>
    </row>
    <row r="137" ht="15" customHeight="1" x14ac:dyDescent="0.25"/>
    <row r="138" ht="18" customHeight="1" spans="6:15" x14ac:dyDescent="0.25">
      <c r="F138" s="1839" t="s">
        <v>1730</v>
      </c>
      <c r="G138" s="1840"/>
      <c r="H138" s="1840"/>
      <c r="I138" s="1840"/>
      <c r="J138" s="1840"/>
      <c r="K138" s="1840"/>
      <c r="L138" s="1840"/>
      <c r="M138" s="1840"/>
      <c r="N138" s="1840"/>
      <c r="O138" s="1841"/>
    </row>
    <row r="139" ht="18" customHeight="1" spans="6:15" x14ac:dyDescent="0.25">
      <c r="F139" s="1842" t="s">
        <v>1731</v>
      </c>
      <c r="G139" s="1843"/>
      <c r="H139" s="1843"/>
      <c r="I139" s="1843"/>
      <c r="J139" s="1843"/>
      <c r="K139" s="1843"/>
      <c r="L139" s="1843"/>
      <c r="M139" s="1843"/>
      <c r="N139" s="1843"/>
      <c r="O139" s="1844"/>
    </row>
    <row r="140" ht="18" customHeight="1" spans="6:15" x14ac:dyDescent="0.25">
      <c r="F140" s="1842" t="s">
        <v>1732</v>
      </c>
      <c r="G140" s="1843"/>
      <c r="H140" s="1843"/>
      <c r="I140" s="1843"/>
      <c r="J140" s="1843"/>
      <c r="K140" s="1843"/>
      <c r="L140" s="1843"/>
      <c r="M140" s="1843"/>
      <c r="N140" s="1843"/>
      <c r="O140" s="1844"/>
    </row>
    <row r="141" ht="18" customHeight="1" spans="6:38" x14ac:dyDescent="0.25">
      <c r="F141" s="1842" t="s">
        <v>1733</v>
      </c>
      <c r="G141" s="1843"/>
      <c r="H141" s="1843"/>
      <c r="I141" s="1843"/>
      <c r="J141" s="1843"/>
      <c r="K141" s="1843"/>
      <c r="L141" s="1843"/>
      <c r="M141" s="1843"/>
      <c r="N141" s="1843"/>
      <c r="O141" s="1844"/>
      <c r="AI141" s="1845"/>
      <c r="AJ141" s="1846" t="s">
        <v>692</v>
      </c>
      <c r="AK141" s="1846"/>
      <c r="AL141" s="1845"/>
    </row>
    <row r="142" ht="25.75" customHeight="1" spans="6:48" x14ac:dyDescent="0.25">
      <c r="F142" s="1842" t="s">
        <v>1734</v>
      </c>
      <c r="G142" s="1843"/>
      <c r="H142" s="1843"/>
      <c r="I142" s="1843"/>
      <c r="J142" s="1843"/>
      <c r="K142" s="1843"/>
      <c r="L142" s="1843"/>
      <c r="M142" s="1843"/>
      <c r="N142" s="1843"/>
      <c r="O142" s="1844"/>
      <c r="X142" s="1847" t="s">
        <v>1735</v>
      </c>
      <c r="Y142" s="1847"/>
      <c r="Z142" s="1847"/>
      <c r="AA142" s="1847"/>
      <c r="AI142" s="1845"/>
      <c r="AJ142" s="1846" t="s">
        <v>1736</v>
      </c>
      <c r="AK142" s="1846"/>
      <c r="AL142" s="1845"/>
      <c r="AP142" s="1848" t="s">
        <v>1735</v>
      </c>
      <c r="AQ142" s="1848"/>
      <c r="AR142" s="1848"/>
      <c r="AS142" s="1848"/>
      <c r="AT142" s="1848"/>
      <c r="AU142" s="1848"/>
      <c r="AV142" s="1848"/>
    </row>
    <row r="143" ht="18" customHeight="1" spans="6:47" x14ac:dyDescent="0.25">
      <c r="F143" s="1842" t="s">
        <v>1737</v>
      </c>
      <c r="G143" s="1843"/>
      <c r="H143" s="1843"/>
      <c r="I143" s="1843"/>
      <c r="J143" s="1843"/>
      <c r="K143" s="1843"/>
      <c r="L143" s="1843"/>
      <c r="M143" s="1843"/>
      <c r="N143" s="1843"/>
      <c r="O143" s="1844"/>
      <c r="X143" s="231"/>
      <c r="Y143" s="231"/>
      <c r="Z143" s="231"/>
      <c r="AA143" s="231"/>
      <c r="AI143" s="1845"/>
      <c r="AJ143" s="1845"/>
      <c r="AK143" s="1845"/>
      <c r="AL143" s="1845"/>
      <c r="AR143" s="1849"/>
      <c r="AS143" s="1849"/>
      <c r="AT143" s="1849"/>
      <c r="AU143" s="1849"/>
    </row>
    <row r="144" ht="34.75" customHeight="1" spans="6:47" x14ac:dyDescent="0.25">
      <c r="F144" s="1842" t="s">
        <v>1738</v>
      </c>
      <c r="G144" s="1843"/>
      <c r="H144" s="1843"/>
      <c r="I144" s="1843"/>
      <c r="J144" s="1843"/>
      <c r="K144" s="1843"/>
      <c r="L144" s="1843"/>
      <c r="M144" s="1843"/>
      <c r="N144" s="1843"/>
      <c r="O144" s="1844"/>
      <c r="T144" s="682" t="s">
        <v>1739</v>
      </c>
      <c r="U144" s="682"/>
      <c r="X144" s="1850" t="s">
        <v>1503</v>
      </c>
      <c r="Y144" s="1851" t="s">
        <v>1740</v>
      </c>
      <c r="Z144" s="1852" t="s">
        <v>1741</v>
      </c>
      <c r="AA144" s="1852" t="s">
        <v>1742</v>
      </c>
      <c r="AI144" s="1845"/>
      <c r="AJ144" s="1853" t="s">
        <v>1503</v>
      </c>
      <c r="AK144" s="1853" t="s">
        <v>1740</v>
      </c>
      <c r="AL144" s="1845"/>
      <c r="AR144" s="1854" t="s">
        <v>1503</v>
      </c>
      <c r="AS144" s="1855" t="s">
        <v>1740</v>
      </c>
      <c r="AT144" s="1856" t="s">
        <v>1741</v>
      </c>
      <c r="AU144" s="1856" t="s">
        <v>1742</v>
      </c>
    </row>
    <row r="145" ht="70.25" customHeight="1" spans="6:47" x14ac:dyDescent="0.25">
      <c r="F145" s="1857" t="s">
        <v>1743</v>
      </c>
      <c r="G145" s="1858"/>
      <c r="H145" s="1858"/>
      <c r="I145" s="1858"/>
      <c r="J145" s="1858"/>
      <c r="K145" s="1858"/>
      <c r="L145" s="1858"/>
      <c r="M145" s="1858"/>
      <c r="N145" s="1858"/>
      <c r="O145" s="1859"/>
      <c r="X145" s="1860"/>
      <c r="Y145" s="1861" t="s">
        <v>1744</v>
      </c>
      <c r="Z145" s="1861" t="s">
        <v>1745</v>
      </c>
      <c r="AA145" s="1862" t="s">
        <v>1746</v>
      </c>
      <c r="AC145" s="1863" t="s">
        <v>1747</v>
      </c>
      <c r="AD145" s="1864" t="s">
        <v>652</v>
      </c>
      <c r="AI145" s="1845"/>
      <c r="AJ145" s="1865"/>
      <c r="AK145" s="1865" t="s">
        <v>1748</v>
      </c>
      <c r="AL145" s="1845"/>
      <c r="AM145" s="1863" t="s">
        <v>1749</v>
      </c>
      <c r="AN145" s="1864" t="s">
        <v>658</v>
      </c>
      <c r="AR145" s="1866"/>
      <c r="AS145" s="1867" t="s">
        <v>1744</v>
      </c>
      <c r="AT145" s="1867" t="s">
        <v>1745</v>
      </c>
      <c r="AU145" s="1868" t="s">
        <v>1746</v>
      </c>
    </row>
    <row r="146" ht="18.5" customHeight="1" spans="6:47" x14ac:dyDescent="0.25">
      <c r="F146" s="1843"/>
      <c r="G146" s="1843"/>
      <c r="H146" s="1843"/>
      <c r="I146" s="1843"/>
      <c r="J146" s="1843"/>
      <c r="K146" s="1843"/>
      <c r="L146" s="1843"/>
      <c r="M146" s="1843"/>
      <c r="N146" s="1843"/>
      <c r="O146" s="1843"/>
      <c r="T146" s="1869">
        <v>100</v>
      </c>
      <c r="U146" s="1870">
        <f>T146/100</f>
        <v>1</v>
      </c>
      <c r="X146" s="1871">
        <v>1990</v>
      </c>
      <c r="Y146" s="1872">
        <v>136</v>
      </c>
      <c r="Z146" s="1872">
        <v>96.9</v>
      </c>
      <c r="AA146" s="1872">
        <v>100</v>
      </c>
      <c r="AC146" s="1873">
        <f t="shared" ref="AC146:AC151" si="51">Y146/1000</f>
        <v>0.136</v>
      </c>
      <c r="AI146" s="1845"/>
      <c r="AJ146" s="1874">
        <v>1990</v>
      </c>
      <c r="AK146" s="1874">
        <v>1927</v>
      </c>
      <c r="AL146" s="1845"/>
      <c r="AM146" s="684">
        <f t="shared" ref="AM146:AM151" si="52">AK146/1000</f>
        <v>1.927</v>
      </c>
      <c r="AR146" s="1875">
        <v>1990</v>
      </c>
      <c r="AS146" s="1876">
        <v>136</v>
      </c>
      <c r="AT146" s="1877">
        <v>96.9</v>
      </c>
      <c r="AU146" s="1878">
        <v>100</v>
      </c>
    </row>
    <row r="147" ht="20.5" customHeight="1" spans="6:80" x14ac:dyDescent="0.25">
      <c r="F147" s="1839" t="s">
        <v>1750</v>
      </c>
      <c r="G147" s="1840"/>
      <c r="H147" s="1840"/>
      <c r="I147" s="1840"/>
      <c r="J147" s="1840"/>
      <c r="K147" s="1840"/>
      <c r="L147" s="1840"/>
      <c r="M147" s="1840"/>
      <c r="N147" s="1840"/>
      <c r="O147" s="1841"/>
      <c r="T147" s="1879">
        <v>89.2</v>
      </c>
      <c r="U147" s="1880">
        <f t="shared" ref="U147:U168" si="53">T147/100</f>
        <v>0.892</v>
      </c>
      <c r="V147" s="1870">
        <f>U147/U146</f>
        <v>0.892</v>
      </c>
      <c r="X147" s="1871">
        <v>1991</v>
      </c>
      <c r="Y147" s="1872">
        <v>176</v>
      </c>
      <c r="Z147" s="1872">
        <v>89.2</v>
      </c>
      <c r="AA147" s="1872">
        <v>89.2</v>
      </c>
      <c r="AC147" s="1881">
        <f t="shared" si="51"/>
        <v>0.176</v>
      </c>
      <c r="AI147" s="1845"/>
      <c r="AJ147" s="1874">
        <v>1991</v>
      </c>
      <c r="AK147" s="1882">
        <v>2061</v>
      </c>
      <c r="AL147" s="1845"/>
      <c r="AM147" s="684">
        <f t="shared" si="52"/>
        <v>2.061</v>
      </c>
      <c r="AR147" s="1875">
        <v>1991</v>
      </c>
      <c r="AS147" s="1876">
        <v>176</v>
      </c>
      <c r="AT147" s="1877">
        <v>89.2</v>
      </c>
      <c r="AU147" s="1877">
        <v>89.2</v>
      </c>
      <c r="BT147" s="59"/>
      <c r="BU147" s="59"/>
      <c r="BV147" s="59"/>
      <c r="BW147" s="59"/>
      <c r="BX147" s="59"/>
      <c r="BY147" s="59"/>
      <c r="BZ147" s="59"/>
      <c r="CA147" s="59"/>
      <c r="CB147" s="59"/>
    </row>
    <row r="148" ht="18" customHeight="1" spans="6:47" x14ac:dyDescent="0.25">
      <c r="F148" s="1842" t="s">
        <v>1751</v>
      </c>
      <c r="G148" s="1843"/>
      <c r="H148" s="1843"/>
      <c r="I148" s="1843"/>
      <c r="J148" s="1843"/>
      <c r="K148" s="1843"/>
      <c r="L148" s="1843"/>
      <c r="M148" s="1843"/>
      <c r="N148" s="1843"/>
      <c r="O148" s="1844"/>
      <c r="T148" s="1879">
        <v>60</v>
      </c>
      <c r="U148" s="1880">
        <f t="shared" si="53"/>
        <v>0.6</v>
      </c>
      <c r="V148" s="1883">
        <f t="shared" ref="V148:V168" si="54">U148/U147</f>
        <v>0.6726457399103138</v>
      </c>
      <c r="X148" s="1871">
        <v>1992</v>
      </c>
      <c r="Y148" s="1872">
        <v>2005</v>
      </c>
      <c r="Z148" s="1872">
        <v>67.2</v>
      </c>
      <c r="AA148" s="1872">
        <v>60</v>
      </c>
      <c r="AC148" s="1884">
        <f t="shared" si="51"/>
        <v>2.005</v>
      </c>
      <c r="AI148" s="1845"/>
      <c r="AJ148" s="1882">
        <v>1992</v>
      </c>
      <c r="AK148" s="1885">
        <v>43215</v>
      </c>
      <c r="AL148" s="1845"/>
      <c r="AM148" s="684">
        <f t="shared" si="52"/>
        <v>43.215</v>
      </c>
      <c r="AR148" s="1886">
        <v>1992</v>
      </c>
      <c r="AS148" s="1887">
        <v>2005</v>
      </c>
      <c r="AT148" s="1877">
        <v>67.2</v>
      </c>
      <c r="AU148" s="1877">
        <v>60</v>
      </c>
    </row>
    <row r="149" ht="18" customHeight="1" spans="6:47" x14ac:dyDescent="0.25">
      <c r="F149" s="1842" t="s">
        <v>1752</v>
      </c>
      <c r="G149" s="1843"/>
      <c r="H149" s="1843"/>
      <c r="I149" s="1843"/>
      <c r="J149" s="1843"/>
      <c r="K149" s="1843"/>
      <c r="L149" s="1843"/>
      <c r="M149" s="1843"/>
      <c r="N149" s="1843"/>
      <c r="O149" s="1844"/>
      <c r="T149" s="1879">
        <v>42</v>
      </c>
      <c r="U149" s="1880">
        <f t="shared" si="53"/>
        <v>0.42</v>
      </c>
      <c r="V149" s="1883">
        <f t="shared" si="54"/>
        <v>0.7</v>
      </c>
      <c r="X149" s="1871">
        <v>1993</v>
      </c>
      <c r="Y149" s="1872">
        <v>15093</v>
      </c>
      <c r="Z149" s="1872">
        <v>70</v>
      </c>
      <c r="AA149" s="1872">
        <v>42</v>
      </c>
      <c r="AC149" s="1888">
        <f t="shared" si="51"/>
        <v>15.093</v>
      </c>
      <c r="AI149" s="1845"/>
      <c r="AJ149" s="1889">
        <v>1993</v>
      </c>
      <c r="AK149" s="1885">
        <v>63861</v>
      </c>
      <c r="AL149" s="1845"/>
      <c r="AM149" s="684">
        <f t="shared" si="52"/>
        <v>63.861</v>
      </c>
      <c r="AR149" s="1890">
        <v>1993</v>
      </c>
      <c r="AS149" s="1891">
        <v>15093</v>
      </c>
      <c r="AT149" s="1877">
        <v>70</v>
      </c>
      <c r="AU149" s="1877">
        <v>42</v>
      </c>
    </row>
    <row r="150" ht="18.5" customHeight="1" spans="6:47" x14ac:dyDescent="0.25">
      <c r="F150" s="1842" t="s">
        <v>1753</v>
      </c>
      <c r="G150" s="1843"/>
      <c r="H150" s="1843"/>
      <c r="I150" s="1843"/>
      <c r="J150" s="1843"/>
      <c r="K150" s="1843"/>
      <c r="L150" s="1843"/>
      <c r="M150" s="1843"/>
      <c r="N150" s="1843"/>
      <c r="O150" s="1844"/>
      <c r="T150" s="1879">
        <v>34.4</v>
      </c>
      <c r="U150" s="1880">
        <f t="shared" si="53"/>
        <v>0.344</v>
      </c>
      <c r="V150" s="1883">
        <f t="shared" si="54"/>
        <v>0.819047619047619</v>
      </c>
      <c r="X150" s="1892">
        <v>1994</v>
      </c>
      <c r="Y150" s="1893">
        <v>72350</v>
      </c>
      <c r="Z150" s="1893">
        <v>81.8</v>
      </c>
      <c r="AA150" s="1893">
        <v>34.4</v>
      </c>
      <c r="AC150" s="1888">
        <f t="shared" si="51"/>
        <v>72.35</v>
      </c>
      <c r="AI150" s="1845"/>
      <c r="AJ150" s="1894">
        <v>1994</v>
      </c>
      <c r="AK150" s="1895">
        <v>1221494</v>
      </c>
      <c r="AL150" s="1845"/>
      <c r="AM150" s="668">
        <f t="shared" si="52"/>
        <v>1221.494</v>
      </c>
      <c r="AR150" s="1890">
        <v>1994</v>
      </c>
      <c r="AS150" s="1891">
        <v>72350</v>
      </c>
      <c r="AT150" s="1877">
        <v>81.8</v>
      </c>
      <c r="AU150" s="1877">
        <v>34.4</v>
      </c>
    </row>
    <row r="151" ht="18.5" customHeight="1" spans="6:47" x14ac:dyDescent="0.25">
      <c r="F151" s="1857" t="s">
        <v>1754</v>
      </c>
      <c r="G151" s="1858"/>
      <c r="H151" s="1858"/>
      <c r="I151" s="1858"/>
      <c r="J151" s="1858"/>
      <c r="K151" s="1858"/>
      <c r="L151" s="1858"/>
      <c r="M151" s="1858"/>
      <c r="N151" s="1858"/>
      <c r="O151" s="1859"/>
      <c r="T151" s="1879">
        <v>31.9</v>
      </c>
      <c r="U151" s="1880">
        <f t="shared" si="53"/>
        <v>0.319</v>
      </c>
      <c r="V151" s="1883">
        <f t="shared" si="54"/>
        <v>0.9273255813953489</v>
      </c>
      <c r="X151" s="1896">
        <v>1995</v>
      </c>
      <c r="Y151" s="1897">
        <v>230407</v>
      </c>
      <c r="Z151" s="1897">
        <v>92.7</v>
      </c>
      <c r="AA151" s="1898">
        <v>31.9</v>
      </c>
      <c r="AC151" s="1899">
        <f t="shared" si="51"/>
        <v>230.407</v>
      </c>
      <c r="AD151" s="1900">
        <f>AC151</f>
        <v>230.407</v>
      </c>
      <c r="AI151" s="1845"/>
      <c r="AJ151" s="1901">
        <v>1995</v>
      </c>
      <c r="AK151" s="1902">
        <v>5306460</v>
      </c>
      <c r="AL151" s="1845"/>
      <c r="AM151" s="668">
        <f t="shared" si="52"/>
        <v>5306.46</v>
      </c>
      <c r="AR151" s="1890">
        <v>1995</v>
      </c>
      <c r="AS151" s="1891">
        <v>230407</v>
      </c>
      <c r="AT151" s="1877">
        <v>92.7</v>
      </c>
      <c r="AU151" s="1877">
        <v>31.9</v>
      </c>
    </row>
    <row r="152" ht="18.5" customHeight="1" spans="5:47" x14ac:dyDescent="0.25">
      <c r="E152" s="24"/>
      <c r="F152" s="1903"/>
      <c r="G152" s="1843"/>
      <c r="H152" s="1843"/>
      <c r="I152" s="1843"/>
      <c r="J152" s="1843"/>
      <c r="K152" s="1843"/>
      <c r="L152" s="1843"/>
      <c r="M152" s="1843"/>
      <c r="N152" s="1843"/>
      <c r="O152" s="1843"/>
      <c r="P152" s="24"/>
      <c r="T152" s="1879">
        <v>27.3</v>
      </c>
      <c r="U152" s="1880">
        <f t="shared" si="53"/>
        <v>0.273</v>
      </c>
      <c r="V152" s="1883">
        <f t="shared" si="54"/>
        <v>0.8557993730407524</v>
      </c>
      <c r="X152" s="1904">
        <v>1996</v>
      </c>
      <c r="Y152" s="1872">
        <v>334302</v>
      </c>
      <c r="Z152" s="1872">
        <v>85.7</v>
      </c>
      <c r="AA152" s="1905">
        <v>27.3</v>
      </c>
      <c r="AC152" s="1906">
        <f t="shared" ref="AC152:AC168" si="55">Y152/1000</f>
        <v>334.302</v>
      </c>
      <c r="AD152" s="1907">
        <f>AD151*Z152/100</f>
        <v>197.458799</v>
      </c>
      <c r="AI152" s="1845"/>
      <c r="AJ152" s="1908">
        <v>1996</v>
      </c>
      <c r="AK152" s="1909">
        <v>13250160</v>
      </c>
      <c r="AL152" s="1845"/>
      <c r="AM152" s="668">
        <f t="shared" ref="AM152:AM168" si="56">AK152/1000</f>
        <v>13250.16</v>
      </c>
      <c r="AR152" s="1910">
        <v>1996</v>
      </c>
      <c r="AS152" s="1911">
        <v>334302</v>
      </c>
      <c r="AT152" s="1877">
        <v>85.7</v>
      </c>
      <c r="AU152" s="1877">
        <v>27.3</v>
      </c>
    </row>
    <row r="153" ht="18" customHeight="1" spans="5:47" x14ac:dyDescent="0.25">
      <c r="E153" s="24"/>
      <c r="F153" s="1839" t="s">
        <v>1755</v>
      </c>
      <c r="G153" s="1840"/>
      <c r="H153" s="1840"/>
      <c r="I153" s="1840"/>
      <c r="J153" s="1840"/>
      <c r="K153" s="1840"/>
      <c r="L153" s="1840"/>
      <c r="M153" s="1840"/>
      <c r="N153" s="1840"/>
      <c r="O153" s="1841"/>
      <c r="P153" s="24"/>
      <c r="T153" s="1879">
        <v>23.3</v>
      </c>
      <c r="U153" s="1880">
        <f t="shared" si="53"/>
        <v>0.233</v>
      </c>
      <c r="V153" s="1883">
        <f t="shared" si="54"/>
        <v>0.8534798534798534</v>
      </c>
      <c r="X153" s="1904">
        <v>1997</v>
      </c>
      <c r="Y153" s="1872">
        <v>406472</v>
      </c>
      <c r="Z153" s="1872">
        <v>85.4</v>
      </c>
      <c r="AA153" s="1905">
        <v>23.3</v>
      </c>
      <c r="AC153" s="1912">
        <f t="shared" si="55"/>
        <v>406.472</v>
      </c>
      <c r="AD153" s="1907">
        <f t="shared" ref="AD153:AD168" si="57">AD152*Z153/100</f>
        <v>168.62981434600002</v>
      </c>
      <c r="AI153" s="1845"/>
      <c r="AJ153" s="1913">
        <v>1997</v>
      </c>
      <c r="AK153" s="1909">
        <v>13411951</v>
      </c>
      <c r="AL153" s="1845"/>
      <c r="AM153" s="668">
        <f t="shared" si="56"/>
        <v>13411.951</v>
      </c>
      <c r="AR153" s="1875">
        <v>1997</v>
      </c>
      <c r="AS153" s="1876">
        <v>406472</v>
      </c>
      <c r="AT153" s="1877">
        <v>85.4</v>
      </c>
      <c r="AU153" s="1877">
        <v>23.3</v>
      </c>
    </row>
    <row r="154" ht="18" customHeight="1" spans="5:47" x14ac:dyDescent="0.25">
      <c r="E154" s="24"/>
      <c r="F154" s="1842" t="s">
        <v>1756</v>
      </c>
      <c r="G154" s="1843"/>
      <c r="H154" s="1843"/>
      <c r="I154" s="1843"/>
      <c r="J154" s="1843"/>
      <c r="K154" s="1843"/>
      <c r="L154" s="1843"/>
      <c r="M154" s="1843"/>
      <c r="N154" s="1843"/>
      <c r="O154" s="1844"/>
      <c r="P154" s="24"/>
      <c r="T154" s="1879">
        <v>22.2</v>
      </c>
      <c r="U154" s="1880">
        <f t="shared" si="53"/>
        <v>0.222</v>
      </c>
      <c r="V154" s="1883">
        <f t="shared" si="54"/>
        <v>0.9527896995708154</v>
      </c>
      <c r="X154" s="1904">
        <v>1998</v>
      </c>
      <c r="Y154" s="1872">
        <v>428564</v>
      </c>
      <c r="Z154" s="1872">
        <v>95</v>
      </c>
      <c r="AA154" s="1905">
        <v>22.2</v>
      </c>
      <c r="AC154" s="1912">
        <f t="shared" si="55"/>
        <v>428.564</v>
      </c>
      <c r="AD154" s="1907">
        <f t="shared" si="57"/>
        <v>160.19832362870002</v>
      </c>
      <c r="AI154" s="1845"/>
      <c r="AJ154" s="1913">
        <v>1998</v>
      </c>
      <c r="AK154" s="1909">
        <v>14277540</v>
      </c>
      <c r="AL154" s="1845"/>
      <c r="AM154" s="668">
        <f t="shared" si="56"/>
        <v>14277.54</v>
      </c>
      <c r="AR154" s="1875">
        <v>1998</v>
      </c>
      <c r="AS154" s="1876">
        <v>428564</v>
      </c>
      <c r="AT154" s="1877">
        <v>95</v>
      </c>
      <c r="AU154" s="1877">
        <v>22.2</v>
      </c>
    </row>
    <row r="155" ht="18.5" customHeight="1" spans="5:47" x14ac:dyDescent="0.25">
      <c r="E155" s="24"/>
      <c r="F155" s="1857" t="s">
        <v>1757</v>
      </c>
      <c r="G155" s="1858"/>
      <c r="H155" s="1858"/>
      <c r="I155" s="1858"/>
      <c r="J155" s="1858"/>
      <c r="K155" s="1858"/>
      <c r="L155" s="1858"/>
      <c r="M155" s="1858"/>
      <c r="N155" s="1858"/>
      <c r="O155" s="1859"/>
      <c r="P155" s="24"/>
      <c r="T155" s="1879">
        <v>23.7</v>
      </c>
      <c r="U155" s="1880">
        <f t="shared" si="53"/>
        <v>0.237</v>
      </c>
      <c r="V155" s="1883">
        <f t="shared" si="54"/>
        <v>1.0675675675675675</v>
      </c>
      <c r="X155" s="1904">
        <v>1999</v>
      </c>
      <c r="Y155" s="1872">
        <v>597306</v>
      </c>
      <c r="Z155" s="1872">
        <v>106.7</v>
      </c>
      <c r="AA155" s="1905">
        <v>23.7</v>
      </c>
      <c r="AC155" s="1912">
        <f t="shared" si="55"/>
        <v>597.306</v>
      </c>
      <c r="AD155" s="1907">
        <f t="shared" si="57"/>
        <v>170.93161131182293</v>
      </c>
      <c r="AI155" s="1845"/>
      <c r="AJ155" s="1913">
        <v>1999</v>
      </c>
      <c r="AK155" s="1909">
        <v>14334783</v>
      </c>
      <c r="AL155" s="1845"/>
      <c r="AM155" s="668">
        <f t="shared" si="56"/>
        <v>14334.783</v>
      </c>
      <c r="AR155" s="1875">
        <v>1999</v>
      </c>
      <c r="AS155" s="1876">
        <v>597306</v>
      </c>
      <c r="AT155" s="1877">
        <v>106.7</v>
      </c>
      <c r="AU155" s="1877">
        <v>23.7</v>
      </c>
    </row>
    <row r="156" ht="18.5" customHeight="1" spans="5:47" x14ac:dyDescent="0.25">
      <c r="E156" s="24"/>
      <c r="F156" s="1903"/>
      <c r="G156" s="1843"/>
      <c r="H156" s="1843"/>
      <c r="I156" s="1843"/>
      <c r="J156" s="1843"/>
      <c r="K156" s="1843"/>
      <c r="L156" s="1843"/>
      <c r="M156" s="1843"/>
      <c r="N156" s="1843"/>
      <c r="O156" s="1843"/>
      <c r="P156" s="24"/>
      <c r="T156" s="1879">
        <v>29.6</v>
      </c>
      <c r="U156" s="1880">
        <f t="shared" si="53"/>
        <v>0.29600000000000004</v>
      </c>
      <c r="V156" s="1883">
        <f t="shared" si="54"/>
        <v>1.2489451476793252</v>
      </c>
      <c r="X156" s="1904">
        <v>2000</v>
      </c>
      <c r="Y156" s="1872">
        <v>843378</v>
      </c>
      <c r="Z156" s="1872">
        <v>125.1</v>
      </c>
      <c r="AA156" s="1905">
        <v>29.6</v>
      </c>
      <c r="AC156" s="1912">
        <f t="shared" si="55"/>
        <v>843.378</v>
      </c>
      <c r="AD156" s="1907">
        <f t="shared" si="57"/>
        <v>213.83544575109048</v>
      </c>
      <c r="AI156" s="1845"/>
      <c r="AJ156" s="1913">
        <v>2000</v>
      </c>
      <c r="AK156" s="1909">
        <v>17464172</v>
      </c>
      <c r="AL156" s="1845"/>
      <c r="AM156" s="668">
        <f t="shared" si="56"/>
        <v>17464.172</v>
      </c>
      <c r="AR156" s="1875">
        <v>2000</v>
      </c>
      <c r="AS156" s="1876">
        <v>843378</v>
      </c>
      <c r="AT156" s="1877">
        <v>125.1</v>
      </c>
      <c r="AU156" s="1877">
        <v>29.6</v>
      </c>
    </row>
    <row r="157" ht="18" customHeight="1" spans="5:47" x14ac:dyDescent="0.25">
      <c r="E157" s="24"/>
      <c r="F157" s="1839" t="s">
        <v>1758</v>
      </c>
      <c r="G157" s="1840"/>
      <c r="H157" s="1840"/>
      <c r="I157" s="1840"/>
      <c r="J157" s="1840"/>
      <c r="K157" s="1840"/>
      <c r="L157" s="1840"/>
      <c r="M157" s="1840"/>
      <c r="N157" s="1840"/>
      <c r="O157" s="1841"/>
      <c r="P157" s="24"/>
      <c r="T157" s="1879">
        <v>35.2</v>
      </c>
      <c r="U157" s="1880">
        <f t="shared" si="53"/>
        <v>0.35200000000000004</v>
      </c>
      <c r="V157" s="1883">
        <f t="shared" si="54"/>
        <v>1.189189189189189</v>
      </c>
      <c r="X157" s="1904">
        <v>2001</v>
      </c>
      <c r="Y157" s="1872">
        <v>1117655</v>
      </c>
      <c r="Z157" s="1872">
        <v>118.9</v>
      </c>
      <c r="AA157" s="1905">
        <v>35.2</v>
      </c>
      <c r="AC157" s="1912">
        <f t="shared" si="55"/>
        <v>1117.655</v>
      </c>
      <c r="AD157" s="1907">
        <f t="shared" si="57"/>
        <v>254.25034499804661</v>
      </c>
      <c r="AI157" s="1845"/>
      <c r="AJ157" s="1913">
        <v>2001</v>
      </c>
      <c r="AK157" s="1909">
        <v>21495236</v>
      </c>
      <c r="AL157" s="1845"/>
      <c r="AM157" s="668">
        <f t="shared" si="56"/>
        <v>21495.236</v>
      </c>
      <c r="AR157" s="1875">
        <v>2001</v>
      </c>
      <c r="AS157" s="1876">
        <v>1117655</v>
      </c>
      <c r="AT157" s="1877">
        <v>118.9</v>
      </c>
      <c r="AU157" s="1877">
        <v>35.2</v>
      </c>
    </row>
    <row r="158" ht="18" customHeight="1" spans="5:47" x14ac:dyDescent="0.25">
      <c r="E158" s="24"/>
      <c r="F158" s="1842" t="s">
        <v>1756</v>
      </c>
      <c r="G158" s="1843"/>
      <c r="H158" s="1843"/>
      <c r="I158" s="1843"/>
      <c r="J158" s="1843"/>
      <c r="K158" s="1843"/>
      <c r="L158" s="1843"/>
      <c r="M158" s="1843"/>
      <c r="N158" s="1843"/>
      <c r="O158" s="1844"/>
      <c r="P158" s="24"/>
      <c r="T158" s="1879">
        <v>38</v>
      </c>
      <c r="U158" s="1880">
        <f t="shared" si="53"/>
        <v>0.38</v>
      </c>
      <c r="V158" s="1883">
        <f t="shared" si="54"/>
        <v>1.0795454545454544</v>
      </c>
      <c r="X158" s="1904">
        <v>2002</v>
      </c>
      <c r="Y158" s="1872">
        <v>1615063</v>
      </c>
      <c r="Z158" s="1872">
        <v>107.9</v>
      </c>
      <c r="AA158" s="1905">
        <v>38</v>
      </c>
      <c r="AC158" s="1912">
        <f t="shared" si="55"/>
        <v>1615.063</v>
      </c>
      <c r="AD158" s="1907">
        <f t="shared" si="57"/>
        <v>274.3361222528923</v>
      </c>
      <c r="AI158" s="1845"/>
      <c r="AJ158" s="1913">
        <v>2002</v>
      </c>
      <c r="AK158" s="1909">
        <v>26333273</v>
      </c>
      <c r="AL158" s="1845"/>
      <c r="AM158" s="668">
        <f t="shared" si="56"/>
        <v>26333.273</v>
      </c>
      <c r="AR158" s="1875">
        <v>2002</v>
      </c>
      <c r="AS158" s="1876">
        <v>1615063</v>
      </c>
      <c r="AT158" s="1877">
        <v>107.9</v>
      </c>
      <c r="AU158" s="1877">
        <v>38</v>
      </c>
    </row>
    <row r="159" ht="18.5" customHeight="1" spans="6:47" x14ac:dyDescent="0.25">
      <c r="F159" s="1857" t="s">
        <v>1757</v>
      </c>
      <c r="G159" s="1858"/>
      <c r="H159" s="1858"/>
      <c r="I159" s="1858"/>
      <c r="J159" s="1858"/>
      <c r="K159" s="1858"/>
      <c r="L159" s="1858"/>
      <c r="M159" s="1858"/>
      <c r="N159" s="1858"/>
      <c r="O159" s="1859"/>
      <c r="T159" s="1879">
        <v>42.6</v>
      </c>
      <c r="U159" s="1880">
        <f t="shared" si="53"/>
        <v>0.426</v>
      </c>
      <c r="V159" s="1883">
        <f t="shared" si="54"/>
        <v>1.1210526315789473</v>
      </c>
      <c r="X159" s="1904">
        <v>2003</v>
      </c>
      <c r="Y159" s="1872">
        <v>1815658</v>
      </c>
      <c r="Z159" s="1872">
        <v>112.1</v>
      </c>
      <c r="AA159" s="1905">
        <v>42.6</v>
      </c>
      <c r="AC159" s="1912">
        <f t="shared" si="55"/>
        <v>1815.658</v>
      </c>
      <c r="AD159" s="1907">
        <f t="shared" si="57"/>
        <v>307.53079304549226</v>
      </c>
      <c r="AI159" s="1845"/>
      <c r="AJ159" s="1913">
        <v>2003</v>
      </c>
      <c r="AK159" s="1909">
        <v>32173286</v>
      </c>
      <c r="AL159" s="1845"/>
      <c r="AM159" s="668">
        <f t="shared" si="56"/>
        <v>32173.286</v>
      </c>
      <c r="AR159" s="1875">
        <v>2003</v>
      </c>
      <c r="AS159" s="1876">
        <v>1815658</v>
      </c>
      <c r="AT159" s="1877">
        <v>112.1</v>
      </c>
      <c r="AU159" s="1877">
        <v>42.6</v>
      </c>
    </row>
    <row r="160" ht="18.5" customHeight="1" spans="6:47" x14ac:dyDescent="0.25">
      <c r="F160" s="1843"/>
      <c r="G160" s="1843"/>
      <c r="H160" s="1843"/>
      <c r="I160" s="1843"/>
      <c r="J160" s="1843"/>
      <c r="K160" s="1843"/>
      <c r="L160" s="1843"/>
      <c r="M160" s="1843"/>
      <c r="N160" s="1843"/>
      <c r="O160" s="1843"/>
      <c r="T160" s="1879">
        <v>47.6</v>
      </c>
      <c r="U160" s="1880">
        <f t="shared" si="53"/>
        <v>0.47600000000000003</v>
      </c>
      <c r="V160" s="1883">
        <f t="shared" si="54"/>
        <v>1.1173708920187795</v>
      </c>
      <c r="X160" s="1904">
        <v>2004</v>
      </c>
      <c r="Y160" s="1872">
        <v>1972112</v>
      </c>
      <c r="Z160" s="1872">
        <v>111.8</v>
      </c>
      <c r="AA160" s="1905">
        <v>47.6</v>
      </c>
      <c r="AC160" s="1912">
        <f t="shared" si="55"/>
        <v>1972.112</v>
      </c>
      <c r="AD160" s="1907">
        <f t="shared" si="57"/>
        <v>343.81942662486034</v>
      </c>
      <c r="AI160" s="1845"/>
      <c r="AJ160" s="1913">
        <v>2004</v>
      </c>
      <c r="AK160" s="1909">
        <v>34873724</v>
      </c>
      <c r="AL160" s="1845"/>
      <c r="AM160" s="668">
        <f t="shared" si="56"/>
        <v>34873.724</v>
      </c>
      <c r="AR160" s="1875">
        <v>2004</v>
      </c>
      <c r="AS160" s="1876">
        <v>1972112</v>
      </c>
      <c r="AT160" s="1877">
        <v>111.8</v>
      </c>
      <c r="AU160" s="1877">
        <v>47.6</v>
      </c>
    </row>
    <row r="161" ht="18" customHeight="1" spans="6:47" x14ac:dyDescent="0.25">
      <c r="F161" s="1839" t="s">
        <v>1759</v>
      </c>
      <c r="G161" s="1840"/>
      <c r="H161" s="1840"/>
      <c r="I161" s="1840"/>
      <c r="J161" s="1840"/>
      <c r="K161" s="1840"/>
      <c r="L161" s="1840"/>
      <c r="M161" s="1840"/>
      <c r="N161" s="1840"/>
      <c r="O161" s="1841"/>
      <c r="T161" s="1879">
        <v>52.8</v>
      </c>
      <c r="U161" s="1880">
        <f t="shared" si="53"/>
        <v>0.528</v>
      </c>
      <c r="V161" s="1883">
        <f t="shared" si="54"/>
        <v>1.1092436974789917</v>
      </c>
      <c r="X161" s="1904">
        <v>2005</v>
      </c>
      <c r="Y161" s="1872">
        <v>2943686</v>
      </c>
      <c r="Z161" s="1872">
        <v>111</v>
      </c>
      <c r="AA161" s="1905">
        <v>52.8</v>
      </c>
      <c r="AC161" s="1912">
        <f t="shared" si="55"/>
        <v>2943.686</v>
      </c>
      <c r="AD161" s="1907">
        <f t="shared" si="57"/>
        <v>381.639563553595</v>
      </c>
      <c r="AI161" s="1845"/>
      <c r="AJ161" s="1913">
        <v>2005</v>
      </c>
      <c r="AK161" s="1909">
        <v>41493568</v>
      </c>
      <c r="AL161" s="1845"/>
      <c r="AM161" s="668">
        <f t="shared" si="56"/>
        <v>41493.568</v>
      </c>
      <c r="AR161" s="1875">
        <v>2005</v>
      </c>
      <c r="AS161" s="1876">
        <v>2943686</v>
      </c>
      <c r="AT161" s="1877">
        <v>111</v>
      </c>
      <c r="AU161" s="1877">
        <v>52.8</v>
      </c>
    </row>
    <row r="162" ht="18" customHeight="1" spans="6:47" x14ac:dyDescent="0.25">
      <c r="F162" s="1842" t="s">
        <v>1760</v>
      </c>
      <c r="G162" s="1843"/>
      <c r="H162" s="1843"/>
      <c r="I162" s="1843"/>
      <c r="J162" s="1843"/>
      <c r="K162" s="1843"/>
      <c r="L162" s="1843"/>
      <c r="M162" s="1843"/>
      <c r="N162" s="1843"/>
      <c r="O162" s="1844"/>
      <c r="T162" s="1879">
        <v>61.4</v>
      </c>
      <c r="U162" s="1880">
        <f t="shared" si="53"/>
        <v>0.614</v>
      </c>
      <c r="V162" s="1883">
        <f t="shared" si="54"/>
        <v>1.1628787878787878</v>
      </c>
      <c r="X162" s="1904">
        <v>2006</v>
      </c>
      <c r="Y162" s="1872">
        <v>3252436</v>
      </c>
      <c r="Z162" s="1872">
        <v>116.1</v>
      </c>
      <c r="AA162" s="1905">
        <v>61.4</v>
      </c>
      <c r="AC162" s="1914">
        <f t="shared" si="55"/>
        <v>3252.436</v>
      </c>
      <c r="AD162" s="1907">
        <f t="shared" si="57"/>
        <v>443.0835332857238</v>
      </c>
      <c r="AI162" s="1845"/>
      <c r="AJ162" s="1913">
        <v>2006</v>
      </c>
      <c r="AK162" s="1915">
        <v>47489498</v>
      </c>
      <c r="AL162" s="1845"/>
      <c r="AM162" s="668">
        <f t="shared" si="56"/>
        <v>47489.498</v>
      </c>
      <c r="AR162" s="1875">
        <v>2006</v>
      </c>
      <c r="AS162" s="1876">
        <v>3252436</v>
      </c>
      <c r="AT162" s="1877">
        <v>116.1</v>
      </c>
      <c r="AU162" s="1877">
        <v>61.4</v>
      </c>
    </row>
    <row r="163" ht="18.5" customHeight="1" spans="6:47" x14ac:dyDescent="0.25">
      <c r="F163" s="1857" t="s">
        <v>1757</v>
      </c>
      <c r="G163" s="1858"/>
      <c r="H163" s="1858"/>
      <c r="I163" s="1858"/>
      <c r="J163" s="1858"/>
      <c r="K163" s="1858"/>
      <c r="L163" s="1858"/>
      <c r="M163" s="1858"/>
      <c r="N163" s="1858"/>
      <c r="O163" s="1859"/>
      <c r="T163" s="1879">
        <v>74.9</v>
      </c>
      <c r="U163" s="1880">
        <f t="shared" si="53"/>
        <v>0.7490000000000001</v>
      </c>
      <c r="V163" s="1883">
        <f t="shared" si="54"/>
        <v>1.219869706840391</v>
      </c>
      <c r="X163" s="1904">
        <v>2007</v>
      </c>
      <c r="Y163" s="1872">
        <v>4296411</v>
      </c>
      <c r="Z163" s="1872">
        <v>122.1</v>
      </c>
      <c r="AA163" s="1905">
        <v>74.9</v>
      </c>
      <c r="AC163" s="1912">
        <f t="shared" si="55"/>
        <v>4296.411</v>
      </c>
      <c r="AD163" s="1907">
        <f t="shared" si="57"/>
        <v>541.0049941418688</v>
      </c>
      <c r="AI163" s="1845"/>
      <c r="AJ163" s="1913">
        <v>2007</v>
      </c>
      <c r="AK163" s="1916">
        <v>60391454</v>
      </c>
      <c r="AL163" s="1917"/>
      <c r="AM163" s="668">
        <f t="shared" si="56"/>
        <v>60391.454</v>
      </c>
      <c r="AR163" s="1875">
        <v>2007</v>
      </c>
      <c r="AS163" s="1887">
        <v>4296411</v>
      </c>
      <c r="AT163" s="1877">
        <v>122.1</v>
      </c>
      <c r="AU163" s="1877">
        <v>74.9</v>
      </c>
    </row>
    <row r="164" ht="18.5" customHeight="1" spans="6:47" x14ac:dyDescent="0.25">
      <c r="F164" s="1843"/>
      <c r="G164" s="1843"/>
      <c r="H164" s="1843"/>
      <c r="I164" s="1843"/>
      <c r="J164" s="1843"/>
      <c r="K164" s="1843"/>
      <c r="L164" s="1843"/>
      <c r="M164" s="1843"/>
      <c r="N164" s="1843"/>
      <c r="O164" s="1843"/>
      <c r="T164" s="1879">
        <v>85.4</v>
      </c>
      <c r="U164" s="1880">
        <f t="shared" si="53"/>
        <v>0.8540000000000001</v>
      </c>
      <c r="V164" s="1883">
        <f t="shared" si="54"/>
        <v>1.1401869158878504</v>
      </c>
      <c r="X164" s="1904">
        <v>2008</v>
      </c>
      <c r="Y164" s="1872">
        <v>5744847</v>
      </c>
      <c r="Z164" s="1872">
        <v>114</v>
      </c>
      <c r="AA164" s="1905">
        <v>85.4</v>
      </c>
      <c r="AC164" s="1918">
        <f t="shared" si="55"/>
        <v>5744.847</v>
      </c>
      <c r="AD164" s="1907">
        <f t="shared" si="57"/>
        <v>616.7456933217304</v>
      </c>
      <c r="AI164" s="1845"/>
      <c r="AJ164" s="1919">
        <v>2008</v>
      </c>
      <c r="AK164" s="1916">
        <v>74441095</v>
      </c>
      <c r="AL164" s="1917"/>
      <c r="AM164" s="668">
        <f t="shared" si="56"/>
        <v>74441.095</v>
      </c>
      <c r="AR164" s="1920">
        <v>2008</v>
      </c>
      <c r="AS164" s="1890">
        <v>5744847</v>
      </c>
      <c r="AT164" s="1877">
        <v>114</v>
      </c>
      <c r="AU164" s="1877">
        <v>85.4</v>
      </c>
    </row>
    <row r="165" ht="18" customHeight="1" spans="6:47" x14ac:dyDescent="0.25">
      <c r="F165" s="1839" t="s">
        <v>1761</v>
      </c>
      <c r="G165" s="1840"/>
      <c r="H165" s="1840"/>
      <c r="I165" s="1840"/>
      <c r="J165" s="1840"/>
      <c r="K165" s="1840"/>
      <c r="L165" s="1840"/>
      <c r="M165" s="1840"/>
      <c r="N165" s="1840"/>
      <c r="O165" s="1841"/>
      <c r="T165" s="1879">
        <v>82.5</v>
      </c>
      <c r="U165" s="1880">
        <f t="shared" si="53"/>
        <v>0.825</v>
      </c>
      <c r="V165" s="1883">
        <f t="shared" si="54"/>
        <v>0.9660421545667446</v>
      </c>
      <c r="X165" s="1904">
        <v>2009</v>
      </c>
      <c r="Y165" s="1872">
        <v>6356223</v>
      </c>
      <c r="Z165" s="1872">
        <v>96.6</v>
      </c>
      <c r="AA165" s="1905">
        <v>82.5</v>
      </c>
      <c r="AC165" s="1899">
        <f t="shared" si="55"/>
        <v>6356.223</v>
      </c>
      <c r="AD165" s="1907">
        <f t="shared" si="57"/>
        <v>595.7763397487915</v>
      </c>
      <c r="AI165" s="1845"/>
      <c r="AJ165" s="1919">
        <v>2009</v>
      </c>
      <c r="AK165" s="1916">
        <v>82302969</v>
      </c>
      <c r="AL165" s="1845"/>
      <c r="AM165" s="668">
        <f t="shared" si="56"/>
        <v>82302.969</v>
      </c>
      <c r="AR165" s="1920">
        <v>2009</v>
      </c>
      <c r="AS165" s="1890">
        <v>6356223</v>
      </c>
      <c r="AT165" s="1877">
        <v>96.6</v>
      </c>
      <c r="AU165" s="1877">
        <v>82.5</v>
      </c>
    </row>
    <row r="166" ht="20.5" customHeight="1" spans="6:80" x14ac:dyDescent="0.25">
      <c r="F166" s="1842" t="s">
        <v>1762</v>
      </c>
      <c r="G166" s="1843"/>
      <c r="H166" s="1843"/>
      <c r="I166" s="1843"/>
      <c r="J166" s="1843"/>
      <c r="K166" s="1843"/>
      <c r="L166" s="1843"/>
      <c r="M166" s="1843"/>
      <c r="N166" s="1843"/>
      <c r="O166" s="1844"/>
      <c r="T166" s="1879">
        <v>77.1</v>
      </c>
      <c r="U166" s="1880">
        <f t="shared" si="53"/>
        <v>0.7709999999999999</v>
      </c>
      <c r="V166" s="1883">
        <f t="shared" si="54"/>
        <v>0.9345454545454545</v>
      </c>
      <c r="X166" s="1904">
        <v>2010</v>
      </c>
      <c r="Y166" s="1872">
        <v>6275931</v>
      </c>
      <c r="Z166" s="1872">
        <v>93.4</v>
      </c>
      <c r="AA166" s="1905">
        <v>77.1</v>
      </c>
      <c r="AC166" s="1899">
        <f t="shared" si="55"/>
        <v>6275.931</v>
      </c>
      <c r="AD166" s="1907">
        <f t="shared" si="57"/>
        <v>556.4551013253714</v>
      </c>
      <c r="AI166" s="1845"/>
      <c r="AJ166" s="1921">
        <v>2010</v>
      </c>
      <c r="AK166" s="1922">
        <v>93185612</v>
      </c>
      <c r="AL166" s="1845"/>
      <c r="AM166" s="668">
        <f t="shared" si="56"/>
        <v>93185.612</v>
      </c>
      <c r="AR166" s="1923">
        <v>2010</v>
      </c>
      <c r="AS166" s="1923">
        <v>6275931</v>
      </c>
      <c r="AT166" s="1923">
        <v>93.4</v>
      </c>
      <c r="AU166" s="1923">
        <v>77.1</v>
      </c>
      <c r="BT166" s="59"/>
      <c r="BU166" s="59"/>
      <c r="BV166" s="59"/>
      <c r="BW166" s="59"/>
      <c r="BX166" s="59"/>
      <c r="BY166" s="59"/>
      <c r="BZ166" s="59"/>
      <c r="CA166" s="59"/>
      <c r="CB166" s="59"/>
    </row>
    <row r="167" ht="18.5" customHeight="1" spans="6:47" x14ac:dyDescent="0.25">
      <c r="F167" s="1857" t="s">
        <v>1763</v>
      </c>
      <c r="G167" s="1858"/>
      <c r="H167" s="1858"/>
      <c r="I167" s="1858"/>
      <c r="J167" s="1858"/>
      <c r="K167" s="1858"/>
      <c r="L167" s="1858"/>
      <c r="M167" s="1858"/>
      <c r="N167" s="1858"/>
      <c r="O167" s="1859"/>
      <c r="T167" s="1879">
        <v>99.4</v>
      </c>
      <c r="U167" s="1880">
        <f t="shared" si="53"/>
        <v>0.9940000000000001</v>
      </c>
      <c r="V167" s="1883">
        <f t="shared" si="54"/>
        <v>1.289234760051881</v>
      </c>
      <c r="X167" s="1904">
        <v>2011</v>
      </c>
      <c r="Y167" s="1872">
        <v>8813314</v>
      </c>
      <c r="Z167" s="1872">
        <v>129</v>
      </c>
      <c r="AA167" s="1905">
        <v>99.4</v>
      </c>
      <c r="AC167" s="1899">
        <f t="shared" si="55"/>
        <v>8813.314</v>
      </c>
      <c r="AD167" s="1907">
        <f t="shared" si="57"/>
        <v>717.8270807097291</v>
      </c>
      <c r="AI167" s="1845"/>
      <c r="AJ167" s="1921">
        <v>2011</v>
      </c>
      <c r="AK167" s="1922">
        <v>108001247</v>
      </c>
      <c r="AL167" s="1845"/>
      <c r="AM167" s="668">
        <f t="shared" si="56"/>
        <v>108001.247</v>
      </c>
      <c r="AR167" s="1890">
        <v>2011</v>
      </c>
      <c r="AS167" s="1924">
        <v>8813314</v>
      </c>
      <c r="AT167" s="1925">
        <v>129</v>
      </c>
      <c r="AU167" s="1924">
        <v>99.4</v>
      </c>
    </row>
    <row r="168" ht="18" customHeight="1" spans="20:47" x14ac:dyDescent="0.25">
      <c r="T168" s="1926">
        <v>108.1</v>
      </c>
      <c r="U168" s="1927">
        <f t="shared" si="53"/>
        <v>1.081</v>
      </c>
      <c r="V168" s="1928">
        <f t="shared" si="54"/>
        <v>1.0875251509054324</v>
      </c>
      <c r="X168" s="1929">
        <v>2012</v>
      </c>
      <c r="Y168" s="1930">
        <v>10338476</v>
      </c>
      <c r="Z168" s="1930">
        <v>108.7</v>
      </c>
      <c r="AA168" s="1931">
        <v>108.1</v>
      </c>
      <c r="AC168" s="1906">
        <f t="shared" si="55"/>
        <v>10338.476</v>
      </c>
      <c r="AD168" s="1932">
        <f t="shared" si="57"/>
        <v>780.2780367314756</v>
      </c>
      <c r="AI168" s="1845"/>
      <c r="AJ168" s="1933">
        <v>2012</v>
      </c>
      <c r="AK168" s="1934">
        <v>121268908</v>
      </c>
      <c r="AL168" s="1845"/>
      <c r="AM168" s="668">
        <f t="shared" si="56"/>
        <v>121268.908</v>
      </c>
      <c r="AR168" s="1890">
        <v>2012</v>
      </c>
      <c r="AS168" s="1935">
        <v>10338476</v>
      </c>
      <c r="AT168" s="1877">
        <v>108.7</v>
      </c>
      <c r="AU168" s="1877">
        <v>108.1</v>
      </c>
    </row>
    <row r="169" ht="17.5" customHeight="1" spans="35:38" x14ac:dyDescent="0.25">
      <c r="AI169" s="1845"/>
      <c r="AJ169" s="1845"/>
      <c r="AK169" s="1845"/>
      <c r="AL169" s="1845"/>
    </row>
    <row r="171" ht="18" customHeight="1" spans="5:65" x14ac:dyDescent="0.25">
      <c r="E171" s="1936" t="s">
        <v>1764</v>
      </c>
      <c r="F171" s="1937"/>
      <c r="G171" s="1937"/>
      <c r="H171" s="1937"/>
      <c r="I171" s="1937"/>
      <c r="J171" s="1937"/>
      <c r="K171" s="1937"/>
      <c r="L171" s="1937"/>
      <c r="M171" s="1937"/>
      <c r="N171" s="1938"/>
      <c r="S171" s="1260" t="s">
        <v>1765</v>
      </c>
      <c r="U171" s="1260" t="s">
        <v>881</v>
      </c>
      <c r="W171" s="1260" t="s">
        <v>1766</v>
      </c>
      <c r="AR171" s="1032"/>
      <c r="AS171" s="17"/>
      <c r="AT171" s="17"/>
      <c r="AU171" s="17"/>
      <c r="AV171" s="17"/>
      <c r="AW171" s="17"/>
      <c r="AX171" s="315" t="s">
        <v>1767</v>
      </c>
      <c r="AY171" s="17"/>
      <c r="AZ171" s="1939" t="s">
        <v>1768</v>
      </c>
      <c r="BA171" s="1939"/>
      <c r="BB171" s="1939"/>
      <c r="BC171" s="1939"/>
      <c r="BD171" s="1939"/>
      <c r="BE171" s="1939"/>
      <c r="BF171" s="1939"/>
      <c r="BG171" s="1939"/>
      <c r="BH171" s="17"/>
      <c r="BI171" s="17"/>
      <c r="BJ171" s="17"/>
      <c r="BK171" s="17"/>
      <c r="BL171" s="17"/>
      <c r="BM171" s="18"/>
    </row>
    <row r="172" ht="18" customHeight="1" spans="5:65" x14ac:dyDescent="0.25">
      <c r="E172" s="1940"/>
      <c r="F172" s="1941">
        <v>1992</v>
      </c>
      <c r="G172" s="1941">
        <v>2000</v>
      </c>
      <c r="H172" s="1941">
        <v>2005</v>
      </c>
      <c r="I172" s="1941">
        <v>2008</v>
      </c>
      <c r="J172" s="1941">
        <v>2009</v>
      </c>
      <c r="K172" s="1941">
        <v>2010</v>
      </c>
      <c r="L172" s="1941">
        <v>2011</v>
      </c>
      <c r="M172" s="1941">
        <v>2012</v>
      </c>
      <c r="N172" s="1942">
        <v>2013</v>
      </c>
      <c r="R172" s="1554" t="s">
        <v>159</v>
      </c>
      <c r="S172" s="1555" t="s">
        <v>1769</v>
      </c>
      <c r="T172" s="1943" t="s">
        <v>983</v>
      </c>
      <c r="U172" s="1555" t="s">
        <v>1770</v>
      </c>
      <c r="V172" s="1436" t="s">
        <v>983</v>
      </c>
      <c r="W172" s="1555" t="s">
        <v>1771</v>
      </c>
      <c r="X172" s="1436" t="s">
        <v>983</v>
      </c>
      <c r="AR172" s="959"/>
      <c r="AS172" s="20"/>
      <c r="AT172" s="20"/>
      <c r="AU172" s="20"/>
      <c r="AV172" s="20"/>
      <c r="AW172" s="20"/>
      <c r="AX172" s="20"/>
      <c r="AY172" s="20"/>
      <c r="AZ172" s="440" t="s">
        <v>1772</v>
      </c>
      <c r="BA172" s="440"/>
      <c r="BB172" s="440"/>
      <c r="BC172" s="440"/>
      <c r="BD172" s="440"/>
      <c r="BE172" s="440"/>
      <c r="BF172" s="440"/>
      <c r="BG172" s="440"/>
      <c r="BH172" s="20"/>
      <c r="BI172" s="20"/>
      <c r="BJ172" s="20"/>
      <c r="BK172" s="20"/>
      <c r="BL172" s="20"/>
      <c r="BM172" s="21"/>
    </row>
    <row r="173" ht="18" customHeight="1" spans="5:65" x14ac:dyDescent="0.25">
      <c r="E173" s="1940" t="s">
        <v>1773</v>
      </c>
      <c r="F173" s="1944"/>
      <c r="G173" s="1944"/>
      <c r="H173" s="1944"/>
      <c r="I173" s="1944"/>
      <c r="J173" s="1944"/>
      <c r="K173" s="1944"/>
      <c r="L173" s="1944"/>
      <c r="M173" s="1944"/>
      <c r="N173" s="1945"/>
      <c r="R173" s="1946">
        <v>42460</v>
      </c>
      <c r="S173" s="843" t="s">
        <v>840</v>
      </c>
      <c r="T173" s="843" t="s">
        <v>840</v>
      </c>
      <c r="U173" s="843" t="s">
        <v>840</v>
      </c>
      <c r="V173" s="843" t="s">
        <v>840</v>
      </c>
      <c r="W173" s="843" t="s">
        <v>840</v>
      </c>
      <c r="X173" s="843" t="s">
        <v>840</v>
      </c>
      <c r="AR173" s="959"/>
      <c r="AS173" s="20"/>
      <c r="AT173" s="20"/>
      <c r="AU173" s="20"/>
      <c r="AV173" s="20"/>
      <c r="AW173" s="20"/>
      <c r="AX173" s="20"/>
      <c r="AY173" s="20"/>
      <c r="AZ173" s="440" t="s">
        <v>1774</v>
      </c>
      <c r="BA173" s="440"/>
      <c r="BB173" s="440"/>
      <c r="BC173" s="440"/>
      <c r="BD173" s="440"/>
      <c r="BE173" s="440"/>
      <c r="BF173" s="440"/>
      <c r="BG173" s="440"/>
      <c r="BH173" s="20"/>
      <c r="BI173" s="20"/>
      <c r="BJ173" s="20"/>
      <c r="BK173" s="20"/>
      <c r="BL173" s="20"/>
      <c r="BM173" s="21"/>
    </row>
    <row r="174" ht="18" customHeight="1" spans="5:65" x14ac:dyDescent="0.25">
      <c r="E174" s="1940" t="s">
        <v>1775</v>
      </c>
      <c r="F174" s="1944">
        <v>2.7</v>
      </c>
      <c r="G174" s="1944">
        <v>1165.2</v>
      </c>
      <c r="H174" s="1944">
        <v>3611.1</v>
      </c>
      <c r="I174" s="1944">
        <v>8781.6</v>
      </c>
      <c r="J174" s="1944">
        <v>7976</v>
      </c>
      <c r="K174" s="1944">
        <v>9152.1</v>
      </c>
      <c r="L174" s="1944">
        <v>11035.7</v>
      </c>
      <c r="M174" s="1944">
        <v>12586.1</v>
      </c>
      <c r="N174" s="1945">
        <v>13255.5</v>
      </c>
      <c r="R174" s="1947">
        <v>1995</v>
      </c>
      <c r="S174" s="1948">
        <f t="array" ref="S174:S194">TRANSPOSE(ОТЧЁТ!U151:AO151)</f>
        <v>1</v>
      </c>
      <c r="T174" s="1765"/>
      <c r="U174" s="1811">
        <f t="array" ref="U174:U194">TRANSPOSE(ОТЧЁТ!U179:AO179)</f>
        <v>1</v>
      </c>
      <c r="V174" s="1807"/>
      <c r="W174" s="1810">
        <f t="array" ref="W174:W194">TRANSPOSE(ОТЧЁТ!U74:AO74)</f>
        <v>0</v>
      </c>
      <c r="X174" s="1807"/>
      <c r="AR174" s="962"/>
      <c r="AY174" s="82"/>
      <c r="AZ174" s="440" t="s">
        <v>1776</v>
      </c>
      <c r="BA174" s="440"/>
      <c r="BB174" s="440"/>
      <c r="BC174" s="440"/>
      <c r="BD174" s="440"/>
      <c r="BE174" s="440"/>
      <c r="BF174" s="440"/>
      <c r="BG174" s="440"/>
      <c r="BH174" s="20"/>
      <c r="BI174" s="20"/>
      <c r="BJ174" s="20"/>
      <c r="BK174" s="82"/>
      <c r="BL174" s="82"/>
      <c r="BM174" s="83"/>
    </row>
    <row r="175" ht="18" customHeight="1" spans="5:65" x14ac:dyDescent="0.25">
      <c r="E175" s="1940" t="s">
        <v>1777</v>
      </c>
      <c r="F175" s="1944"/>
      <c r="G175" s="1944"/>
      <c r="H175" s="1944"/>
      <c r="I175" s="1944"/>
      <c r="J175" s="1944"/>
      <c r="K175" s="1944"/>
      <c r="L175" s="1944"/>
      <c r="M175" s="1944"/>
      <c r="N175" s="1945"/>
      <c r="R175" s="1949">
        <v>1996</v>
      </c>
      <c r="S175" s="1763">
        <v>1.218</v>
      </c>
      <c r="T175" s="1765"/>
      <c r="U175" s="1811">
        <v>1.458015926869807</v>
      </c>
      <c r="V175" s="1765"/>
      <c r="W175" s="1950">
        <v>0</v>
      </c>
      <c r="X175" s="1765"/>
      <c r="AS175" s="178" t="s">
        <v>1778</v>
      </c>
      <c r="AT175" s="178"/>
      <c r="AU175" s="178"/>
      <c r="AV175" s="178"/>
      <c r="AW175" s="1951" t="s">
        <v>1779</v>
      </c>
      <c r="AX175" s="82"/>
      <c r="AY175" s="1786"/>
      <c r="AZ175" s="1786"/>
      <c r="BA175" s="1786"/>
      <c r="BB175" s="1786"/>
      <c r="BC175" s="1786"/>
      <c r="BD175" s="1786"/>
      <c r="BE175" s="1786"/>
      <c r="BF175" s="1786"/>
      <c r="BG175" s="1786"/>
      <c r="BH175" s="1786"/>
      <c r="BI175" s="1786"/>
      <c r="BJ175" s="1786"/>
      <c r="BK175" s="1786"/>
      <c r="BL175" s="1786"/>
      <c r="BM175" s="1786"/>
    </row>
    <row r="176" ht="18" customHeight="1" spans="5:50" x14ac:dyDescent="0.25">
      <c r="E176" s="1940" t="s">
        <v>1780</v>
      </c>
      <c r="F176" s="1944"/>
      <c r="G176" s="1944"/>
      <c r="H176" s="1944"/>
      <c r="I176" s="1944"/>
      <c r="J176" s="1944"/>
      <c r="K176" s="1944"/>
      <c r="L176" s="1944"/>
      <c r="M176" s="1944"/>
      <c r="N176" s="1945"/>
      <c r="R176" s="1949">
        <v>1997</v>
      </c>
      <c r="S176" s="1763">
        <v>1.3519800000000002</v>
      </c>
      <c r="T176" s="1765"/>
      <c r="U176" s="1811">
        <v>1.6775696170093486</v>
      </c>
      <c r="V176" s="1765"/>
      <c r="W176" s="1950">
        <v>0</v>
      </c>
      <c r="X176" s="1765"/>
      <c r="AR176" s="1554" t="s">
        <v>159</v>
      </c>
      <c r="AS176" s="1952" t="s">
        <v>279</v>
      </c>
      <c r="AT176" s="1953" t="s">
        <v>983</v>
      </c>
      <c r="AU176" s="1952" t="s">
        <v>1781</v>
      </c>
      <c r="AV176" s="1953" t="s">
        <v>983</v>
      </c>
      <c r="AW176" s="1952" t="s">
        <v>279</v>
      </c>
      <c r="AX176" s="1952" t="s">
        <v>1781</v>
      </c>
    </row>
    <row r="177" ht="18" customHeight="1" spans="5:50" x14ac:dyDescent="0.25">
      <c r="E177" s="1940" t="s">
        <v>1782</v>
      </c>
      <c r="F177" s="1944"/>
      <c r="G177" s="1944"/>
      <c r="H177" s="1944"/>
      <c r="I177" s="1944"/>
      <c r="J177" s="1944"/>
      <c r="K177" s="1944"/>
      <c r="L177" s="1944"/>
      <c r="M177" s="1944"/>
      <c r="N177" s="1945"/>
      <c r="R177" s="1949">
        <v>1998</v>
      </c>
      <c r="S177" s="1763">
        <v>2.4930511200000005</v>
      </c>
      <c r="T177" s="1765"/>
      <c r="U177" s="1811">
        <v>1.988574685283935</v>
      </c>
      <c r="V177" s="1765"/>
      <c r="W177" s="1950">
        <v>0</v>
      </c>
      <c r="X177" s="1765"/>
      <c r="AR177" s="850">
        <v>42027</v>
      </c>
      <c r="AS177" s="843" t="s">
        <v>56</v>
      </c>
      <c r="AT177" s="843" t="s">
        <v>56</v>
      </c>
      <c r="AU177" s="843" t="s">
        <v>56</v>
      </c>
      <c r="AV177" s="843" t="s">
        <v>56</v>
      </c>
      <c r="AW177" s="843" t="s">
        <v>56</v>
      </c>
      <c r="AX177" s="843" t="s">
        <v>56</v>
      </c>
    </row>
    <row r="178" ht="18" customHeight="1" spans="5:50" x14ac:dyDescent="0.25">
      <c r="E178" s="1940" t="s">
        <v>1783</v>
      </c>
      <c r="F178" s="1944"/>
      <c r="G178" s="1944"/>
      <c r="H178" s="1944"/>
      <c r="I178" s="1944"/>
      <c r="J178" s="1944"/>
      <c r="K178" s="1944"/>
      <c r="L178" s="1944"/>
      <c r="M178" s="1944"/>
      <c r="N178" s="1945"/>
      <c r="R178" s="1949">
        <v>1999</v>
      </c>
      <c r="S178" s="1763">
        <v>3.4030147788000007</v>
      </c>
      <c r="T178" s="1765"/>
      <c r="U178" s="1811">
        <v>3.4280333525379545</v>
      </c>
      <c r="V178" s="1765"/>
      <c r="W178" s="1950">
        <v>0</v>
      </c>
      <c r="X178" s="1765"/>
      <c r="AR178" s="1756">
        <v>1995</v>
      </c>
      <c r="AS178" s="1806">
        <f t="shared" ref="AS178:AS196" si="58">DA60</f>
        <v>1428.5209</v>
      </c>
      <c r="AT178" s="1807"/>
      <c r="AU178" s="1809">
        <v>232.1</v>
      </c>
      <c r="AV178" s="1807"/>
      <c r="AW178" s="1808"/>
      <c r="AX178" s="1807"/>
    </row>
    <row r="179" ht="18" customHeight="1" spans="5:50" x14ac:dyDescent="0.25">
      <c r="E179" s="1940" t="s">
        <v>1784</v>
      </c>
      <c r="F179" s="1944">
        <v>60.3</v>
      </c>
      <c r="G179" s="1944">
        <v>117.4</v>
      </c>
      <c r="H179" s="1944">
        <v>110.2</v>
      </c>
      <c r="I179" s="1944">
        <v>109.5</v>
      </c>
      <c r="J179" s="1944">
        <v>86.5</v>
      </c>
      <c r="K179" s="1944">
        <v>106.3</v>
      </c>
      <c r="L179" s="1944">
        <v>110.8</v>
      </c>
      <c r="M179" s="1944">
        <v>106.8</v>
      </c>
      <c r="N179" s="1945">
        <v>99.8</v>
      </c>
      <c r="R179" s="1949">
        <v>2000</v>
      </c>
      <c r="S179" s="1763">
        <v>4.090423764117601</v>
      </c>
      <c r="T179" s="1765"/>
      <c r="U179" s="1811">
        <v>4.720334553021764</v>
      </c>
      <c r="V179" s="1765"/>
      <c r="W179" s="1950">
        <v>0</v>
      </c>
      <c r="X179" s="1765"/>
      <c r="AR179" s="1759">
        <v>1996</v>
      </c>
      <c r="AS179" s="1806">
        <f t="shared" si="58"/>
        <v>2007.8252000000002</v>
      </c>
      <c r="AT179" s="1765"/>
      <c r="AU179" s="1809">
        <v>281.9</v>
      </c>
      <c r="AV179" s="1765"/>
      <c r="AW179" s="1808"/>
      <c r="AX179" s="1765"/>
    </row>
    <row r="180" ht="18" customHeight="1" spans="5:67" x14ac:dyDescent="0.25">
      <c r="E180" s="1940" t="s">
        <v>1785</v>
      </c>
      <c r="F180" s="1944">
        <v>166.4</v>
      </c>
      <c r="G180" s="1944">
        <v>84.6</v>
      </c>
      <c r="H180" s="1944">
        <v>141.1</v>
      </c>
      <c r="I180" s="1944">
        <v>225.4</v>
      </c>
      <c r="J180" s="1944">
        <v>194.9</v>
      </c>
      <c r="K180" s="1944">
        <v>207.2</v>
      </c>
      <c r="L180" s="1944">
        <v>229.6</v>
      </c>
      <c r="M180" s="1944">
        <v>245.2</v>
      </c>
      <c r="N180" s="1945">
        <v>244.7</v>
      </c>
      <c r="R180" s="1949">
        <v>2001</v>
      </c>
      <c r="S180" s="1763">
        <v>4.851242584243474</v>
      </c>
      <c r="T180" s="1765"/>
      <c r="U180" s="1811">
        <v>5.498230296745924</v>
      </c>
      <c r="V180" s="1765"/>
      <c r="W180" s="1950">
        <v>0</v>
      </c>
      <c r="X180" s="1765"/>
      <c r="AR180" s="1759">
        <v>1997</v>
      </c>
      <c r="AS180" s="1806">
        <f t="shared" si="58"/>
        <v>2342.5137</v>
      </c>
      <c r="AT180" s="1765"/>
      <c r="AU180" s="1809">
        <v>343.4</v>
      </c>
      <c r="AV180" s="1765"/>
      <c r="AW180" s="1808"/>
      <c r="AX180" s="1765"/>
      <c r="BO180" t="s">
        <v>1786</v>
      </c>
    </row>
    <row r="181" ht="18" customHeight="1" spans="5:67" x14ac:dyDescent="0.25">
      <c r="E181" s="1752"/>
      <c r="F181" s="692"/>
      <c r="G181" s="692"/>
      <c r="H181" s="692"/>
      <c r="I181" s="692"/>
      <c r="J181" s="692"/>
      <c r="K181" s="692"/>
      <c r="L181" s="692"/>
      <c r="M181" s="692"/>
      <c r="N181" s="693"/>
      <c r="R181" s="1949">
        <v>2002</v>
      </c>
      <c r="S181" s="1763">
        <v>5.583780214464239</v>
      </c>
      <c r="T181" s="1765"/>
      <c r="U181" s="1811">
        <v>6.352729528641842</v>
      </c>
      <c r="V181" s="1765"/>
      <c r="W181" s="1950">
        <v>0</v>
      </c>
      <c r="X181" s="1765"/>
      <c r="AR181" s="1759">
        <v>1998</v>
      </c>
      <c r="AS181" s="1806">
        <f t="shared" si="58"/>
        <v>2629.6229</v>
      </c>
      <c r="AT181" s="1765"/>
      <c r="AU181" s="1809">
        <v>325.9</v>
      </c>
      <c r="AV181" s="1765"/>
      <c r="AW181" s="1808"/>
      <c r="AX181" s="1765"/>
      <c r="BO181" t="s">
        <v>1787</v>
      </c>
    </row>
    <row r="182" ht="18" customHeight="1" spans="18:50" x14ac:dyDescent="0.25">
      <c r="R182" s="1949">
        <v>2003</v>
      </c>
      <c r="S182" s="1763">
        <v>6.253833840199949</v>
      </c>
      <c r="T182" s="1765"/>
      <c r="U182" s="1811">
        <v>7.227860274382953</v>
      </c>
      <c r="V182" s="1765"/>
      <c r="W182" s="1950">
        <v>0</v>
      </c>
      <c r="X182" s="1765"/>
      <c r="AR182" s="1759">
        <v>1999</v>
      </c>
      <c r="AS182" s="1806">
        <f t="shared" si="58"/>
        <v>4823.2329</v>
      </c>
      <c r="AT182" s="1765"/>
      <c r="AU182" s="1809">
        <v>615.5</v>
      </c>
      <c r="AV182" s="1765"/>
      <c r="AW182" s="1808"/>
      <c r="AX182" s="1765"/>
    </row>
    <row r="183" ht="18" customHeight="1" spans="5:50" x14ac:dyDescent="0.25">
      <c r="E183" s="1954" t="s">
        <v>1788</v>
      </c>
      <c r="F183" s="1955"/>
      <c r="G183" s="1955"/>
      <c r="H183" s="1955"/>
      <c r="I183" s="1955"/>
      <c r="J183" s="1955"/>
      <c r="K183" s="1955"/>
      <c r="L183" s="1955"/>
      <c r="M183" s="1955"/>
      <c r="N183" s="1956"/>
      <c r="R183" s="1949">
        <v>2004</v>
      </c>
      <c r="S183" s="1763">
        <v>6.9855323995033425</v>
      </c>
      <c r="T183" s="1765"/>
      <c r="U183" s="1811">
        <v>8.69186996402742</v>
      </c>
      <c r="V183" s="1765"/>
      <c r="W183" s="1950">
        <v>0</v>
      </c>
      <c r="X183" s="1765"/>
      <c r="AR183" s="1759">
        <v>2000</v>
      </c>
      <c r="AS183" s="1806">
        <f t="shared" si="58"/>
        <v>7305.6466</v>
      </c>
      <c r="AT183" s="1765"/>
      <c r="AU183" s="1809">
        <v>1132.1</v>
      </c>
      <c r="AV183" s="1765"/>
      <c r="AW183" s="1808"/>
      <c r="AX183" s="1765"/>
    </row>
    <row r="184" ht="18" customHeight="1" spans="5:50" x14ac:dyDescent="0.25">
      <c r="E184" s="1957" t="s">
        <v>1789</v>
      </c>
      <c r="F184" s="1958"/>
      <c r="G184" s="1958"/>
      <c r="H184" s="1958"/>
      <c r="I184" s="1958"/>
      <c r="J184" s="1958"/>
      <c r="K184" s="1958"/>
      <c r="L184" s="1958"/>
      <c r="M184" s="1958"/>
      <c r="N184" s="685"/>
      <c r="R184" s="1949">
        <v>2005</v>
      </c>
      <c r="S184" s="1763">
        <v>7.746955431049207</v>
      </c>
      <c r="T184" s="1765"/>
      <c r="U184" s="1811">
        <v>10.36760974912887</v>
      </c>
      <c r="V184" s="1765"/>
      <c r="W184" s="1950">
        <v>0</v>
      </c>
      <c r="X184" s="1765"/>
      <c r="AR184" s="1759">
        <v>2001</v>
      </c>
      <c r="AS184" s="1806">
        <f t="shared" si="58"/>
        <v>8943.5826</v>
      </c>
      <c r="AT184" s="1765"/>
      <c r="AU184" s="1809">
        <v>1594</v>
      </c>
      <c r="AV184" s="1765"/>
      <c r="AW184" s="1808"/>
      <c r="AX184" s="1765"/>
    </row>
    <row r="185" ht="18" customHeight="1" spans="5:50" x14ac:dyDescent="0.25">
      <c r="E185" s="1957" t="s">
        <v>1790</v>
      </c>
      <c r="F185" s="1958"/>
      <c r="G185" s="1958"/>
      <c r="H185" s="1958"/>
      <c r="I185" s="1958"/>
      <c r="J185" s="1958"/>
      <c r="K185" s="1958"/>
      <c r="L185" s="1958"/>
      <c r="M185" s="1958"/>
      <c r="N185" s="685"/>
      <c r="R185" s="1949">
        <v>2006</v>
      </c>
      <c r="S185" s="1763">
        <v>8.444181419843636</v>
      </c>
      <c r="T185" s="1765"/>
      <c r="U185" s="1811">
        <v>11.935242035159135</v>
      </c>
      <c r="V185" s="1815"/>
      <c r="W185" s="1950">
        <v>0</v>
      </c>
      <c r="X185" s="1815"/>
      <c r="AR185" s="1759">
        <v>2002</v>
      </c>
      <c r="AS185" s="1806">
        <f t="shared" si="58"/>
        <v>10819.270899999998</v>
      </c>
      <c r="AT185" s="1765"/>
      <c r="AU185" s="1809">
        <v>2204.7</v>
      </c>
      <c r="AV185" s="1765"/>
      <c r="AW185" s="1808"/>
      <c r="AX185" s="1765"/>
    </row>
    <row r="186" ht="18" customHeight="1" spans="5:50" x14ac:dyDescent="0.25">
      <c r="E186" s="1957"/>
      <c r="F186" s="15"/>
      <c r="G186" s="1959">
        <v>2000</v>
      </c>
      <c r="H186" s="1959">
        <v>2005</v>
      </c>
      <c r="I186" s="1959">
        <v>2008</v>
      </c>
      <c r="J186" s="1959">
        <v>2009</v>
      </c>
      <c r="K186" s="1959">
        <v>2010</v>
      </c>
      <c r="L186" s="1959">
        <v>2011</v>
      </c>
      <c r="M186" s="1959">
        <v>2012</v>
      </c>
      <c r="N186" s="1960">
        <v>2013</v>
      </c>
      <c r="R186" s="1949">
        <v>2007</v>
      </c>
      <c r="S186" s="1763">
        <v>9.446505754379075</v>
      </c>
      <c r="T186" s="1765"/>
      <c r="U186" s="1811">
        <v>13.587224630705832</v>
      </c>
      <c r="V186" s="1764"/>
      <c r="W186" s="1950">
        <v>0</v>
      </c>
      <c r="X186" s="1764"/>
      <c r="AR186" s="1759">
        <v>2003</v>
      </c>
      <c r="AS186" s="1806">
        <f t="shared" si="58"/>
        <v>13208.250299999998</v>
      </c>
      <c r="AT186" s="1765"/>
      <c r="AU186" s="1809">
        <v>2586.2</v>
      </c>
      <c r="AV186" s="1765"/>
      <c r="AW186" s="1808"/>
      <c r="AX186" s="1765"/>
    </row>
    <row r="187" ht="18" customHeight="1" spans="5:67" x14ac:dyDescent="0.25">
      <c r="E187" s="1957" t="s">
        <v>1791</v>
      </c>
      <c r="F187" s="24"/>
      <c r="G187" s="1958">
        <v>100</v>
      </c>
      <c r="H187" s="1958">
        <v>100</v>
      </c>
      <c r="I187" s="1958">
        <v>100</v>
      </c>
      <c r="J187" s="1958">
        <v>100</v>
      </c>
      <c r="K187" s="1958">
        <v>100</v>
      </c>
      <c r="L187" s="1958">
        <v>100</v>
      </c>
      <c r="M187" s="1958">
        <v>100</v>
      </c>
      <c r="N187" s="1961">
        <v>100</v>
      </c>
      <c r="R187" s="1949">
        <v>2008</v>
      </c>
      <c r="S187" s="1763">
        <v>10.701001718560617</v>
      </c>
      <c r="T187" s="1765"/>
      <c r="U187" s="1811">
        <v>16.03475716499792</v>
      </c>
      <c r="V187" s="1764"/>
      <c r="W187" s="1950">
        <v>0</v>
      </c>
      <c r="X187" s="1764"/>
      <c r="AR187" s="1759">
        <v>2004</v>
      </c>
      <c r="AS187" s="1806">
        <f t="shared" si="58"/>
        <v>17027.166999999998</v>
      </c>
      <c r="AT187" s="1765"/>
      <c r="AU187" s="1809">
        <v>3428.9</v>
      </c>
      <c r="AV187" s="1765"/>
      <c r="AW187" s="1808"/>
      <c r="AX187" s="1765"/>
      <c r="BO187" t="e">
        <f>(AX198-AV198)/AX198</f>
        <v>#REF!</v>
      </c>
    </row>
    <row r="188" ht="18" customHeight="1" spans="5:50" x14ac:dyDescent="0.25">
      <c r="E188" s="1957" t="s">
        <v>1792</v>
      </c>
      <c r="F188" s="24"/>
      <c r="G188" s="1958"/>
      <c r="H188" s="1958"/>
      <c r="I188" s="1958"/>
      <c r="J188" s="1958"/>
      <c r="K188" s="1958"/>
      <c r="L188" s="1958"/>
      <c r="M188" s="1958"/>
      <c r="N188" s="1961"/>
      <c r="R188" s="1949">
        <v>2009</v>
      </c>
      <c r="S188" s="1763">
        <v>11.642689869793951</v>
      </c>
      <c r="T188" s="1765"/>
      <c r="U188" s="1811">
        <v>16.368494611949213</v>
      </c>
      <c r="V188" s="1764"/>
      <c r="W188" s="1950">
        <v>0</v>
      </c>
      <c r="X188" s="1764"/>
      <c r="AR188" s="1759">
        <v>2005</v>
      </c>
      <c r="AS188" s="1806">
        <f t="shared" si="58"/>
        <v>21609.765799999997</v>
      </c>
      <c r="AT188" s="1765"/>
      <c r="AU188" s="1809">
        <v>5127.2</v>
      </c>
      <c r="AV188" s="1765"/>
      <c r="AW188" s="1808"/>
      <c r="AX188" s="1765"/>
    </row>
    <row r="189" ht="18" customHeight="1" spans="5:50" x14ac:dyDescent="0.25">
      <c r="E189" s="1957" t="s">
        <v>1793</v>
      </c>
      <c r="F189" s="24"/>
      <c r="G189" s="1958">
        <v>47.5</v>
      </c>
      <c r="H189" s="1958">
        <v>44.5</v>
      </c>
      <c r="I189" s="1958">
        <v>39.5</v>
      </c>
      <c r="J189" s="1958">
        <v>37.1</v>
      </c>
      <c r="K189" s="1958">
        <v>41</v>
      </c>
      <c r="L189" s="1958">
        <v>41.9</v>
      </c>
      <c r="M189" s="1958">
        <v>44.5</v>
      </c>
      <c r="N189" s="1961">
        <v>46.1</v>
      </c>
      <c r="R189" s="1949">
        <v>2010</v>
      </c>
      <c r="S189" s="1763">
        <v>12.664918040361862</v>
      </c>
      <c r="T189" s="1765"/>
      <c r="U189" s="1811">
        <v>18.69136533556666</v>
      </c>
      <c r="V189" s="1764"/>
      <c r="W189" s="1950">
        <v>0</v>
      </c>
      <c r="X189" s="1764"/>
      <c r="AR189" s="1759">
        <v>2006</v>
      </c>
      <c r="AS189" s="1806">
        <f t="shared" si="58"/>
        <v>26917.2037</v>
      </c>
      <c r="AT189" s="1815"/>
      <c r="AU189" s="1809">
        <v>6278.9</v>
      </c>
      <c r="AV189" s="1815"/>
      <c r="AW189" s="1808"/>
      <c r="AX189" s="1815"/>
    </row>
    <row r="190" ht="18" customHeight="1" spans="5:50" x14ac:dyDescent="0.25">
      <c r="E190" s="1957" t="s">
        <v>1794</v>
      </c>
      <c r="F190" s="24"/>
      <c r="G190" s="1958">
        <v>52.5</v>
      </c>
      <c r="H190" s="1958">
        <v>55.5</v>
      </c>
      <c r="I190" s="1958">
        <v>60.5</v>
      </c>
      <c r="J190" s="1958">
        <v>62.9</v>
      </c>
      <c r="K190" s="1958">
        <v>59</v>
      </c>
      <c r="L190" s="1958">
        <v>58.1</v>
      </c>
      <c r="M190" s="1958">
        <v>55.5</v>
      </c>
      <c r="N190" s="1961">
        <v>53.9</v>
      </c>
      <c r="R190" s="1949">
        <v>2011</v>
      </c>
      <c r="S190" s="1763">
        <v>13.437478040823935</v>
      </c>
      <c r="T190" s="1764"/>
      <c r="U190" s="1811">
        <v>23.32851881806769</v>
      </c>
      <c r="V190" s="1764"/>
      <c r="W190" s="1950">
        <v>0</v>
      </c>
      <c r="X190" s="1764"/>
      <c r="AR190" s="1759">
        <v>2007</v>
      </c>
      <c r="AS190" s="1806">
        <f t="shared" si="58"/>
        <v>33247.5132</v>
      </c>
      <c r="AT190" s="1764"/>
      <c r="AU190" s="1809">
        <v>7781.1</v>
      </c>
      <c r="AV190" s="1764"/>
      <c r="AW190" s="1808"/>
      <c r="AX190" s="1764"/>
    </row>
    <row r="191" ht="18" customHeight="1" spans="5:50" x14ac:dyDescent="0.25">
      <c r="E191" s="1957" t="s">
        <v>1795</v>
      </c>
      <c r="F191" s="24"/>
      <c r="G191" s="1958"/>
      <c r="H191" s="1958"/>
      <c r="I191" s="1958"/>
      <c r="J191" s="1958"/>
      <c r="K191" s="1958"/>
      <c r="L191" s="1958"/>
      <c r="M191" s="1958"/>
      <c r="N191" s="1961"/>
      <c r="R191" s="1949">
        <v>2012</v>
      </c>
      <c r="S191" s="1763">
        <v>14.321664095910151</v>
      </c>
      <c r="T191" s="1764"/>
      <c r="U191" s="1811">
        <v>25.448132013167307</v>
      </c>
      <c r="V191" s="1764"/>
      <c r="W191" s="1950">
        <v>0</v>
      </c>
      <c r="X191" s="1764"/>
      <c r="AR191" s="1759">
        <v>2008</v>
      </c>
      <c r="AS191" s="1806">
        <f t="shared" si="58"/>
        <v>41276.8492</v>
      </c>
      <c r="AT191" s="1764"/>
      <c r="AU191" s="1809">
        <v>9275.9</v>
      </c>
      <c r="AV191" s="1764"/>
      <c r="AW191" s="1809"/>
      <c r="AX191" s="1764"/>
    </row>
    <row r="192" ht="18" customHeight="1" spans="5:50" x14ac:dyDescent="0.25">
      <c r="E192" s="1957" t="s">
        <v>1796</v>
      </c>
      <c r="F192" s="24"/>
      <c r="G192" s="1958">
        <v>2.9</v>
      </c>
      <c r="H192" s="1958">
        <v>8.1</v>
      </c>
      <c r="I192" s="1958">
        <v>11.8</v>
      </c>
      <c r="J192" s="1958">
        <v>10.3</v>
      </c>
      <c r="K192" s="1958">
        <v>9</v>
      </c>
      <c r="L192" s="1958">
        <v>8.6</v>
      </c>
      <c r="M192" s="1958">
        <v>8.4</v>
      </c>
      <c r="N192" s="1961">
        <v>9.3</v>
      </c>
      <c r="R192" s="1949">
        <v>2013</v>
      </c>
      <c r="S192" s="1763">
        <v>15.245411430096356</v>
      </c>
      <c r="T192" s="1764"/>
      <c r="U192" s="1814">
        <v>26.82470761987901</v>
      </c>
      <c r="V192" s="1764"/>
      <c r="W192" s="1950">
        <v>0</v>
      </c>
      <c r="X192" s="1764"/>
      <c r="AR192" s="1759">
        <v>2009</v>
      </c>
      <c r="AS192" s="1806">
        <f t="shared" si="58"/>
        <v>38807.270899999996</v>
      </c>
      <c r="AT192" s="1764"/>
      <c r="AU192" s="1809">
        <v>7337.8</v>
      </c>
      <c r="AV192" s="1764"/>
      <c r="AW192" s="1809"/>
      <c r="AX192" s="1764"/>
    </row>
    <row r="193" ht="18" customHeight="1" spans="5:50" x14ac:dyDescent="0.25">
      <c r="E193" s="1957" t="s">
        <v>1797</v>
      </c>
      <c r="F193" s="24"/>
      <c r="G193" s="1958">
        <v>0.6</v>
      </c>
      <c r="H193" s="1958">
        <v>1</v>
      </c>
      <c r="I193" s="1958">
        <v>3</v>
      </c>
      <c r="J193" s="1958">
        <v>3.2</v>
      </c>
      <c r="K193" s="1958">
        <v>2.3</v>
      </c>
      <c r="L193" s="1958">
        <v>1.8</v>
      </c>
      <c r="M193" s="1958">
        <v>1.2</v>
      </c>
      <c r="N193" s="1961">
        <v>0.9</v>
      </c>
      <c r="R193" s="1949">
        <v>2014</v>
      </c>
      <c r="S193" s="1763">
        <v>17.31878738458946</v>
      </c>
      <c r="T193" s="1764"/>
      <c r="U193" s="1814">
        <v>28.78517263207585</v>
      </c>
      <c r="V193" s="1764"/>
      <c r="W193" s="1950">
        <v>0</v>
      </c>
      <c r="X193" s="1764"/>
      <c r="AR193" s="1759">
        <v>2010</v>
      </c>
      <c r="AS193" s="1806">
        <f t="shared" si="58"/>
        <v>46308.53100000001</v>
      </c>
      <c r="AT193" s="1764"/>
      <c r="AU193" s="1809">
        <v>8305.4</v>
      </c>
      <c r="AV193" s="1764"/>
      <c r="AW193" s="1809"/>
      <c r="AX193" s="1764"/>
    </row>
    <row r="194" ht="18" customHeight="1" spans="5:50" x14ac:dyDescent="0.25">
      <c r="E194" s="1957" t="s">
        <v>1798</v>
      </c>
      <c r="F194" s="24"/>
      <c r="G194" s="1958"/>
      <c r="H194" s="1958"/>
      <c r="I194" s="1958"/>
      <c r="J194" s="1958"/>
      <c r="K194" s="1958"/>
      <c r="L194" s="1958"/>
      <c r="M194" s="1958"/>
      <c r="N194" s="1961"/>
      <c r="R194" s="1949">
        <v>2015</v>
      </c>
      <c r="S194" s="1763">
        <v>19.5529109572015</v>
      </c>
      <c r="T194" s="1764"/>
      <c r="U194" s="1814">
        <v>30.966851255246702</v>
      </c>
      <c r="V194" s="1764"/>
      <c r="W194" s="1950">
        <v>0</v>
      </c>
      <c r="AR194" s="1759">
        <v>2011</v>
      </c>
      <c r="AS194" s="1806">
        <f t="shared" si="58"/>
        <v>60282.540400000005</v>
      </c>
      <c r="AT194" s="1764"/>
      <c r="AU194" s="1809">
        <v>11366</v>
      </c>
      <c r="AV194" s="1764"/>
      <c r="AW194" s="1809"/>
      <c r="AX194" s="1764"/>
    </row>
    <row r="195" ht="20.5" customHeight="1" spans="5:50" x14ac:dyDescent="0.25">
      <c r="E195" s="1957" t="s">
        <v>1799</v>
      </c>
      <c r="F195" s="24"/>
      <c r="G195" s="1958">
        <v>7.2</v>
      </c>
      <c r="H195" s="1958">
        <v>5.9</v>
      </c>
      <c r="I195" s="1958">
        <v>6.2</v>
      </c>
      <c r="J195" s="1958">
        <v>7.4</v>
      </c>
      <c r="K195" s="1958">
        <v>6.1</v>
      </c>
      <c r="L195" s="1958">
        <v>5.8</v>
      </c>
      <c r="M195" s="1958">
        <v>6.1</v>
      </c>
      <c r="N195" s="1961">
        <v>6.2</v>
      </c>
      <c r="Q195" s="59" t="e">
        <f>(T195-1.2294)/0.5934</f>
        <v>#REF!</v>
      </c>
      <c r="R195" s="1949">
        <v>2016</v>
      </c>
      <c r="S195" s="1763"/>
      <c r="T195" s="1764" t="e">
        <f>НАСТРОЙКА!#REF!</f>
        <v>#REF!</v>
      </c>
      <c r="U195" s="1814"/>
      <c r="V195" s="1764" t="e">
        <f t="array" ref="V195:V209">TRANSPOSE(СЧЁТ!#REF!)</f>
        <v>#REF!</v>
      </c>
      <c r="W195" s="1817"/>
      <c r="X195" s="1950">
        <v>48</v>
      </c>
      <c r="AR195" s="1759">
        <v>2012</v>
      </c>
      <c r="AS195" s="1806">
        <f t="shared" si="58"/>
        <v>68163.8831</v>
      </c>
      <c r="AT195" s="1764"/>
      <c r="AU195" s="1809">
        <v>12853.7</v>
      </c>
      <c r="AV195" s="1764"/>
      <c r="AW195" s="1808"/>
      <c r="AX195" s="1764"/>
    </row>
    <row r="196" ht="20.5" customHeight="1" spans="5:50" x14ac:dyDescent="0.25">
      <c r="E196" s="1957" t="s">
        <v>1800</v>
      </c>
      <c r="F196" s="24"/>
      <c r="G196" s="1958">
        <v>22</v>
      </c>
      <c r="H196" s="1958">
        <v>20.4</v>
      </c>
      <c r="I196" s="1958">
        <v>20.9</v>
      </c>
      <c r="J196" s="1958">
        <v>21.9</v>
      </c>
      <c r="K196" s="1958">
        <v>19.5</v>
      </c>
      <c r="L196" s="1958">
        <v>19.2</v>
      </c>
      <c r="M196" s="1958">
        <v>17.9</v>
      </c>
      <c r="N196" s="1961">
        <v>18.8</v>
      </c>
      <c r="Q196" s="59" t="e">
        <f t="shared" ref="Q196:Q209" si="59">(T196-1.2294)/0.5934</f>
        <v>#REF!</v>
      </c>
      <c r="R196" s="1949">
        <v>2017</v>
      </c>
      <c r="S196" s="1763"/>
      <c r="T196" s="1764" t="e">
        <f>НАСТРОЙКА!#REF!</f>
        <v>#REF!</v>
      </c>
      <c r="U196" s="1814"/>
      <c r="V196" s="1764" t="e">
        <v>#REF!</v>
      </c>
      <c r="W196" s="1817"/>
      <c r="X196" s="1950">
        <v>45</v>
      </c>
      <c r="AR196" s="1759">
        <v>2013</v>
      </c>
      <c r="AS196" s="1806">
        <f t="shared" si="58"/>
        <v>73133.89509999998</v>
      </c>
      <c r="AT196" s="1764"/>
      <c r="AU196" s="1809">
        <v>13019</v>
      </c>
      <c r="AV196" s="1764"/>
      <c r="AW196" s="1808"/>
      <c r="AX196" s="1764"/>
    </row>
    <row r="197" ht="20.5" customHeight="1" spans="5:50" x14ac:dyDescent="0.25">
      <c r="E197" s="1957" t="s">
        <v>1501</v>
      </c>
      <c r="F197" s="24"/>
      <c r="G197" s="1958"/>
      <c r="H197" s="1958"/>
      <c r="I197" s="1958"/>
      <c r="J197" s="1958"/>
      <c r="K197" s="1958"/>
      <c r="L197" s="1958"/>
      <c r="M197" s="1958"/>
      <c r="N197" s="1961"/>
      <c r="Q197" s="59" t="e">
        <f t="shared" si="59"/>
        <v>#REF!</v>
      </c>
      <c r="R197" s="1949">
        <v>2018</v>
      </c>
      <c r="S197" s="1763"/>
      <c r="T197" s="1764" t="e">
        <f>НАСТРОЙКА!#REF!</f>
        <v>#REF!</v>
      </c>
      <c r="U197" s="1814"/>
      <c r="V197" s="1764" t="e">
        <v>#REF!</v>
      </c>
      <c r="W197" s="1817"/>
      <c r="X197" s="1950">
        <v>45</v>
      </c>
      <c r="AR197" s="1759">
        <v>2014</v>
      </c>
      <c r="AS197" s="1806"/>
      <c r="AT197" s="1816" t="e">
        <f t="shared" ref="AT197:AT213" si="60">DB79</f>
        <v>#REF!</v>
      </c>
      <c r="AU197" s="1814"/>
      <c r="AV197" s="1962" t="e">
        <f>0.2039*AT197-23.995</f>
        <v>#REF!</v>
      </c>
      <c r="AW197" s="1831">
        <f>AX197/0.185</f>
        <v>73354.05405405405</v>
      </c>
      <c r="AX197" s="1765">
        <v>13570.5</v>
      </c>
    </row>
    <row r="198" ht="20.5" customHeight="1" spans="5:50" x14ac:dyDescent="0.25">
      <c r="E198" s="1957" t="s">
        <v>1801</v>
      </c>
      <c r="F198" s="24"/>
      <c r="G198" s="1958">
        <v>6</v>
      </c>
      <c r="H198" s="1958">
        <v>7</v>
      </c>
      <c r="I198" s="1958">
        <v>8</v>
      </c>
      <c r="J198" s="1958">
        <v>11.5</v>
      </c>
      <c r="K198" s="1958">
        <v>10</v>
      </c>
      <c r="L198" s="1958">
        <v>10.1</v>
      </c>
      <c r="M198" s="1958">
        <v>9.7</v>
      </c>
      <c r="N198" s="1961">
        <v>9.8</v>
      </c>
      <c r="Q198" s="59" t="e">
        <f t="shared" si="59"/>
        <v>#REF!</v>
      </c>
      <c r="R198" s="1949">
        <v>2019</v>
      </c>
      <c r="S198" s="1763"/>
      <c r="T198" s="1764" t="e">
        <f>НАСТРОЙКА!#REF!</f>
        <v>#REF!</v>
      </c>
      <c r="U198" s="1814"/>
      <c r="V198" s="1764" t="e">
        <v>#REF!</v>
      </c>
      <c r="W198" s="1817"/>
      <c r="X198" s="1950" t="e">
        <f>T198+18</f>
        <v>#REF!</v>
      </c>
      <c r="AR198" s="1759">
        <v>2015</v>
      </c>
      <c r="AS198" s="1806"/>
      <c r="AT198" s="1963" t="e">
        <f t="shared" si="60"/>
        <v>#REF!</v>
      </c>
      <c r="AU198" s="1964"/>
      <c r="AV198" s="1965" t="e">
        <f t="shared" ref="AV198:AV213" si="61">0.2039*AT198-23.995</f>
        <v>#REF!</v>
      </c>
      <c r="AW198" s="1814">
        <f>AX198/0.183</f>
        <v>79587.43169398907</v>
      </c>
      <c r="AX198" s="1807">
        <v>14564.5</v>
      </c>
    </row>
    <row r="199" ht="20.5" customHeight="1" spans="5:50" x14ac:dyDescent="0.25">
      <c r="E199" s="1957" t="s">
        <v>1802</v>
      </c>
      <c r="F199" s="24"/>
      <c r="G199" s="1958"/>
      <c r="H199" s="1958"/>
      <c r="I199" s="1958"/>
      <c r="J199" s="1958"/>
      <c r="K199" s="1958"/>
      <c r="L199" s="1958"/>
      <c r="M199" s="1958"/>
      <c r="N199" s="1961"/>
      <c r="Q199" s="59" t="e">
        <f t="shared" si="59"/>
        <v>#REF!</v>
      </c>
      <c r="R199" s="1949">
        <v>2020</v>
      </c>
      <c r="S199" s="1763"/>
      <c r="T199" s="1764" t="e">
        <f>НАСТРОЙКА!#REF!</f>
        <v>#REF!</v>
      </c>
      <c r="U199" s="1814"/>
      <c r="V199" s="1764" t="e">
        <v>#REF!</v>
      </c>
      <c r="W199" s="1817"/>
      <c r="X199" s="1950" t="e">
        <f t="shared" ref="X199:X209" si="62">T199+18</f>
        <v>#REF!</v>
      </c>
      <c r="AR199" s="1759">
        <v>2016</v>
      </c>
      <c r="AS199" s="1806"/>
      <c r="AT199" s="1966" t="e">
        <f t="shared" si="60"/>
        <v>#REF!</v>
      </c>
      <c r="AU199" s="1814"/>
      <c r="AV199" s="1962" t="e">
        <f t="shared" si="61"/>
        <v>#REF!</v>
      </c>
      <c r="AW199" s="1814">
        <f>AX199/0.183</f>
        <v>86916.39344262295</v>
      </c>
      <c r="AX199" s="1765">
        <v>15905.7</v>
      </c>
    </row>
    <row r="200" ht="20.5" customHeight="1" spans="5:50" x14ac:dyDescent="0.25">
      <c r="E200" s="1957" t="s">
        <v>1803</v>
      </c>
      <c r="F200" s="24"/>
      <c r="G200" s="1958">
        <v>14.3</v>
      </c>
      <c r="H200" s="1958">
        <v>12.3</v>
      </c>
      <c r="I200" s="1958">
        <v>11.3</v>
      </c>
      <c r="J200" s="1958">
        <v>9.2</v>
      </c>
      <c r="K200" s="1958">
        <v>8.2</v>
      </c>
      <c r="L200" s="1958">
        <v>7.9</v>
      </c>
      <c r="M200" s="1958">
        <v>7.1</v>
      </c>
      <c r="N200" s="1961">
        <v>7.7</v>
      </c>
      <c r="Q200" s="59" t="e">
        <f t="shared" si="59"/>
        <v>#REF!</v>
      </c>
      <c r="R200" s="1949">
        <v>2021</v>
      </c>
      <c r="S200" s="1763"/>
      <c r="T200" s="1764" t="e">
        <f>НАСТРОЙКА!#REF!</f>
        <v>#REF!</v>
      </c>
      <c r="U200" s="1814"/>
      <c r="V200" s="1764" t="e">
        <v>#REF!</v>
      </c>
      <c r="W200" s="1817"/>
      <c r="X200" s="1950" t="e">
        <f t="shared" si="62"/>
        <v>#REF!</v>
      </c>
      <c r="AR200" s="1759">
        <v>2017</v>
      </c>
      <c r="AS200" s="1806"/>
      <c r="AT200" s="1967" t="e">
        <f t="shared" si="60"/>
        <v>#REF!</v>
      </c>
      <c r="AU200" s="1820"/>
      <c r="AV200" s="1968" t="e">
        <f t="shared" si="61"/>
        <v>#REF!</v>
      </c>
      <c r="AW200" s="1820"/>
      <c r="AX200" s="1780"/>
    </row>
    <row r="201" ht="20.5" customHeight="1" spans="5:50" x14ac:dyDescent="0.25">
      <c r="E201" s="1957" t="s">
        <v>1804</v>
      </c>
      <c r="F201" s="24"/>
      <c r="G201" s="1958" t="s">
        <v>1805</v>
      </c>
      <c r="H201" s="1958" t="s">
        <v>1805</v>
      </c>
      <c r="I201" s="1958" t="s">
        <v>1805</v>
      </c>
      <c r="J201" s="1958" t="s">
        <v>1805</v>
      </c>
      <c r="K201" s="1958" t="s">
        <v>1805</v>
      </c>
      <c r="L201" s="1958" t="s">
        <v>1805</v>
      </c>
      <c r="M201" s="1958">
        <v>1.1</v>
      </c>
      <c r="N201" s="1961">
        <v>1.3</v>
      </c>
      <c r="Q201" s="1969" t="e">
        <f t="shared" si="59"/>
        <v>#REF!</v>
      </c>
      <c r="R201" s="1949">
        <v>2022</v>
      </c>
      <c r="S201" s="1763"/>
      <c r="T201" s="1764" t="e">
        <f>НАСТРОЙКА!#REF!</f>
        <v>#REF!</v>
      </c>
      <c r="U201" s="1814"/>
      <c r="V201" s="1764" t="e">
        <v>#REF!</v>
      </c>
      <c r="W201" s="1817"/>
      <c r="X201" s="1950" t="e">
        <f t="shared" si="62"/>
        <v>#REF!</v>
      </c>
      <c r="AR201" s="1759">
        <v>2018</v>
      </c>
      <c r="AS201" s="1806"/>
      <c r="AT201" s="1816" t="e">
        <f t="shared" si="60"/>
        <v>#REF!</v>
      </c>
      <c r="AU201" s="1814"/>
      <c r="AV201" s="1962" t="e">
        <f t="shared" si="61"/>
        <v>#REF!</v>
      </c>
      <c r="AW201" s="1814"/>
      <c r="AX201" s="1765"/>
    </row>
    <row r="202" ht="20.5" customHeight="1" spans="5:50" x14ac:dyDescent="0.25">
      <c r="E202" s="1957" t="s">
        <v>1806</v>
      </c>
      <c r="F202" s="24"/>
      <c r="G202" s="1958">
        <v>4.8</v>
      </c>
      <c r="H202" s="1958">
        <v>0.5</v>
      </c>
      <c r="I202" s="1958">
        <v>0.4</v>
      </c>
      <c r="J202" s="1958">
        <v>0.3</v>
      </c>
      <c r="K202" s="1958">
        <v>0.3</v>
      </c>
      <c r="L202" s="1958">
        <v>0.2</v>
      </c>
      <c r="M202" s="1958">
        <v>0.4</v>
      </c>
      <c r="N202" s="1961">
        <v>0.3</v>
      </c>
      <c r="Q202" s="59" t="e">
        <f t="shared" si="59"/>
        <v>#REF!</v>
      </c>
      <c r="R202" s="1949">
        <v>2023</v>
      </c>
      <c r="S202" s="1763"/>
      <c r="T202" s="1764" t="e">
        <f>НАСТРОЙКА!#REF!</f>
        <v>#REF!</v>
      </c>
      <c r="U202" s="1814"/>
      <c r="V202" s="1764" t="e">
        <v>#REF!</v>
      </c>
      <c r="W202" s="1817"/>
      <c r="X202" s="1950" t="e">
        <f t="shared" si="62"/>
        <v>#REF!</v>
      </c>
      <c r="AR202" s="1759">
        <v>2019</v>
      </c>
      <c r="AS202" s="1806"/>
      <c r="AT202" s="1816" t="e">
        <f t="shared" si="60"/>
        <v>#REF!</v>
      </c>
      <c r="AU202" s="1814"/>
      <c r="AV202" s="1962" t="e">
        <f t="shared" si="61"/>
        <v>#REF!</v>
      </c>
      <c r="AW202" s="1814"/>
      <c r="AX202" s="1765"/>
    </row>
    <row r="203" ht="20.5" customHeight="1" spans="5:50" x14ac:dyDescent="0.25">
      <c r="E203" s="1957" t="s">
        <v>1807</v>
      </c>
      <c r="F203" s="24"/>
      <c r="G203" s="1958"/>
      <c r="H203" s="1958"/>
      <c r="I203" s="1958"/>
      <c r="J203" s="1958"/>
      <c r="K203" s="1958"/>
      <c r="L203" s="1958"/>
      <c r="M203" s="1958"/>
      <c r="N203" s="1961"/>
      <c r="Q203" s="59" t="e">
        <f t="shared" si="59"/>
        <v>#REF!</v>
      </c>
      <c r="R203" s="1949">
        <v>2024</v>
      </c>
      <c r="S203" s="1763"/>
      <c r="T203" s="1764" t="e">
        <f>НАСТРОЙКА!#REF!</f>
        <v>#REF!</v>
      </c>
      <c r="U203" s="1814"/>
      <c r="V203" s="1764" t="e">
        <v>#REF!</v>
      </c>
      <c r="W203" s="1817"/>
      <c r="X203" s="1950" t="e">
        <f t="shared" si="62"/>
        <v>#REF!</v>
      </c>
      <c r="AR203" s="1759">
        <v>2020</v>
      </c>
      <c r="AS203" s="1806"/>
      <c r="AT203" s="1816" t="e">
        <f t="shared" si="60"/>
        <v>#REF!</v>
      </c>
      <c r="AU203" s="1814"/>
      <c r="AV203" s="1962" t="e">
        <f t="shared" si="61"/>
        <v>#REF!</v>
      </c>
      <c r="AW203" s="1814"/>
      <c r="AX203" s="1765"/>
    </row>
    <row r="204" ht="20.5" customHeight="1" spans="5:50" x14ac:dyDescent="0.25">
      <c r="E204" s="1957" t="s">
        <v>1808</v>
      </c>
      <c r="F204" s="24"/>
      <c r="G204" s="1958" t="s">
        <v>1809</v>
      </c>
      <c r="H204" s="1958">
        <v>3.8</v>
      </c>
      <c r="I204" s="1958">
        <v>3.5</v>
      </c>
      <c r="J204" s="1958">
        <v>2.6</v>
      </c>
      <c r="K204" s="1958">
        <v>2.2</v>
      </c>
      <c r="L204" s="1958">
        <v>2</v>
      </c>
      <c r="M204" s="1958">
        <v>2.7</v>
      </c>
      <c r="N204" s="1961">
        <v>3</v>
      </c>
      <c r="Q204" s="59" t="e">
        <f t="shared" si="59"/>
        <v>#REF!</v>
      </c>
      <c r="R204" s="1949">
        <v>2025</v>
      </c>
      <c r="S204" s="1763"/>
      <c r="T204" s="1764" t="e">
        <f>НАСТРОЙКА!#REF!</f>
        <v>#REF!</v>
      </c>
      <c r="U204" s="1814"/>
      <c r="V204" s="1764" t="e">
        <v>#REF!</v>
      </c>
      <c r="W204" s="1817"/>
      <c r="X204" s="1950" t="e">
        <f t="shared" si="62"/>
        <v>#REF!</v>
      </c>
      <c r="AR204" s="1759">
        <v>2021</v>
      </c>
      <c r="AS204" s="1806"/>
      <c r="AT204" s="1816" t="e">
        <f t="shared" si="60"/>
        <v>#REF!</v>
      </c>
      <c r="AU204" s="1814"/>
      <c r="AV204" s="1962" t="e">
        <f t="shared" si="61"/>
        <v>#REF!</v>
      </c>
      <c r="AW204" s="1814"/>
      <c r="AX204" s="1765"/>
    </row>
    <row r="205" ht="20.5" customHeight="1" spans="5:50" x14ac:dyDescent="0.25">
      <c r="E205" s="1957" t="s">
        <v>1810</v>
      </c>
      <c r="F205" s="24"/>
      <c r="G205" s="1958"/>
      <c r="H205" s="1958"/>
      <c r="I205" s="1958"/>
      <c r="J205" s="1958"/>
      <c r="K205" s="1958"/>
      <c r="L205" s="1958"/>
      <c r="M205" s="1958"/>
      <c r="N205" s="1961"/>
      <c r="Q205" s="59" t="e">
        <f t="shared" si="59"/>
        <v>#REF!</v>
      </c>
      <c r="R205" s="1949">
        <v>2026</v>
      </c>
      <c r="S205" s="1763"/>
      <c r="T205" s="1764" t="e">
        <f>НАСТРОЙКА!#REF!</f>
        <v>#REF!</v>
      </c>
      <c r="U205" s="1814"/>
      <c r="V205" s="1764" t="e">
        <v>#REF!</v>
      </c>
      <c r="W205" s="1817"/>
      <c r="X205" s="1950" t="e">
        <f t="shared" si="62"/>
        <v>#REF!</v>
      </c>
      <c r="AR205" s="1759">
        <v>2022</v>
      </c>
      <c r="AS205" s="1806"/>
      <c r="AT205" s="1816" t="e">
        <f t="shared" si="60"/>
        <v>#REF!</v>
      </c>
      <c r="AU205" s="1814"/>
      <c r="AV205" s="1962" t="e">
        <f t="shared" si="61"/>
        <v>#REF!</v>
      </c>
      <c r="AW205" s="1814"/>
      <c r="AX205" s="1765"/>
    </row>
    <row r="206" ht="20.5" customHeight="1" spans="5:50" x14ac:dyDescent="0.25">
      <c r="E206" s="1957" t="s">
        <v>1811</v>
      </c>
      <c r="F206" s="24"/>
      <c r="G206" s="1958" t="s">
        <v>1809</v>
      </c>
      <c r="H206" s="1958" t="s">
        <v>1805</v>
      </c>
      <c r="I206" s="1958">
        <v>1.9</v>
      </c>
      <c r="J206" s="1958">
        <v>1.3</v>
      </c>
      <c r="K206" s="1958">
        <v>1.2</v>
      </c>
      <c r="L206" s="1958">
        <v>1.3</v>
      </c>
      <c r="M206" s="1958">
        <v>2.1</v>
      </c>
      <c r="N206" s="1961">
        <v>2.3</v>
      </c>
      <c r="Q206" s="59" t="e">
        <f t="shared" si="59"/>
        <v>#REF!</v>
      </c>
      <c r="R206" s="1949">
        <v>2027</v>
      </c>
      <c r="S206" s="1763"/>
      <c r="T206" s="1764" t="e">
        <f>НАСТРОЙКА!#REF!</f>
        <v>#REF!</v>
      </c>
      <c r="U206" s="1814"/>
      <c r="V206" s="1764" t="e">
        <v>#REF!</v>
      </c>
      <c r="W206" s="1817"/>
      <c r="X206" s="1950" t="e">
        <f t="shared" si="62"/>
        <v>#REF!</v>
      </c>
      <c r="AR206" s="1759">
        <v>2023</v>
      </c>
      <c r="AS206" s="1806"/>
      <c r="AT206" s="1816" t="e">
        <f t="shared" si="60"/>
        <v>#REF!</v>
      </c>
      <c r="AU206" s="1814"/>
      <c r="AV206" s="1962" t="e">
        <f t="shared" si="61"/>
        <v>#REF!</v>
      </c>
      <c r="AW206" s="1814"/>
      <c r="AX206" s="1815"/>
    </row>
    <row r="207" ht="20.5" customHeight="1" spans="5:50" x14ac:dyDescent="0.25">
      <c r="E207" s="1957" t="s">
        <v>1812</v>
      </c>
      <c r="F207" s="24"/>
      <c r="G207" s="1958">
        <v>15.6</v>
      </c>
      <c r="H207" s="1958">
        <v>16.8</v>
      </c>
      <c r="I207" s="1958">
        <v>17.7</v>
      </c>
      <c r="J207" s="1958">
        <v>20.4</v>
      </c>
      <c r="K207" s="1958">
        <v>21.9</v>
      </c>
      <c r="L207" s="1958">
        <v>22.3</v>
      </c>
      <c r="M207" s="1958">
        <v>20</v>
      </c>
      <c r="N207" s="1961">
        <v>16.3</v>
      </c>
      <c r="Q207" s="59" t="e">
        <f t="shared" si="59"/>
        <v>#REF!</v>
      </c>
      <c r="R207" s="1949">
        <v>2028</v>
      </c>
      <c r="S207" s="1763"/>
      <c r="T207" s="1764" t="e">
        <f>НАСТРОЙКА!#REF!</f>
        <v>#REF!</v>
      </c>
      <c r="U207" s="1814"/>
      <c r="V207" s="1764" t="e">
        <v>#REF!</v>
      </c>
      <c r="W207" s="1817"/>
      <c r="X207" s="1950" t="e">
        <f t="shared" si="62"/>
        <v>#REF!</v>
      </c>
      <c r="AR207" s="1759">
        <v>2024</v>
      </c>
      <c r="AS207" s="1806"/>
      <c r="AT207" s="1816" t="e">
        <f t="shared" si="60"/>
        <v>#REF!</v>
      </c>
      <c r="AU207" s="1814"/>
      <c r="AV207" s="1962" t="e">
        <f t="shared" si="61"/>
        <v>#REF!</v>
      </c>
      <c r="AW207" s="1814"/>
      <c r="AX207" s="1815"/>
    </row>
    <row r="208" ht="20.5" customHeight="1" spans="5:50" x14ac:dyDescent="0.25">
      <c r="E208" s="1957" t="s">
        <v>1813</v>
      </c>
      <c r="F208" s="1958"/>
      <c r="G208" s="1958"/>
      <c r="H208" s="1958"/>
      <c r="I208" s="1958"/>
      <c r="J208" s="1958"/>
      <c r="K208" s="1958"/>
      <c r="L208" s="1958"/>
      <c r="M208" s="1958"/>
      <c r="N208" s="685"/>
      <c r="Q208" s="59" t="e">
        <f t="shared" si="59"/>
        <v>#REF!</v>
      </c>
      <c r="R208" s="1949">
        <v>2029</v>
      </c>
      <c r="S208" s="1763"/>
      <c r="T208" s="1764" t="e">
        <f>НАСТРОЙКА!#REF!</f>
        <v>#REF!</v>
      </c>
      <c r="U208" s="1814"/>
      <c r="V208" s="1764" t="e">
        <v>#REF!</v>
      </c>
      <c r="W208" s="1817"/>
      <c r="X208" s="1950" t="e">
        <f t="shared" si="62"/>
        <v>#REF!</v>
      </c>
      <c r="AR208" s="1759">
        <v>2025</v>
      </c>
      <c r="AS208" s="1806"/>
      <c r="AT208" s="1816" t="e">
        <f t="shared" si="60"/>
        <v>#REF!</v>
      </c>
      <c r="AU208" s="1814"/>
      <c r="AV208" s="1962" t="e">
        <f t="shared" si="61"/>
        <v>#REF!</v>
      </c>
      <c r="AW208" s="1814"/>
      <c r="AX208" s="1815"/>
    </row>
    <row r="209" ht="20.5" customHeight="1" spans="5:50" x14ac:dyDescent="0.25">
      <c r="E209" s="1970" t="s">
        <v>1814</v>
      </c>
      <c r="F209" s="1971"/>
      <c r="G209" s="1971"/>
      <c r="H209" s="1971"/>
      <c r="I209" s="1971"/>
      <c r="J209" s="1971"/>
      <c r="K209" s="1971"/>
      <c r="L209" s="1971"/>
      <c r="M209" s="1971"/>
      <c r="N209" s="693"/>
      <c r="Q209" s="59" t="e">
        <f t="shared" si="59"/>
        <v>#REF!</v>
      </c>
      <c r="R209" s="1972">
        <v>2030</v>
      </c>
      <c r="S209" s="1777"/>
      <c r="T209" s="1777" t="e">
        <f>НАСТРОЙКА!#REF!</f>
        <v>#REF!</v>
      </c>
      <c r="U209" s="1820"/>
      <c r="V209" s="1834" t="e">
        <v>#REF!</v>
      </c>
      <c r="W209" s="1831"/>
      <c r="X209" s="1950" t="e">
        <f t="shared" si="62"/>
        <v>#REF!</v>
      </c>
      <c r="AR209" s="1759">
        <v>2026</v>
      </c>
      <c r="AS209" s="1806"/>
      <c r="AT209" s="1816" t="e">
        <f t="shared" si="60"/>
        <v>#REF!</v>
      </c>
      <c r="AU209" s="1814"/>
      <c r="AV209" s="1962" t="e">
        <f t="shared" si="61"/>
        <v>#REF!</v>
      </c>
      <c r="AW209" s="1814"/>
      <c r="AX209" s="1815"/>
    </row>
    <row r="210" ht="18" customHeight="1" spans="44:50" x14ac:dyDescent="0.25">
      <c r="AR210" s="1759">
        <v>2027</v>
      </c>
      <c r="AS210" s="1806"/>
      <c r="AT210" s="1816" t="e">
        <f t="shared" si="60"/>
        <v>#REF!</v>
      </c>
      <c r="AU210" s="1814"/>
      <c r="AV210" s="1962" t="e">
        <f t="shared" si="61"/>
        <v>#REF!</v>
      </c>
      <c r="AW210" s="1814"/>
      <c r="AX210" s="1815"/>
    </row>
    <row r="211" ht="18" customHeight="1" spans="44:50" x14ac:dyDescent="0.25">
      <c r="AR211" s="1759">
        <v>2028</v>
      </c>
      <c r="AS211" s="1806"/>
      <c r="AT211" s="1816" t="e">
        <f t="shared" si="60"/>
        <v>#REF!</v>
      </c>
      <c r="AU211" s="1814"/>
      <c r="AV211" s="1962" t="e">
        <f t="shared" si="61"/>
        <v>#REF!</v>
      </c>
      <c r="AW211" s="1814"/>
      <c r="AX211" s="1815"/>
    </row>
    <row r="212" ht="18" customHeight="1" spans="44:50" x14ac:dyDescent="0.25">
      <c r="AR212" s="1759">
        <v>2029</v>
      </c>
      <c r="AS212" s="1806"/>
      <c r="AT212" s="1816" t="e">
        <f t="shared" si="60"/>
        <v>#REF!</v>
      </c>
      <c r="AU212" s="1814"/>
      <c r="AV212" s="1962" t="e">
        <f t="shared" si="61"/>
        <v>#REF!</v>
      </c>
      <c r="AW212" s="1814"/>
      <c r="AX212" s="1815"/>
    </row>
    <row r="213" ht="18" customHeight="1" spans="44:50" x14ac:dyDescent="0.25">
      <c r="AR213" s="1798">
        <v>2030</v>
      </c>
      <c r="AS213" s="1973"/>
      <c r="AT213" s="1832" t="e">
        <f t="shared" si="60"/>
        <v>#REF!</v>
      </c>
      <c r="AU213" s="1820"/>
      <c r="AV213" s="1968" t="e">
        <f t="shared" si="61"/>
        <v>#REF!</v>
      </c>
      <c r="AW213" s="1820"/>
      <c r="AX213" s="1821"/>
    </row>
  </sheetData>
  <mergeCells count="2">
    <mergeCell ref="X142:AA142"/>
    <mergeCell ref="X144:X145"/>
  </mergeCells>
  <pageMargins left="0.7" right="0.7" top="0.75" bottom="0.75" header="0.3" footer="0.3"/>
  <pageSetup paperSize="9" orientation="landscape" horizontalDpi="4294967295" verticalDpi="4294967295" scale="6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I183"/>
  <sheetViews>
    <sheetView workbookViewId="0" zoomScale="40" zoomScaleNormal="40">
      <selection activeCell="CS102" sqref="CS102"/>
    </sheetView>
  </sheetViews>
  <sheetFormatPr defaultRowHeight="14.5" outlineLevelRow="0" outlineLevelCol="0" x14ac:dyDescent="0" defaultColWidth="8.83203125" customHeight="1"/>
  <cols>
    <col min="2" max="2" width="30.1640625" customWidth="1"/>
    <col min="3" max="3" width="11.6640625" customWidth="1"/>
    <col min="4" max="4" width="12.33203125" customWidth="1"/>
    <col min="5" max="5" width="11.1640625" customWidth="1"/>
    <col min="6" max="6" width="10.83203125" customWidth="1"/>
    <col min="7" max="8" width="10.5" customWidth="1"/>
    <col min="10" max="10" width="11.5" customWidth="1"/>
    <col min="11" max="11" width="11.83203125" customWidth="1"/>
    <col min="12" max="12" width="11.1640625" customWidth="1"/>
    <col min="13" max="13" width="12.6640625" customWidth="1"/>
    <col min="14" max="14" width="12.5" customWidth="1"/>
    <col min="15" max="15" width="13" customWidth="1"/>
    <col min="19" max="19" width="9.83203125" customWidth="1"/>
    <col min="21" max="22" width="11.6640625" customWidth="1"/>
    <col min="23" max="23" width="10.1640625" customWidth="1"/>
    <col min="24" max="24" width="11" customWidth="1"/>
    <col min="25" max="26" width="11.5" customWidth="1"/>
    <col min="27" max="27" width="12" customWidth="1"/>
    <col min="30" max="30" width="11" customWidth="1"/>
    <col min="32" max="33" width="10" customWidth="1"/>
    <col min="47" max="47" width="10.33203125" customWidth="1"/>
    <col min="48" max="48" width="9.6640625" customWidth="1"/>
    <col min="49" max="49" width="12" customWidth="1"/>
    <col min="50" max="50" width="11.5" customWidth="1"/>
    <col min="51" max="51" width="10.83203125" customWidth="1"/>
    <col min="52" max="53" width="9.5" customWidth="1"/>
    <col min="54" max="54" width="10" customWidth="1"/>
    <col min="55" max="55" width="9.83203125" customWidth="1"/>
    <col min="58" max="69" width="9.83203125" customWidth="1"/>
    <col min="70" max="70" width="10.6640625" customWidth="1"/>
    <col min="71" max="71" width="11.1640625" customWidth="1"/>
    <col min="72" max="72" width="9.83203125" customWidth="1"/>
    <col min="73" max="75" width="10.5" customWidth="1"/>
    <col min="76" max="77" width="10.83203125" customWidth="1"/>
    <col min="93" max="93" width="12" customWidth="1"/>
    <col min="94" max="94" width="10.1640625" customWidth="1"/>
    <col min="95" max="95" width="11.5" customWidth="1"/>
    <col min="96" max="96" width="12.83203125" customWidth="1"/>
    <col min="97" max="97" width="10.6640625" customWidth="1"/>
    <col min="98" max="98" width="12.33203125" customWidth="1"/>
    <col min="99" max="99" width="11.5" customWidth="1"/>
    <col min="115" max="115" width="10.6640625" customWidth="1"/>
    <col min="117" max="117" width="11.6640625" customWidth="1"/>
    <col min="118" max="118" width="13.6640625" customWidth="1"/>
    <col min="119" max="119" width="10.1640625" customWidth="1"/>
    <col min="120" max="120" width="10.5" customWidth="1"/>
    <col min="121" max="121" width="10.33203125" customWidth="1"/>
    <col min="137" max="137" width="10.6640625" customWidth="1"/>
    <col min="138" max="138" width="11.5" customWidth="1"/>
    <col min="139" max="139" width="15.1640625" customWidth="1"/>
    <col min="140" max="140" width="13.5" customWidth="1"/>
    <col min="141" max="141" width="15.1640625" customWidth="1"/>
  </cols>
  <sheetData>
    <row r="2" ht="16.25" customHeight="1" spans="8:23" x14ac:dyDescent="0.25">
      <c r="H2" s="1469"/>
      <c r="I2" s="414" t="s">
        <v>1815</v>
      </c>
      <c r="J2" s="1469"/>
      <c r="K2" s="1469"/>
      <c r="L2" s="1469"/>
      <c r="M2" s="1469"/>
      <c r="N2" s="1469"/>
      <c r="O2" s="844" t="s">
        <v>1076</v>
      </c>
      <c r="P2" s="1974" t="s">
        <v>1816</v>
      </c>
      <c r="Q2" s="1974"/>
      <c r="R2" s="1974"/>
      <c r="S2" s="1974"/>
      <c r="T2" s="1469"/>
      <c r="U2" s="1469"/>
      <c r="V2" s="1469"/>
      <c r="W2" s="1469"/>
    </row>
    <row r="3" ht="21" customHeight="1" spans="8:138" x14ac:dyDescent="0.25">
      <c r="H3" s="1974">
        <v>1</v>
      </c>
      <c r="I3" s="1975" t="s">
        <v>1817</v>
      </c>
      <c r="J3" s="1976"/>
      <c r="K3" s="1976"/>
      <c r="L3" s="1976"/>
      <c r="M3" s="1976"/>
      <c r="N3" s="1976"/>
      <c r="O3" s="1977" t="s">
        <v>368</v>
      </c>
      <c r="P3" s="1978" t="s">
        <v>207</v>
      </c>
      <c r="Q3" s="1979"/>
      <c r="R3" s="1979"/>
      <c r="S3" s="1591"/>
      <c r="T3" s="1978" t="s">
        <v>1818</v>
      </c>
      <c r="U3" s="1979"/>
      <c r="V3" s="1979"/>
      <c r="W3" s="1591"/>
      <c r="AD3" s="1980">
        <f>СЧЁТ!O85</f>
        <v>43942</v>
      </c>
      <c r="AE3" s="1555" t="s">
        <v>1819</v>
      </c>
      <c r="AF3" s="1555" t="s">
        <v>1820</v>
      </c>
      <c r="AG3" s="1555" t="s">
        <v>1821</v>
      </c>
      <c r="AH3" s="1555" t="s">
        <v>1822</v>
      </c>
      <c r="AU3" s="1555" t="s">
        <v>1823</v>
      </c>
      <c r="AV3" s="1555" t="s">
        <v>1822</v>
      </c>
      <c r="AX3" s="1980">
        <f>СЧЁТ!O85</f>
        <v>43942</v>
      </c>
      <c r="AY3" s="1981" t="s">
        <v>1824</v>
      </c>
      <c r="AZ3" s="1981" t="s">
        <v>1825</v>
      </c>
      <c r="BA3" s="1555" t="s">
        <v>1826</v>
      </c>
      <c r="BB3" s="1555" t="s">
        <v>1827</v>
      </c>
      <c r="BO3" s="1555" t="s">
        <v>1827</v>
      </c>
      <c r="BP3" s="1982" t="s">
        <v>1828</v>
      </c>
      <c r="BR3" s="1983">
        <v>41606</v>
      </c>
      <c r="BS3" s="1555" t="s">
        <v>1829</v>
      </c>
      <c r="BT3" s="1555" t="s">
        <v>1830</v>
      </c>
      <c r="BU3" s="1555" t="s">
        <v>1831</v>
      </c>
      <c r="BV3" s="1555" t="s">
        <v>1832</v>
      </c>
      <c r="CL3" s="1555" t="s">
        <v>1832</v>
      </c>
      <c r="CY3" s="1984" t="s">
        <v>1833</v>
      </c>
      <c r="CZ3" s="1984"/>
      <c r="DA3" s="1984"/>
      <c r="DB3" s="1984"/>
      <c r="DC3" s="1984"/>
      <c r="DD3" s="622"/>
      <c r="DE3" s="622"/>
      <c r="DF3" s="622"/>
      <c r="DG3" s="622"/>
      <c r="DH3" s="622"/>
      <c r="DI3" s="622"/>
      <c r="DJ3" s="622"/>
      <c r="DK3" s="622"/>
      <c r="DL3" s="622"/>
      <c r="DM3" s="622"/>
      <c r="DN3" s="622"/>
      <c r="DO3" s="622"/>
      <c r="DP3" s="622"/>
      <c r="DQ3" s="622"/>
      <c r="DR3" s="622"/>
      <c r="DS3" s="622"/>
      <c r="DT3" s="622"/>
      <c r="DU3" s="622"/>
      <c r="DV3" s="622"/>
      <c r="DW3" s="622"/>
      <c r="DX3" s="622"/>
      <c r="DY3" s="622"/>
      <c r="DZ3" s="622"/>
      <c r="EA3" s="622"/>
      <c r="EB3" s="622"/>
      <c r="EC3" s="622"/>
      <c r="ED3" s="622"/>
      <c r="EE3" s="622"/>
      <c r="EF3" s="622"/>
      <c r="EG3" s="622"/>
      <c r="EH3" s="622"/>
    </row>
    <row r="4" ht="18" customHeight="1" spans="8:138" x14ac:dyDescent="0.25">
      <c r="H4" s="1974">
        <v>2</v>
      </c>
      <c r="I4" s="1985" t="s">
        <v>1834</v>
      </c>
      <c r="J4" s="25"/>
      <c r="K4" s="25"/>
      <c r="L4" s="25"/>
      <c r="M4" s="25"/>
      <c r="N4" s="25"/>
      <c r="O4" s="1977" t="s">
        <v>1835</v>
      </c>
      <c r="P4" s="1986" t="s">
        <v>1836</v>
      </c>
      <c r="Q4" s="25"/>
      <c r="R4" s="25"/>
      <c r="S4" s="1265"/>
      <c r="T4" s="1986" t="s">
        <v>1837</v>
      </c>
      <c r="U4" s="25"/>
      <c r="V4" s="25"/>
      <c r="W4" s="1265"/>
      <c r="AD4" s="850">
        <v>40614</v>
      </c>
      <c r="AE4" s="1987" t="s">
        <v>691</v>
      </c>
      <c r="AF4" s="1987" t="s">
        <v>983</v>
      </c>
      <c r="AG4" s="1987" t="s">
        <v>691</v>
      </c>
      <c r="AH4" s="1987" t="s">
        <v>983</v>
      </c>
      <c r="AU4" s="1987" t="s">
        <v>1476</v>
      </c>
      <c r="AV4" s="1987" t="s">
        <v>1476</v>
      </c>
      <c r="AX4" s="850">
        <v>40614</v>
      </c>
      <c r="AY4" s="1987" t="s">
        <v>691</v>
      </c>
      <c r="AZ4" s="1987" t="s">
        <v>983</v>
      </c>
      <c r="BA4" s="1987" t="s">
        <v>691</v>
      </c>
      <c r="BB4" s="1987" t="s">
        <v>983</v>
      </c>
      <c r="BO4" s="1987" t="s">
        <v>1476</v>
      </c>
      <c r="BP4" s="1987" t="s">
        <v>1476</v>
      </c>
      <c r="BR4" s="850"/>
      <c r="BS4" s="1988" t="s">
        <v>56</v>
      </c>
      <c r="BT4" s="1988" t="s">
        <v>56</v>
      </c>
      <c r="BU4" s="1989" t="s">
        <v>866</v>
      </c>
      <c r="BV4" s="1989" t="s">
        <v>866</v>
      </c>
      <c r="CL4" s="1990" t="s">
        <v>1476</v>
      </c>
      <c r="CY4" s="622"/>
      <c r="CZ4" s="622"/>
      <c r="DA4" s="622"/>
      <c r="DB4" s="622"/>
      <c r="DC4" s="622"/>
      <c r="DD4" s="622"/>
      <c r="DE4" s="622"/>
      <c r="DF4" s="622"/>
      <c r="DG4" s="622"/>
      <c r="DH4" s="622"/>
      <c r="DI4" s="622"/>
      <c r="DJ4" s="622"/>
      <c r="DK4" s="622"/>
      <c r="DL4" s="622"/>
      <c r="DM4" s="622"/>
      <c r="DN4" s="622"/>
      <c r="DO4" s="622"/>
      <c r="DP4" s="622"/>
      <c r="DQ4" s="622"/>
      <c r="DR4" s="622"/>
      <c r="DS4" s="622"/>
      <c r="DT4" s="622"/>
      <c r="DU4" s="622"/>
      <c r="DV4" s="622"/>
      <c r="DW4" s="622"/>
      <c r="DX4" s="622"/>
      <c r="DY4" s="622"/>
      <c r="DZ4" s="622"/>
      <c r="EA4" s="622"/>
      <c r="EB4" s="622"/>
      <c r="EC4" s="622"/>
      <c r="ED4" s="622"/>
      <c r="EE4" s="622"/>
      <c r="EF4" s="622"/>
      <c r="EG4" s="622"/>
      <c r="EH4" s="622"/>
    </row>
    <row r="5" ht="18" customHeight="1" spans="8:138" x14ac:dyDescent="0.25">
      <c r="H5" s="1974">
        <v>3</v>
      </c>
      <c r="I5" s="1985" t="s">
        <v>1838</v>
      </c>
      <c r="J5" s="25"/>
      <c r="K5" s="25"/>
      <c r="L5" s="25"/>
      <c r="M5" s="25"/>
      <c r="N5" s="25"/>
      <c r="O5" s="1977" t="s">
        <v>1839</v>
      </c>
      <c r="P5" s="1986" t="s">
        <v>1840</v>
      </c>
      <c r="Q5" s="25"/>
      <c r="R5" s="25"/>
      <c r="S5" s="1265"/>
      <c r="T5" s="1986" t="s">
        <v>1841</v>
      </c>
      <c r="U5" s="25"/>
      <c r="V5" s="25"/>
      <c r="W5" s="1265"/>
      <c r="AD5" s="1991">
        <v>1995</v>
      </c>
      <c r="AE5" s="1992">
        <f>Y16</f>
        <v>0.24458015167192756</v>
      </c>
      <c r="AF5" s="931"/>
      <c r="AG5" s="1992">
        <f>Z16</f>
        <v>0.24548014811767122</v>
      </c>
      <c r="AH5" s="931"/>
      <c r="AU5" s="1993">
        <f>AE5</f>
        <v>0.24458015167192756</v>
      </c>
      <c r="AV5" s="1994">
        <f>AG5</f>
        <v>0.24548014811767122</v>
      </c>
      <c r="AX5" s="1995">
        <v>1995</v>
      </c>
      <c r="AY5" s="1993">
        <f>X16</f>
        <v>0.012</v>
      </c>
      <c r="AZ5" s="1994"/>
      <c r="BA5" s="1993">
        <f>AA16</f>
        <v>0.011158782510365622</v>
      </c>
      <c r="BB5" s="1994"/>
      <c r="BO5" s="1996">
        <f t="shared" ref="BO5:BO19" si="0">BA5</f>
        <v>0.011158782510365622</v>
      </c>
      <c r="BP5" s="1997"/>
      <c r="BR5" s="1995">
        <v>1995</v>
      </c>
      <c r="BS5" s="1998">
        <f>K16</f>
        <v>910.9</v>
      </c>
      <c r="BT5" s="1816">
        <f>M16</f>
        <v>647.87</v>
      </c>
      <c r="BU5" s="1999">
        <f>BS5/BT5</f>
        <v>1.4059919428280365</v>
      </c>
      <c r="BV5" s="1815"/>
      <c r="CL5" s="1996">
        <f t="shared" ref="CL5:CL19" si="1">BU5</f>
        <v>1.4059919428280365</v>
      </c>
      <c r="CY5" s="622" t="s">
        <v>1842</v>
      </c>
      <c r="CZ5" s="622"/>
      <c r="DA5" s="622"/>
      <c r="DB5" s="622"/>
      <c r="DC5" s="622"/>
      <c r="DD5" s="622"/>
      <c r="DE5" s="622"/>
      <c r="DF5" s="622"/>
      <c r="DG5" s="622"/>
      <c r="DH5" s="622"/>
      <c r="DI5" s="622"/>
      <c r="DJ5" s="622"/>
      <c r="DK5" s="622"/>
      <c r="DL5" s="622"/>
      <c r="DM5" s="622"/>
      <c r="DN5" s="622"/>
      <c r="DO5" s="622"/>
      <c r="DP5" s="622"/>
      <c r="DQ5" s="622"/>
      <c r="DR5" s="622"/>
      <c r="DS5" s="622"/>
      <c r="DT5" s="622"/>
      <c r="DU5" s="622"/>
      <c r="DV5" s="622"/>
      <c r="DW5" s="622"/>
      <c r="DX5" s="622"/>
      <c r="DY5" s="622"/>
      <c r="DZ5" s="622"/>
      <c r="EA5" s="622"/>
      <c r="EB5" s="622"/>
      <c r="EC5" s="622"/>
      <c r="ED5" s="622"/>
      <c r="EE5" s="622"/>
      <c r="EF5" s="622"/>
      <c r="EG5" s="622"/>
      <c r="EH5" s="622"/>
    </row>
    <row r="6" ht="18" customHeight="1" spans="8:138" x14ac:dyDescent="0.25">
      <c r="H6" s="1974">
        <v>4</v>
      </c>
      <c r="I6" s="1985" t="s">
        <v>1843</v>
      </c>
      <c r="J6" s="25"/>
      <c r="K6" s="25"/>
      <c r="L6" s="25"/>
      <c r="M6" s="25"/>
      <c r="N6" s="25"/>
      <c r="O6" s="1977" t="s">
        <v>1844</v>
      </c>
      <c r="P6" s="1986" t="s">
        <v>1845</v>
      </c>
      <c r="Q6" s="25"/>
      <c r="R6" s="25"/>
      <c r="S6" s="1265"/>
      <c r="T6" s="1986" t="s">
        <v>1846</v>
      </c>
      <c r="U6" s="25"/>
      <c r="V6" s="25"/>
      <c r="W6" s="1265"/>
      <c r="AD6" s="2000">
        <v>1996</v>
      </c>
      <c r="AE6" s="2001">
        <f>Y17</f>
        <v>0.2639037872819278</v>
      </c>
      <c r="AF6" s="931"/>
      <c r="AG6" s="2001">
        <f>Z17</f>
        <v>0.2910893212808334</v>
      </c>
      <c r="AH6" s="931"/>
      <c r="AU6" s="2002">
        <f>AE6</f>
        <v>0.2639037872819278</v>
      </c>
      <c r="AV6" s="1994">
        <f>AG6</f>
        <v>0.2910893212808334</v>
      </c>
      <c r="AX6" s="2003">
        <v>1996</v>
      </c>
      <c r="AY6" s="2002">
        <f>X17</f>
        <v>0.011000000000000001</v>
      </c>
      <c r="AZ6" s="1994"/>
      <c r="BA6" s="2002">
        <f>AA17</f>
        <v>0.005605973144289432</v>
      </c>
      <c r="BB6" s="1994"/>
      <c r="BO6" s="2004">
        <f t="shared" si="0"/>
        <v>0.005605973144289432</v>
      </c>
      <c r="BP6" s="2005"/>
      <c r="BR6" s="2003">
        <v>1996</v>
      </c>
      <c r="BS6" s="2006">
        <f>K17</f>
        <v>1357.1</v>
      </c>
      <c r="BT6" s="1816">
        <f>M17</f>
        <v>1022.64</v>
      </c>
      <c r="BU6" s="1812">
        <f>BS6/BT6</f>
        <v>1.3270554642885082</v>
      </c>
      <c r="BV6" s="1815"/>
      <c r="CL6" s="2004">
        <f t="shared" si="1"/>
        <v>1.3270554642885082</v>
      </c>
      <c r="CY6" s="622"/>
      <c r="CZ6" s="622"/>
      <c r="DA6" s="622"/>
      <c r="DB6" s="622"/>
      <c r="DC6" s="622"/>
      <c r="DD6" s="622"/>
      <c r="DE6" s="622"/>
      <c r="DF6" s="622"/>
      <c r="DG6" s="622"/>
      <c r="DH6" s="622"/>
      <c r="DI6" s="622"/>
      <c r="DJ6" s="622"/>
      <c r="DK6" s="622"/>
      <c r="DL6" s="622"/>
      <c r="DM6" s="622"/>
      <c r="DN6" s="622"/>
      <c r="DO6" s="622"/>
      <c r="DP6" s="622"/>
      <c r="DQ6" s="622"/>
      <c r="DR6" s="622"/>
      <c r="DS6" s="622"/>
      <c r="DT6" s="622"/>
      <c r="DU6" s="622"/>
      <c r="DV6" s="622"/>
      <c r="DW6" s="622"/>
      <c r="DX6" s="622"/>
      <c r="DY6" s="622"/>
      <c r="DZ6" s="622"/>
      <c r="EA6" s="622"/>
      <c r="EB6" s="622"/>
      <c r="EC6" s="622"/>
      <c r="ED6" s="622"/>
      <c r="EE6" s="622"/>
      <c r="EF6" s="622"/>
      <c r="EG6" s="622"/>
      <c r="EH6" s="622"/>
    </row>
    <row r="7" ht="18.5" customHeight="1" spans="8:138" x14ac:dyDescent="0.25">
      <c r="H7" s="1974">
        <v>5</v>
      </c>
      <c r="I7" s="2007" t="s">
        <v>1847</v>
      </c>
      <c r="J7" s="2008"/>
      <c r="K7" s="2008"/>
      <c r="L7" s="2008"/>
      <c r="M7" s="2008"/>
      <c r="N7" s="2008"/>
      <c r="O7" s="2009" t="s">
        <v>1848</v>
      </c>
      <c r="P7" s="2010" t="s">
        <v>1849</v>
      </c>
      <c r="Q7" s="1671"/>
      <c r="R7" s="1671"/>
      <c r="S7" s="2011"/>
      <c r="T7" s="2010" t="s">
        <v>1850</v>
      </c>
      <c r="U7" s="1671"/>
      <c r="V7" s="1671"/>
      <c r="W7" s="2011"/>
      <c r="AD7" s="2000">
        <v>1997</v>
      </c>
      <c r="AE7" s="2001">
        <f t="shared" ref="AE7:AE19" si="2">Y18</f>
        <v>0.2748882770104617</v>
      </c>
      <c r="AF7" s="931"/>
      <c r="AG7" s="2001">
        <f t="shared" ref="AG7:AG19" si="3">Z18</f>
        <v>0.2920157236450268</v>
      </c>
      <c r="AH7" s="931"/>
      <c r="AU7" s="2002">
        <f t="shared" ref="AU7:AU19" si="4">AE7</f>
        <v>0.2748882770104617</v>
      </c>
      <c r="AV7" s="1994">
        <f t="shared" ref="AV7:AV19" si="5">AG7</f>
        <v>0.2920157236450268</v>
      </c>
      <c r="AX7" s="2003">
        <v>1997</v>
      </c>
      <c r="AY7" s="2002">
        <f t="shared" ref="AY7:AY19" si="6">X18</f>
        <v>0.009000000000000001</v>
      </c>
      <c r="AZ7" s="1994"/>
      <c r="BA7" s="2002">
        <f t="shared" ref="BA7:BA19" si="7">AA18</f>
        <v>0.0071061920153373355</v>
      </c>
      <c r="BB7" s="1994"/>
      <c r="BO7" s="2004">
        <f t="shared" si="0"/>
        <v>0.0071061920153373355</v>
      </c>
      <c r="BP7" s="2005"/>
      <c r="BR7" s="2003">
        <v>1997</v>
      </c>
      <c r="BS7" s="2006">
        <f t="shared" ref="BS7:BS21" si="8">K18</f>
        <v>1656.4</v>
      </c>
      <c r="BT7" s="1816">
        <f t="shared" ref="BT7:BT21" si="9">M18</f>
        <v>1202.9</v>
      </c>
      <c r="BU7" s="1812">
        <f t="shared" ref="BU7:BU21" si="10">BS7/BT7</f>
        <v>1.3770055698728074</v>
      </c>
      <c r="BV7" s="1815"/>
      <c r="CL7" s="2004">
        <f t="shared" si="1"/>
        <v>1.3770055698728074</v>
      </c>
      <c r="CY7" s="622" t="s">
        <v>1851</v>
      </c>
      <c r="CZ7" s="622"/>
      <c r="DA7" s="622"/>
      <c r="DB7" s="622"/>
      <c r="DC7" s="622"/>
      <c r="DD7" s="622"/>
      <c r="DE7" s="622"/>
      <c r="DF7" s="622"/>
      <c r="DG7" s="622"/>
      <c r="DH7" s="622"/>
      <c r="DI7" s="622"/>
      <c r="DJ7" s="622"/>
      <c r="DK7" s="622"/>
      <c r="DL7" s="622"/>
      <c r="DM7" s="622"/>
      <c r="DN7" s="622"/>
      <c r="DO7" s="622"/>
      <c r="DP7" s="622"/>
      <c r="DQ7" s="622"/>
      <c r="DR7" s="622"/>
      <c r="DS7" s="622"/>
      <c r="DT7" s="622"/>
      <c r="DU7" s="622"/>
      <c r="DV7" s="622"/>
      <c r="DW7" s="622"/>
      <c r="DX7" s="622"/>
      <c r="DY7" s="622"/>
      <c r="DZ7" s="622"/>
      <c r="EA7" s="622"/>
      <c r="EB7" s="622"/>
      <c r="EC7" s="622"/>
      <c r="ED7" s="622"/>
      <c r="EE7" s="622"/>
      <c r="EF7" s="622"/>
      <c r="EG7" s="622"/>
      <c r="EH7" s="622"/>
    </row>
    <row r="8" ht="18" customHeight="1" spans="1:138" x14ac:dyDescent="0.25">
      <c r="A8" s="1469"/>
      <c r="B8" s="1644" t="s">
        <v>1852</v>
      </c>
      <c r="C8" s="1644"/>
      <c r="D8" s="1469"/>
      <c r="E8" s="1469"/>
      <c r="F8" s="1469"/>
      <c r="G8" s="1469"/>
      <c r="P8" s="1551" t="s">
        <v>1853</v>
      </c>
      <c r="Q8" s="1552"/>
      <c r="R8" s="1552"/>
      <c r="S8" s="1552"/>
      <c r="T8" s="1552"/>
      <c r="U8" s="1552"/>
      <c r="V8" s="1552"/>
      <c r="W8" s="1344"/>
      <c r="AD8" s="2000">
        <v>1998</v>
      </c>
      <c r="AE8" s="2001">
        <f t="shared" si="2"/>
        <v>0.27014591073472544</v>
      </c>
      <c r="AF8" s="931"/>
      <c r="AG8" s="2001">
        <f t="shared" si="3"/>
        <v>0.28260776629853934</v>
      </c>
      <c r="AH8" s="931"/>
      <c r="AU8" s="2002">
        <f t="shared" si="4"/>
        <v>0.27014591073472544</v>
      </c>
      <c r="AV8" s="1994">
        <f t="shared" si="5"/>
        <v>0.28260776629853934</v>
      </c>
      <c r="AX8" s="2003">
        <v>1998</v>
      </c>
      <c r="AY8" s="2002">
        <f t="shared" si="6"/>
        <v>0.009000000000000001</v>
      </c>
      <c r="AZ8" s="1994"/>
      <c r="BA8" s="2002">
        <f t="shared" si="7"/>
        <v>0.006915070223217731</v>
      </c>
      <c r="BB8" s="1994"/>
      <c r="BO8" s="2004">
        <f t="shared" si="0"/>
        <v>0.006915070223217731</v>
      </c>
      <c r="BP8" s="2005"/>
      <c r="BR8" s="2003">
        <v>1998</v>
      </c>
      <c r="BS8" s="2006">
        <f t="shared" si="8"/>
        <v>1776</v>
      </c>
      <c r="BT8" s="1816">
        <f t="shared" si="9"/>
        <v>1263.047</v>
      </c>
      <c r="BU8" s="1812">
        <f t="shared" si="10"/>
        <v>1.4061234459208565</v>
      </c>
      <c r="BV8" s="1815"/>
      <c r="CL8" s="2004">
        <f t="shared" si="1"/>
        <v>1.4061234459208565</v>
      </c>
      <c r="CY8" s="622"/>
      <c r="CZ8" s="622"/>
      <c r="DA8" s="622"/>
      <c r="DB8" s="622"/>
      <c r="DC8" s="622"/>
      <c r="DD8" s="622"/>
      <c r="DE8" s="622"/>
      <c r="DF8" s="622"/>
      <c r="DG8" s="622"/>
      <c r="DH8" s="622"/>
      <c r="DI8" s="622"/>
      <c r="DJ8" s="622"/>
      <c r="DK8" s="622"/>
      <c r="DL8" s="622"/>
      <c r="DM8" s="622"/>
      <c r="DN8" s="622"/>
      <c r="DO8" s="622"/>
      <c r="DP8" s="622"/>
      <c r="DQ8" s="622"/>
      <c r="DR8" s="622"/>
      <c r="DS8" s="622"/>
      <c r="DT8" s="622"/>
      <c r="DU8" s="622"/>
      <c r="DV8" s="622"/>
      <c r="DW8" s="622"/>
      <c r="DX8" s="622"/>
      <c r="DY8" s="622"/>
      <c r="DZ8" s="622"/>
      <c r="EA8" s="622"/>
      <c r="EB8" s="622"/>
      <c r="EC8" s="622"/>
      <c r="ED8" s="622"/>
      <c r="EE8" s="622"/>
      <c r="EF8" s="622"/>
      <c r="EG8" s="622"/>
      <c r="EH8" s="622"/>
    </row>
    <row r="9" ht="18" customHeight="1" spans="1:138" x14ac:dyDescent="0.25">
      <c r="A9">
        <v>1</v>
      </c>
      <c r="B9" t="s">
        <v>1854</v>
      </c>
      <c r="AD9" s="2000">
        <v>1999</v>
      </c>
      <c r="AE9" s="2001">
        <f t="shared" si="2"/>
        <v>0.16917775593934054</v>
      </c>
      <c r="AF9" s="931"/>
      <c r="AG9" s="2001">
        <f t="shared" si="3"/>
        <v>0.3028307631160572</v>
      </c>
      <c r="AH9" s="931"/>
      <c r="AU9" s="2002">
        <f t="shared" si="4"/>
        <v>0.16917775593934054</v>
      </c>
      <c r="AV9" s="1994">
        <f t="shared" si="5"/>
        <v>0.3028307631160572</v>
      </c>
      <c r="AX9" s="2003">
        <v>1999</v>
      </c>
      <c r="AY9" s="2002">
        <f t="shared" si="6"/>
        <v>0.009000000000000001</v>
      </c>
      <c r="AZ9" s="1994"/>
      <c r="BA9" s="2002">
        <f t="shared" si="7"/>
        <v>0.014493114659556394</v>
      </c>
      <c r="BB9" s="1994"/>
      <c r="BO9" s="2004">
        <f t="shared" si="0"/>
        <v>0.014493114659556394</v>
      </c>
      <c r="BP9" s="2005"/>
      <c r="BR9" s="2003">
        <v>1999</v>
      </c>
      <c r="BS9" s="2006">
        <f t="shared" si="8"/>
        <v>2908.1</v>
      </c>
      <c r="BT9" s="1816">
        <f t="shared" si="9"/>
        <v>1933.606</v>
      </c>
      <c r="BU9" s="1812">
        <f t="shared" si="10"/>
        <v>1.5039775424776298</v>
      </c>
      <c r="BV9" s="1815"/>
      <c r="CL9" s="2004">
        <f t="shared" si="1"/>
        <v>1.5039775424776298</v>
      </c>
      <c r="CY9" s="2012" t="s">
        <v>1855</v>
      </c>
      <c r="CZ9" s="2012"/>
      <c r="DA9" s="2012"/>
      <c r="DB9" s="622"/>
      <c r="DC9" s="622"/>
      <c r="DD9" s="622"/>
      <c r="DE9" s="622"/>
      <c r="DF9" s="622"/>
      <c r="DG9" s="622"/>
      <c r="DH9" s="622"/>
      <c r="DI9" s="622"/>
      <c r="DJ9" s="622"/>
      <c r="DK9" s="622"/>
      <c r="DL9" s="622"/>
      <c r="DM9" s="622"/>
      <c r="DN9" s="622"/>
      <c r="DO9" s="622"/>
      <c r="DP9" s="622"/>
      <c r="DQ9" s="622"/>
      <c r="DR9" s="622"/>
      <c r="DS9" s="622"/>
      <c r="DT9" s="622"/>
      <c r="DU9" s="622"/>
      <c r="DV9" s="622"/>
      <c r="DW9" s="622"/>
      <c r="DX9" s="622"/>
      <c r="DY9" s="622"/>
      <c r="DZ9" s="622"/>
      <c r="EA9" s="622"/>
      <c r="EB9" s="622"/>
      <c r="EC9" s="622"/>
      <c r="ED9" s="622"/>
      <c r="EE9" s="622"/>
      <c r="EF9" s="622"/>
      <c r="EG9" s="622"/>
      <c r="EH9" s="622"/>
    </row>
    <row r="10" ht="18" customHeight="1" spans="1:138" x14ac:dyDescent="0.25">
      <c r="A10">
        <v>2</v>
      </c>
      <c r="B10" t="s">
        <v>1856</v>
      </c>
      <c r="AD10" s="2000">
        <v>2000</v>
      </c>
      <c r="AE10" s="2001">
        <f t="shared" si="2"/>
        <v>0.19664547860075432</v>
      </c>
      <c r="AF10" s="931"/>
      <c r="AG10" s="2001">
        <f t="shared" si="3"/>
        <v>0.28048477118514364</v>
      </c>
      <c r="AH10" s="931"/>
      <c r="AU10" s="2002">
        <f t="shared" si="4"/>
        <v>0.19664547860075432</v>
      </c>
      <c r="AV10" s="1994">
        <f t="shared" si="5"/>
        <v>0.28048477118514364</v>
      </c>
      <c r="AX10" s="2003">
        <v>2000</v>
      </c>
      <c r="AY10" s="2002">
        <f t="shared" si="6"/>
        <v>0.012</v>
      </c>
      <c r="AZ10" s="1994"/>
      <c r="BA10" s="2002">
        <f t="shared" si="7"/>
        <v>0.015512207970682547</v>
      </c>
      <c r="BB10" s="1994"/>
      <c r="BO10" s="2004">
        <f t="shared" si="0"/>
        <v>0.015512207970682547</v>
      </c>
      <c r="BP10" s="2005"/>
      <c r="BR10" s="2003">
        <v>2000</v>
      </c>
      <c r="BS10" s="2006">
        <f t="shared" si="8"/>
        <v>3983.9</v>
      </c>
      <c r="BT10" s="1816">
        <f t="shared" si="9"/>
        <v>2937.23</v>
      </c>
      <c r="BU10" s="1812">
        <f t="shared" si="10"/>
        <v>1.3563459449889863</v>
      </c>
      <c r="BV10" s="1815"/>
      <c r="CL10" s="2004">
        <f t="shared" si="1"/>
        <v>1.3563459449889863</v>
      </c>
      <c r="CY10" s="622"/>
      <c r="CZ10" s="622"/>
      <c r="DA10" s="622"/>
      <c r="DB10" s="622"/>
      <c r="DC10" s="622"/>
      <c r="DD10" s="622"/>
      <c r="DE10" s="622"/>
      <c r="DF10" s="622"/>
      <c r="DG10" s="622"/>
      <c r="DH10" s="622"/>
      <c r="DI10" s="622"/>
      <c r="DJ10" s="622"/>
      <c r="DK10" s="622"/>
      <c r="DL10" s="622"/>
      <c r="DM10" s="622"/>
      <c r="DN10" s="622"/>
      <c r="DO10" s="622"/>
      <c r="DP10" s="622"/>
      <c r="DQ10" s="622"/>
      <c r="DR10" s="622"/>
      <c r="DS10" s="622"/>
      <c r="DT10" s="622"/>
      <c r="DU10" s="622"/>
      <c r="DV10" s="622"/>
      <c r="DW10" s="622"/>
      <c r="DX10" s="622"/>
      <c r="DY10" s="622"/>
      <c r="DZ10" s="622"/>
      <c r="EA10" s="622"/>
      <c r="EB10" s="622"/>
      <c r="EC10" s="622"/>
      <c r="ED10" s="622"/>
      <c r="EE10" s="622"/>
      <c r="EF10" s="622"/>
      <c r="EG10" s="622"/>
      <c r="EH10" s="622"/>
    </row>
    <row r="11" ht="18" customHeight="1" spans="1:138" x14ac:dyDescent="0.25">
      <c r="A11">
        <v>3</v>
      </c>
      <c r="B11" t="s">
        <v>1857</v>
      </c>
      <c r="AD11" s="2000">
        <v>2001</v>
      </c>
      <c r="AE11" s="2001">
        <f t="shared" si="2"/>
        <v>0.18172846925747252</v>
      </c>
      <c r="AF11" s="931"/>
      <c r="AG11" s="2001">
        <f t="shared" si="3"/>
        <v>0.33459601554104323</v>
      </c>
      <c r="AH11" s="931"/>
      <c r="AU11" s="2002">
        <f t="shared" si="4"/>
        <v>0.18172846925747252</v>
      </c>
      <c r="AV11" s="1994">
        <f t="shared" si="5"/>
        <v>0.33459601554104323</v>
      </c>
      <c r="AX11" s="2003">
        <v>2001</v>
      </c>
      <c r="AY11" s="2002">
        <f t="shared" si="6"/>
        <v>0.019</v>
      </c>
      <c r="AZ11" s="1994"/>
      <c r="BA11" s="2002">
        <f t="shared" si="7"/>
        <v>0.014997489307572569</v>
      </c>
      <c r="BB11" s="1994"/>
      <c r="BO11" s="2004">
        <f t="shared" si="0"/>
        <v>0.014997489307572569</v>
      </c>
      <c r="BP11" s="2005"/>
      <c r="BR11" s="2003">
        <v>2001</v>
      </c>
      <c r="BS11" s="2006">
        <f t="shared" si="8"/>
        <v>5325.8</v>
      </c>
      <c r="BT11" s="1816">
        <f t="shared" si="9"/>
        <v>3848.4</v>
      </c>
      <c r="BU11" s="1812">
        <f t="shared" si="10"/>
        <v>1.383899802515331</v>
      </c>
      <c r="BV11" s="1815"/>
      <c r="CL11" s="2004">
        <f t="shared" si="1"/>
        <v>1.383899802515331</v>
      </c>
      <c r="CY11" s="2012" t="s">
        <v>1858</v>
      </c>
      <c r="CZ11" s="2012"/>
      <c r="DA11" s="2012"/>
      <c r="DB11" s="2012"/>
      <c r="DC11" s="622"/>
      <c r="DD11" s="622"/>
      <c r="DE11" s="622"/>
      <c r="DF11" s="622"/>
      <c r="DG11" s="622"/>
      <c r="DH11" s="622"/>
      <c r="DI11" s="622"/>
      <c r="DJ11" s="622"/>
      <c r="DK11" s="622"/>
      <c r="DL11" s="622"/>
      <c r="DM11" s="622"/>
      <c r="DN11" s="622"/>
      <c r="DO11" s="622"/>
      <c r="DP11" s="622"/>
      <c r="DQ11" s="622"/>
      <c r="DR11" s="622"/>
      <c r="DS11" s="622"/>
      <c r="DT11" s="622"/>
      <c r="DU11" s="622"/>
      <c r="DV11" s="622"/>
      <c r="DW11" s="622"/>
      <c r="DX11" s="622"/>
      <c r="DY11" s="622"/>
      <c r="DZ11" s="622"/>
      <c r="EA11" s="622"/>
      <c r="EB11" s="622"/>
      <c r="EC11" s="622"/>
      <c r="ED11" s="622"/>
      <c r="EE11" s="622"/>
      <c r="EF11" s="622"/>
      <c r="EG11" s="622"/>
      <c r="EH11" s="622"/>
    </row>
    <row r="12" ht="18" customHeight="1" spans="1:138" x14ac:dyDescent="0.25">
      <c r="A12">
        <v>4</v>
      </c>
      <c r="AD12" s="2000">
        <v>2002</v>
      </c>
      <c r="AE12" s="2001">
        <f t="shared" si="2"/>
        <v>0.20806667151453984</v>
      </c>
      <c r="AF12" s="931"/>
      <c r="AG12" s="2001">
        <f t="shared" si="3"/>
        <v>0.3033959617800894</v>
      </c>
      <c r="AH12" s="931"/>
      <c r="AU12" s="2002">
        <f t="shared" si="4"/>
        <v>0.20806667151453984</v>
      </c>
      <c r="AV12" s="1994">
        <f t="shared" si="5"/>
        <v>0.3033959617800894</v>
      </c>
      <c r="AX12" s="2003">
        <v>2002</v>
      </c>
      <c r="AY12" s="2002">
        <f t="shared" si="6"/>
        <v>0.019</v>
      </c>
      <c r="AZ12" s="1994"/>
      <c r="BA12" s="2002">
        <f t="shared" si="7"/>
        <v>0.014539396668167495</v>
      </c>
      <c r="BB12" s="1994"/>
      <c r="BO12" s="2004">
        <f t="shared" si="0"/>
        <v>0.014539396668167495</v>
      </c>
      <c r="BP12" s="2005"/>
      <c r="BR12" s="2003">
        <v>2002</v>
      </c>
      <c r="BS12" s="2006">
        <f t="shared" si="8"/>
        <v>6831</v>
      </c>
      <c r="BT12" s="1816">
        <f t="shared" si="9"/>
        <v>5065.1</v>
      </c>
      <c r="BU12" s="1812">
        <f t="shared" si="10"/>
        <v>1.3486406981105998</v>
      </c>
      <c r="BV12" s="1815"/>
      <c r="CL12" s="2004">
        <f t="shared" si="1"/>
        <v>1.3486406981105998</v>
      </c>
      <c r="CY12" s="622"/>
      <c r="CZ12" s="622"/>
      <c r="DA12" s="622"/>
      <c r="DB12" s="622"/>
      <c r="DC12" s="622"/>
      <c r="DD12" s="622"/>
      <c r="DE12" s="622"/>
      <c r="DF12" s="622"/>
      <c r="DG12" s="622"/>
      <c r="DH12" s="622"/>
      <c r="DI12" s="622"/>
      <c r="DJ12" s="622"/>
      <c r="DK12" s="622"/>
      <c r="DL12" s="622"/>
      <c r="DM12" s="622"/>
      <c r="DN12" s="622"/>
      <c r="DO12" s="622"/>
      <c r="DP12" s="622"/>
      <c r="DQ12" s="622"/>
      <c r="DR12" s="622"/>
      <c r="DS12" s="622"/>
      <c r="DT12" s="622"/>
      <c r="DU12" s="622"/>
      <c r="DV12" s="622"/>
      <c r="DW12" s="622"/>
      <c r="DX12" s="622"/>
      <c r="DY12" s="622"/>
      <c r="DZ12" s="622"/>
      <c r="EA12" s="622"/>
      <c r="EB12" s="622"/>
      <c r="EC12" s="622"/>
      <c r="ED12" s="622"/>
      <c r="EE12" s="622"/>
      <c r="EF12" s="622"/>
      <c r="EG12" s="622"/>
      <c r="EH12" s="622"/>
    </row>
    <row r="13" ht="18" customHeight="1" spans="12:138" x14ac:dyDescent="0.25">
      <c r="L13" t="s">
        <v>1859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AD13" s="2000">
        <v>2003</v>
      </c>
      <c r="AE13" s="2001">
        <f t="shared" si="2"/>
        <v>0.219569883883043</v>
      </c>
      <c r="AF13" s="931"/>
      <c r="AG13" s="2001">
        <f t="shared" si="3"/>
        <v>0.3165200887790361</v>
      </c>
      <c r="AH13" s="931"/>
      <c r="AU13" s="2002">
        <f t="shared" si="4"/>
        <v>0.219569883883043</v>
      </c>
      <c r="AV13" s="1994">
        <f t="shared" si="5"/>
        <v>0.3165200887790361</v>
      </c>
      <c r="AX13" s="2003">
        <v>2003</v>
      </c>
      <c r="AY13" s="2002">
        <f t="shared" si="6"/>
        <v>0.022000000000000002</v>
      </c>
      <c r="AZ13" s="1994"/>
      <c r="BA13" s="2002">
        <f t="shared" si="7"/>
        <v>0.0228901945656152</v>
      </c>
      <c r="BB13" s="1994"/>
      <c r="BO13" s="2004">
        <f t="shared" si="0"/>
        <v>0.0228901945656152</v>
      </c>
      <c r="BP13" s="2005"/>
      <c r="BR13" s="2003">
        <v>2003</v>
      </c>
      <c r="BS13" s="2006">
        <f t="shared" si="8"/>
        <v>8900.5</v>
      </c>
      <c r="BT13" s="1816">
        <f t="shared" si="9"/>
        <v>6231.387</v>
      </c>
      <c r="BU13" s="1812">
        <f t="shared" si="10"/>
        <v>1.4283336920014758</v>
      </c>
      <c r="BV13" s="1815"/>
      <c r="CL13" s="2004">
        <f t="shared" si="1"/>
        <v>1.4283336920014758</v>
      </c>
      <c r="CY13" s="2012" t="s">
        <v>1860</v>
      </c>
      <c r="CZ13" s="2012"/>
      <c r="DA13" s="2012"/>
      <c r="DB13" s="2012"/>
      <c r="DC13" s="2012"/>
      <c r="DD13" s="622"/>
      <c r="DE13" s="622"/>
      <c r="DF13" s="622"/>
      <c r="DG13" s="622"/>
      <c r="DH13" s="622"/>
      <c r="DI13" s="622"/>
      <c r="DJ13" s="622"/>
      <c r="DK13" s="622"/>
      <c r="DL13" s="622"/>
      <c r="DM13" s="622"/>
      <c r="DN13" s="622"/>
      <c r="DO13" s="622"/>
      <c r="DP13" s="622"/>
      <c r="DQ13" s="622"/>
      <c r="DR13" s="622"/>
      <c r="DS13" s="622"/>
      <c r="DT13" s="622"/>
      <c r="DU13" s="622"/>
      <c r="DV13" s="622"/>
      <c r="DW13" s="622"/>
      <c r="DX13" s="622"/>
      <c r="DY13" s="622"/>
      <c r="DZ13" s="622"/>
      <c r="EA13" s="622"/>
      <c r="EB13" s="622"/>
      <c r="EC13" s="622"/>
      <c r="ED13" s="622"/>
      <c r="EE13" s="622"/>
      <c r="EF13" s="622"/>
      <c r="EG13" s="622"/>
      <c r="EH13" s="622"/>
    </row>
    <row r="14" ht="18" customHeight="1" spans="9:138" x14ac:dyDescent="0.25">
      <c r="I14" s="1309" t="s">
        <v>319</v>
      </c>
      <c r="J14" s="1980">
        <v>40613</v>
      </c>
      <c r="K14" s="1309" t="s">
        <v>1829</v>
      </c>
      <c r="L14" s="1260" t="s">
        <v>1829</v>
      </c>
      <c r="M14" s="1555" t="s">
        <v>1830</v>
      </c>
      <c r="N14" s="1555" t="s">
        <v>1861</v>
      </c>
      <c r="O14" s="1555" t="s">
        <v>1862</v>
      </c>
      <c r="P14" s="1555" t="s">
        <v>1863</v>
      </c>
      <c r="Q14" s="1555" t="s">
        <v>1864</v>
      </c>
      <c r="R14" s="1309" t="s">
        <v>41</v>
      </c>
      <c r="S14" s="1309" t="s">
        <v>1865</v>
      </c>
      <c r="T14" s="1309" t="s">
        <v>1866</v>
      </c>
      <c r="U14" s="1309" t="s">
        <v>1867</v>
      </c>
      <c r="V14" s="1309" t="s">
        <v>1868</v>
      </c>
      <c r="W14" s="1309" t="s">
        <v>1869</v>
      </c>
      <c r="X14" s="1981" t="s">
        <v>1825</v>
      </c>
      <c r="Y14" s="1981" t="s">
        <v>1870</v>
      </c>
      <c r="Z14" s="1981" t="s">
        <v>1871</v>
      </c>
      <c r="AA14" s="1981" t="s">
        <v>1872</v>
      </c>
      <c r="AD14" s="2000">
        <v>2004</v>
      </c>
      <c r="AE14" s="2001">
        <f t="shared" si="2"/>
        <v>0.2036288941241999</v>
      </c>
      <c r="AF14" s="931"/>
      <c r="AG14" s="2001">
        <f t="shared" si="3"/>
        <v>0.3008686639398676</v>
      </c>
      <c r="AH14" s="931"/>
      <c r="AU14" s="2002">
        <f t="shared" si="4"/>
        <v>0.2036288941241999</v>
      </c>
      <c r="AV14" s="1994">
        <f t="shared" si="5"/>
        <v>0.3008686639398676</v>
      </c>
      <c r="AX14" s="2003">
        <v>2004</v>
      </c>
      <c r="AY14" s="2002">
        <f t="shared" si="6"/>
        <v>0.022000000000000002</v>
      </c>
      <c r="AZ14" s="1994"/>
      <c r="BA14" s="2002">
        <f t="shared" si="7"/>
        <v>0.026123556231003042</v>
      </c>
      <c r="BB14" s="1994"/>
      <c r="BO14" s="2004">
        <f t="shared" si="0"/>
        <v>0.026123556231003042</v>
      </c>
      <c r="BP14" s="2005"/>
      <c r="BR14" s="2003">
        <v>2004</v>
      </c>
      <c r="BS14" s="2006">
        <f t="shared" si="8"/>
        <v>10976.3</v>
      </c>
      <c r="BT14" s="1816">
        <f t="shared" si="9"/>
        <v>7845.037</v>
      </c>
      <c r="BU14" s="1812">
        <f t="shared" si="10"/>
        <v>1.3991393539635313</v>
      </c>
      <c r="BV14" s="1815"/>
      <c r="CL14" s="2004">
        <f t="shared" si="1"/>
        <v>1.3991393539635313</v>
      </c>
      <c r="CY14" s="622"/>
      <c r="CZ14" s="622"/>
      <c r="DA14" s="622"/>
      <c r="DB14" s="622"/>
      <c r="DC14" s="622"/>
      <c r="DD14" s="622"/>
      <c r="DE14" s="622"/>
      <c r="DF14" s="622"/>
      <c r="DG14" s="622"/>
      <c r="DH14" s="622"/>
      <c r="DI14" s="622"/>
      <c r="DJ14" s="622"/>
      <c r="DK14" s="622"/>
      <c r="DL14" s="622"/>
      <c r="DM14" s="622"/>
      <c r="DN14" s="622"/>
      <c r="DO14" s="622"/>
      <c r="DP14" s="622"/>
      <c r="DQ14" s="622"/>
      <c r="DR14" s="622"/>
      <c r="DS14" s="622"/>
      <c r="DT14" s="622"/>
      <c r="DU14" s="622"/>
      <c r="DV14" s="622"/>
      <c r="DW14" s="622"/>
      <c r="DX14" s="622"/>
      <c r="DY14" s="622"/>
      <c r="DZ14" s="622"/>
      <c r="EA14" s="622"/>
      <c r="EB14" s="622"/>
      <c r="EC14" s="622"/>
      <c r="ED14" s="622"/>
      <c r="EE14" s="622"/>
      <c r="EF14" s="622"/>
      <c r="EG14" s="622"/>
      <c r="EH14" s="622"/>
    </row>
    <row r="15" ht="18" customHeight="1" spans="9:138" x14ac:dyDescent="0.25">
      <c r="I15" s="1988" t="s">
        <v>56</v>
      </c>
      <c r="J15" s="850">
        <v>40581</v>
      </c>
      <c r="K15" s="1988" t="s">
        <v>56</v>
      </c>
      <c r="L15" s="1309" t="s">
        <v>319</v>
      </c>
      <c r="M15" s="1988" t="s">
        <v>56</v>
      </c>
      <c r="N15" s="1988" t="s">
        <v>56</v>
      </c>
      <c r="O15" s="1988" t="s">
        <v>56</v>
      </c>
      <c r="P15" s="1988" t="s">
        <v>56</v>
      </c>
      <c r="Q15" s="1988" t="s">
        <v>56</v>
      </c>
      <c r="R15" s="1988" t="s">
        <v>1873</v>
      </c>
      <c r="S15" s="1988" t="s">
        <v>56</v>
      </c>
      <c r="T15" s="1988" t="s">
        <v>833</v>
      </c>
      <c r="U15" s="1988" t="s">
        <v>56</v>
      </c>
      <c r="V15" s="1988" t="s">
        <v>56</v>
      </c>
      <c r="W15" s="1988" t="s">
        <v>56</v>
      </c>
      <c r="X15" s="1988" t="s">
        <v>1873</v>
      </c>
      <c r="Y15" s="1988" t="s">
        <v>1873</v>
      </c>
      <c r="Z15" s="1988" t="s">
        <v>1873</v>
      </c>
      <c r="AA15" s="1988" t="s">
        <v>1873</v>
      </c>
      <c r="AD15" s="2000">
        <v>2005</v>
      </c>
      <c r="AE15" s="2001">
        <f t="shared" si="2"/>
        <v>0.19973857695478286</v>
      </c>
      <c r="AF15" s="931"/>
      <c r="AG15" s="2001">
        <f t="shared" si="3"/>
        <v>0.2573106471571416</v>
      </c>
      <c r="AH15" s="931"/>
      <c r="AU15" s="2002">
        <f t="shared" si="4"/>
        <v>0.19973857695478286</v>
      </c>
      <c r="AV15" s="1994">
        <f t="shared" si="5"/>
        <v>0.2573106471571416</v>
      </c>
      <c r="AX15" s="2003">
        <v>2005</v>
      </c>
      <c r="AY15" s="2002">
        <f t="shared" si="6"/>
        <v>0.02</v>
      </c>
      <c r="AZ15" s="1994"/>
      <c r="BA15" s="2002">
        <f t="shared" si="7"/>
        <v>0.03430271846532029</v>
      </c>
      <c r="BB15" s="1994"/>
      <c r="BO15" s="2004">
        <f t="shared" si="0"/>
        <v>0.03430271846532029</v>
      </c>
      <c r="BP15" s="2005"/>
      <c r="BR15" s="2003">
        <v>2005</v>
      </c>
      <c r="BS15" s="2006">
        <f t="shared" si="8"/>
        <v>13819</v>
      </c>
      <c r="BT15" s="1816">
        <f t="shared" si="9"/>
        <v>9439.827</v>
      </c>
      <c r="BU15" s="1812">
        <f t="shared" si="10"/>
        <v>1.4639039465447832</v>
      </c>
      <c r="BV15" s="1815"/>
      <c r="CL15" s="2004">
        <f t="shared" si="1"/>
        <v>1.4639039465447832</v>
      </c>
      <c r="CY15" s="622" t="s">
        <v>1874</v>
      </c>
      <c r="CZ15" s="622"/>
      <c r="DA15" s="622"/>
      <c r="DB15" s="622"/>
      <c r="DC15" s="622"/>
      <c r="DD15" s="622"/>
      <c r="DE15" s="622"/>
      <c r="DF15" s="622"/>
      <c r="DG15" s="622"/>
      <c r="DH15" s="622"/>
      <c r="DI15" s="622"/>
      <c r="DJ15" s="622"/>
      <c r="DK15" s="622"/>
      <c r="DL15" s="622"/>
      <c r="DM15" s="622"/>
      <c r="DN15" s="622"/>
      <c r="DO15" s="622"/>
      <c r="DP15" s="622"/>
      <c r="DQ15" s="622"/>
      <c r="DR15" s="622"/>
      <c r="DS15" s="622"/>
      <c r="DT15" s="622"/>
      <c r="DU15" s="622"/>
      <c r="DV15" s="622"/>
      <c r="DW15" s="622"/>
      <c r="DX15" s="622"/>
      <c r="DY15" s="622"/>
      <c r="DZ15" s="622"/>
      <c r="EA15" s="622"/>
      <c r="EB15" s="622"/>
      <c r="EC15" s="622"/>
      <c r="ED15" s="622"/>
      <c r="EE15" s="622"/>
      <c r="EF15" s="622"/>
      <c r="EG15" s="622"/>
      <c r="EH15" s="622"/>
    </row>
    <row r="16" ht="18" customHeight="1" spans="9:138" x14ac:dyDescent="0.25">
      <c r="I16" s="2013">
        <f t="shared" ref="I16:I36" si="11">(M16+Y16*U16+Z16*V16+AA16*W16)/(1-X16)</f>
        <v>987.6457489878543</v>
      </c>
      <c r="J16" s="2014">
        <v>1995</v>
      </c>
      <c r="K16" s="2015">
        <f t="array" ref="K16:K32">TRANSPOSE(ОТЧЁТ!U89:AK89)</f>
        <v>910.9</v>
      </c>
      <c r="L16" s="2013">
        <f t="shared" ref="L16:L30" si="12">M16+N16+O16+P16+Q16</f>
        <v>986.7248</v>
      </c>
      <c r="M16" s="2016">
        <f t="array" ref="M16:M32">TRANSPOSE(ОТЧЁТ!U88:AK88)</f>
        <v>647.87</v>
      </c>
      <c r="N16" s="1599">
        <f t="shared" ref="N16:N30" si="13">$K16*C22/100</f>
        <v>149.3876</v>
      </c>
      <c r="O16" s="1599">
        <f t="shared" ref="O16:O30" si="14">$K16*D22/100</f>
        <v>119.32789999999999</v>
      </c>
      <c r="P16" s="1599">
        <f t="shared" ref="P16:P30" si="15">$K16*E22/100</f>
        <v>59.208499999999994</v>
      </c>
      <c r="Q16" s="2017">
        <f t="shared" ref="Q16:Q30" si="16">$K16*F22/100</f>
        <v>10.9308</v>
      </c>
      <c r="R16" s="1570">
        <f t="array" ref="R16:R36">TRANSPOSE(ОТЧЁТ!U151:AO151)</f>
        <v>1</v>
      </c>
      <c r="S16" s="1570">
        <f t="array" ref="S16:S30">TRANSPOSE(ОТЧЁТ!U109:AI109)</f>
        <v>1</v>
      </c>
      <c r="T16" s="2017">
        <f t="array" ref="T16:T36">TRANSPOSE(ОТЧЁТ!U170:AO170)</f>
        <v>43.206939348996954</v>
      </c>
      <c r="U16" s="2017">
        <f t="array" ref="U16:U36">TRANSPOSE(ОТЧЁТ!U101:AO101)</f>
        <v>610.792</v>
      </c>
      <c r="V16" s="1570">
        <f t="array" ref="V16:V36">TRANSPOSE(ОТЧЁТ!U102:AO102)</f>
        <v>486.1</v>
      </c>
      <c r="W16" s="1570">
        <f t="array" ref="W16:W30">TRANSPOSE(ОТЧЁТ!U82:AI82)</f>
        <v>5306</v>
      </c>
      <c r="X16" s="1570">
        <f t="shared" ref="X16:X30" si="17">F22/100</f>
        <v>0.012</v>
      </c>
      <c r="Y16" s="2018">
        <f t="shared" ref="Y16:AA17" si="18">N16/U16</f>
        <v>0.24458015167192756</v>
      </c>
      <c r="Z16" s="2018">
        <f t="shared" si="18"/>
        <v>0.24548014811767122</v>
      </c>
      <c r="AA16" s="2019">
        <f t="shared" si="18"/>
        <v>0.011158782510365622</v>
      </c>
      <c r="AD16" s="2000">
        <v>2006</v>
      </c>
      <c r="AE16" s="2001">
        <f t="shared" si="2"/>
        <v>0.20107749480509063</v>
      </c>
      <c r="AF16" s="931"/>
      <c r="AG16" s="2001">
        <f t="shared" si="3"/>
        <v>0.24773283026076987</v>
      </c>
      <c r="AH16" s="931"/>
      <c r="AU16" s="2002">
        <f t="shared" si="4"/>
        <v>0.20107749480509063</v>
      </c>
      <c r="AV16" s="1994">
        <f t="shared" si="5"/>
        <v>0.24773283026076987</v>
      </c>
      <c r="AX16" s="2003">
        <v>2006</v>
      </c>
      <c r="AY16" s="2002">
        <f t="shared" si="6"/>
        <v>0.019</v>
      </c>
      <c r="AZ16" s="1994"/>
      <c r="BA16" s="2002">
        <f t="shared" si="7"/>
        <v>0.036408642001305565</v>
      </c>
      <c r="BB16" s="1994"/>
      <c r="BO16" s="2004">
        <f t="shared" si="0"/>
        <v>0.036408642001305565</v>
      </c>
      <c r="BP16" s="2005"/>
      <c r="BR16" s="2003">
        <v>2006</v>
      </c>
      <c r="BS16" s="2006">
        <f t="shared" si="8"/>
        <v>17290.1</v>
      </c>
      <c r="BT16" s="1816">
        <f t="shared" si="9"/>
        <v>11985.905</v>
      </c>
      <c r="BU16" s="1812">
        <f t="shared" si="10"/>
        <v>1.4425360454634004</v>
      </c>
      <c r="BV16" s="1815"/>
      <c r="CL16" s="2004">
        <f t="shared" si="1"/>
        <v>1.4425360454634004</v>
      </c>
      <c r="CY16" s="622"/>
      <c r="CZ16" s="622"/>
      <c r="DA16" s="622"/>
      <c r="DB16" s="622"/>
      <c r="DC16" s="622"/>
      <c r="DD16" s="622"/>
      <c r="DE16" s="622"/>
      <c r="DF16" s="622"/>
      <c r="DG16" s="622"/>
      <c r="DH16" s="622"/>
      <c r="DI16" s="622"/>
      <c r="DJ16" s="622"/>
      <c r="DK16" s="622"/>
      <c r="DL16" s="622"/>
      <c r="DM16" s="622"/>
      <c r="DN16" s="622"/>
      <c r="DO16" s="622"/>
      <c r="DP16" s="622"/>
      <c r="DQ16" s="622"/>
      <c r="DR16" s="622"/>
      <c r="DS16" s="622"/>
      <c r="DT16" s="622"/>
      <c r="DU16" s="622"/>
      <c r="DV16" s="622"/>
      <c r="DW16" s="622"/>
      <c r="DX16" s="622"/>
      <c r="DY16" s="622"/>
      <c r="DZ16" s="622"/>
      <c r="EA16" s="622"/>
      <c r="EB16" s="622"/>
      <c r="EC16" s="622"/>
      <c r="ED16" s="622"/>
      <c r="EE16" s="622"/>
      <c r="EF16" s="622"/>
      <c r="EG16" s="622"/>
      <c r="EH16" s="622"/>
    </row>
    <row r="17" ht="18" customHeight="1" spans="9:138" x14ac:dyDescent="0.25">
      <c r="I17" s="2020">
        <f t="shared" si="11"/>
        <v>1486.8382204246714</v>
      </c>
      <c r="J17" s="2021">
        <v>1996</v>
      </c>
      <c r="K17" s="2022">
        <v>1357.1</v>
      </c>
      <c r="L17" s="2020">
        <f t="shared" si="12"/>
        <v>1485.4111</v>
      </c>
      <c r="M17" s="2023">
        <v>1022.64</v>
      </c>
      <c r="N17" s="1619">
        <f t="shared" si="13"/>
        <v>184.5656</v>
      </c>
      <c r="O17" s="1619">
        <f t="shared" si="14"/>
        <v>189.99399999999997</v>
      </c>
      <c r="P17" s="1619">
        <f t="shared" si="15"/>
        <v>73.2834</v>
      </c>
      <c r="Q17" s="2024">
        <f t="shared" si="16"/>
        <v>14.928099999999999</v>
      </c>
      <c r="R17" s="2025">
        <v>1.218</v>
      </c>
      <c r="S17" s="2025">
        <v>1.3191577216179184</v>
      </c>
      <c r="T17" s="2024">
        <v>42.7492868993135</v>
      </c>
      <c r="U17" s="2024">
        <v>699.367</v>
      </c>
      <c r="V17" s="2026">
        <v>652.7</v>
      </c>
      <c r="W17" s="2027">
        <v>13072.378</v>
      </c>
      <c r="X17" s="2026">
        <f t="shared" si="17"/>
        <v>0.011000000000000001</v>
      </c>
      <c r="Y17" s="2025">
        <f t="shared" si="18"/>
        <v>0.2639037872819278</v>
      </c>
      <c r="Z17" s="2025">
        <f t="shared" si="18"/>
        <v>0.2910893212808334</v>
      </c>
      <c r="AA17" s="2028">
        <f t="shared" si="18"/>
        <v>0.005605973144289432</v>
      </c>
      <c r="AD17" s="2000">
        <v>2007</v>
      </c>
      <c r="AE17" s="2001">
        <f t="shared" si="2"/>
        <v>0.1871550652627272</v>
      </c>
      <c r="AF17" s="931"/>
      <c r="AG17" s="2001">
        <f t="shared" si="3"/>
        <v>0.2172621218574061</v>
      </c>
      <c r="AH17" s="931"/>
      <c r="AU17" s="2002">
        <f t="shared" si="4"/>
        <v>0.1871550652627272</v>
      </c>
      <c r="AV17" s="1994">
        <f t="shared" si="5"/>
        <v>0.2172621218574061</v>
      </c>
      <c r="AX17" s="2003">
        <v>2007</v>
      </c>
      <c r="AY17" s="2002">
        <f t="shared" si="6"/>
        <v>0.02</v>
      </c>
      <c r="AZ17" s="1994"/>
      <c r="BA17" s="2002">
        <f t="shared" si="7"/>
        <v>0.031407386862280805</v>
      </c>
      <c r="BB17" s="1994"/>
      <c r="BO17" s="2004">
        <f t="shared" si="0"/>
        <v>0.031407386862280805</v>
      </c>
      <c r="BP17" s="2005"/>
      <c r="BR17" s="2003">
        <v>2007</v>
      </c>
      <c r="BS17" s="2006">
        <f t="shared" si="8"/>
        <v>21311.5</v>
      </c>
      <c r="BT17" s="1816">
        <f t="shared" si="9"/>
        <v>15526.11</v>
      </c>
      <c r="BU17" s="1812">
        <f t="shared" si="10"/>
        <v>1.3726232778203942</v>
      </c>
      <c r="BV17" s="1815"/>
      <c r="CL17" s="2004">
        <f t="shared" si="1"/>
        <v>1.3726232778203942</v>
      </c>
      <c r="CY17" s="622" t="s">
        <v>1875</v>
      </c>
      <c r="CZ17" s="622"/>
      <c r="DA17" s="622"/>
      <c r="DB17" s="622"/>
      <c r="DC17" s="622"/>
      <c r="DD17" s="622"/>
      <c r="DE17" s="622"/>
      <c r="DF17" s="622"/>
      <c r="DG17" s="622"/>
      <c r="DH17" s="622"/>
      <c r="DI17" s="622"/>
      <c r="DJ17" s="622"/>
      <c r="DK17" s="622"/>
      <c r="DL17" s="622"/>
      <c r="DM17" s="622"/>
      <c r="DN17" s="622"/>
      <c r="DO17" s="622"/>
      <c r="DP17" s="622"/>
      <c r="DQ17" s="622"/>
      <c r="DR17" s="622"/>
      <c r="DS17" s="622"/>
      <c r="DT17" s="622"/>
      <c r="DU17" s="622"/>
      <c r="DV17" s="622"/>
      <c r="DW17" s="622"/>
      <c r="DX17" s="622"/>
      <c r="DY17" s="622"/>
      <c r="DZ17" s="622"/>
      <c r="EA17" s="622"/>
      <c r="EB17" s="622"/>
      <c r="EC17" s="622"/>
      <c r="ED17" s="622"/>
      <c r="EE17" s="622"/>
      <c r="EF17" s="622"/>
      <c r="EG17" s="622"/>
      <c r="EH17" s="622"/>
    </row>
    <row r="18" ht="18" customHeight="1" spans="9:138" x14ac:dyDescent="0.25">
      <c r="I18" s="2020">
        <f t="shared" si="11"/>
        <v>1773.7578203834514</v>
      </c>
      <c r="J18" s="2021">
        <v>1997</v>
      </c>
      <c r="K18" s="2022">
        <v>1656.4</v>
      </c>
      <c r="L18" s="2020">
        <f t="shared" si="12"/>
        <v>1772.7015999999999</v>
      </c>
      <c r="M18" s="2023">
        <v>1202.9</v>
      </c>
      <c r="N18" s="1619">
        <f t="shared" si="13"/>
        <v>215.332</v>
      </c>
      <c r="O18" s="1619">
        <f t="shared" si="14"/>
        <v>245.1472</v>
      </c>
      <c r="P18" s="1619">
        <f t="shared" si="15"/>
        <v>94.41480000000001</v>
      </c>
      <c r="Q18" s="2024">
        <f t="shared" si="16"/>
        <v>14.907600000000002</v>
      </c>
      <c r="R18" s="2025">
        <v>1.3519800000000002</v>
      </c>
      <c r="S18" s="2025">
        <v>1.465619370714605</v>
      </c>
      <c r="T18" s="2024">
        <v>45.44724189473684</v>
      </c>
      <c r="U18" s="2024">
        <v>783.3437</v>
      </c>
      <c r="V18" s="2026">
        <v>839.5</v>
      </c>
      <c r="W18" s="2027">
        <v>13286.272</v>
      </c>
      <c r="X18" s="2026">
        <f t="shared" si="17"/>
        <v>0.009000000000000001</v>
      </c>
      <c r="Y18" s="2025">
        <f t="shared" ref="Y18:Y30" si="19">N18/U18</f>
        <v>0.2748882770104617</v>
      </c>
      <c r="Z18" s="2025">
        <f t="shared" ref="Z18:Z30" si="20">O18/V18</f>
        <v>0.2920157236450268</v>
      </c>
      <c r="AA18" s="2028">
        <f t="shared" ref="AA18:AA30" si="21">P18/W18</f>
        <v>0.0071061920153373355</v>
      </c>
      <c r="AD18" s="2000">
        <v>2008</v>
      </c>
      <c r="AE18" s="2001">
        <f t="shared" si="2"/>
        <v>0.1907508130412558</v>
      </c>
      <c r="AF18" s="931">
        <f>AE18</f>
        <v>0.1907508130412558</v>
      </c>
      <c r="AG18" s="2001">
        <f t="shared" si="3"/>
        <v>0.2381545517985264</v>
      </c>
      <c r="AH18" s="931">
        <f>AG18</f>
        <v>0.2381545517985264</v>
      </c>
      <c r="AU18" s="2002">
        <f t="shared" si="4"/>
        <v>0.1907508130412558</v>
      </c>
      <c r="AV18" s="1994">
        <f t="shared" si="5"/>
        <v>0.2381545517985264</v>
      </c>
      <c r="AX18" s="2003">
        <v>2008</v>
      </c>
      <c r="AY18" s="2002">
        <f t="shared" si="6"/>
        <v>0.02</v>
      </c>
      <c r="AZ18" s="2029"/>
      <c r="BA18" s="2002">
        <f t="shared" si="7"/>
        <v>0.021023385764369285</v>
      </c>
      <c r="BB18" s="2029">
        <f>BA18</f>
        <v>0.021023385764369285</v>
      </c>
      <c r="BO18" s="2004">
        <f t="shared" si="0"/>
        <v>0.021023385764369285</v>
      </c>
      <c r="BP18" s="2005"/>
      <c r="BR18" s="2003">
        <v>2008</v>
      </c>
      <c r="BS18" s="2006">
        <f t="shared" si="8"/>
        <v>25244</v>
      </c>
      <c r="BT18" s="1816">
        <f t="shared" si="9"/>
        <v>19559.76</v>
      </c>
      <c r="BU18" s="1812">
        <f t="shared" si="10"/>
        <v>1.2906088827265776</v>
      </c>
      <c r="BV18" s="1815"/>
      <c r="CL18" s="2004">
        <f t="shared" si="1"/>
        <v>1.2906088827265776</v>
      </c>
      <c r="CY18" s="622"/>
      <c r="CZ18" s="622"/>
      <c r="DA18" s="622"/>
      <c r="DB18" s="622"/>
      <c r="DC18" s="622"/>
      <c r="DD18" s="622"/>
      <c r="DE18" s="622"/>
      <c r="DF18" s="622"/>
      <c r="DG18" s="622"/>
      <c r="DH18" s="622"/>
      <c r="DI18" s="622"/>
      <c r="DJ18" s="622"/>
      <c r="DK18" s="622"/>
      <c r="DL18" s="622"/>
      <c r="DM18" s="622"/>
      <c r="DN18" s="622"/>
      <c r="DO18" s="622"/>
      <c r="DP18" s="622"/>
      <c r="DQ18" s="622"/>
      <c r="DR18" s="622"/>
      <c r="DS18" s="622"/>
      <c r="DT18" s="622"/>
      <c r="DU18" s="622"/>
      <c r="DV18" s="622"/>
      <c r="DW18" s="622"/>
      <c r="DX18" s="622"/>
      <c r="DY18" s="622"/>
      <c r="DZ18" s="622"/>
      <c r="EA18" s="622"/>
      <c r="EB18" s="622"/>
      <c r="EC18" s="622"/>
      <c r="ED18" s="622"/>
      <c r="EE18" s="622"/>
      <c r="EF18" s="622"/>
      <c r="EG18" s="622"/>
      <c r="EH18" s="622"/>
    </row>
    <row r="19" ht="18" customHeight="1" spans="9:138" x14ac:dyDescent="0.25">
      <c r="I19" s="2020">
        <f t="shared" si="11"/>
        <v>1871.2966700302727</v>
      </c>
      <c r="J19" s="2021">
        <v>1998</v>
      </c>
      <c r="K19" s="2022">
        <v>1776</v>
      </c>
      <c r="L19" s="2020">
        <f t="shared" si="12"/>
        <v>1870.439</v>
      </c>
      <c r="M19" s="2023">
        <v>1263.047</v>
      </c>
      <c r="N19" s="1619">
        <f t="shared" si="13"/>
        <v>255.74400000000003</v>
      </c>
      <c r="O19" s="1619">
        <f t="shared" si="14"/>
        <v>237.984</v>
      </c>
      <c r="P19" s="1619">
        <f t="shared" si="15"/>
        <v>97.68</v>
      </c>
      <c r="Q19" s="2024">
        <f t="shared" si="16"/>
        <v>15.984000000000002</v>
      </c>
      <c r="R19" s="2025">
        <v>2.4930511200000005</v>
      </c>
      <c r="S19" s="2025">
        <v>0.8571672725429934</v>
      </c>
      <c r="T19" s="2024">
        <v>44.298503885723704</v>
      </c>
      <c r="U19" s="2024">
        <v>946.6884</v>
      </c>
      <c r="V19" s="2026">
        <v>842.1</v>
      </c>
      <c r="W19" s="2027">
        <v>14125.67</v>
      </c>
      <c r="X19" s="2026">
        <f t="shared" si="17"/>
        <v>0.009000000000000001</v>
      </c>
      <c r="Y19" s="2025">
        <f t="shared" si="19"/>
        <v>0.27014591073472544</v>
      </c>
      <c r="Z19" s="2025">
        <f t="shared" si="20"/>
        <v>0.28260776629853934</v>
      </c>
      <c r="AA19" s="2028">
        <f t="shared" si="21"/>
        <v>0.006915070223217731</v>
      </c>
      <c r="AD19" s="2000">
        <v>2009</v>
      </c>
      <c r="AE19" s="2001">
        <f t="shared" si="2"/>
        <v>0.2335070395432094</v>
      </c>
      <c r="AF19" s="931">
        <f>AE19</f>
        <v>0.2335070395432094</v>
      </c>
      <c r="AG19" s="2001">
        <f t="shared" si="3"/>
        <v>0.26644114952985676</v>
      </c>
      <c r="AH19" s="931">
        <f>AG19</f>
        <v>0.26644114952985676</v>
      </c>
      <c r="AU19" s="2002">
        <f t="shared" si="4"/>
        <v>0.2335070395432094</v>
      </c>
      <c r="AV19" s="1994">
        <f t="shared" si="5"/>
        <v>0.26644114952985676</v>
      </c>
      <c r="AX19" s="2003">
        <v>2009</v>
      </c>
      <c r="AY19" s="2002">
        <f t="shared" si="6"/>
        <v>0.02</v>
      </c>
      <c r="AZ19" s="2029">
        <f>AY19</f>
        <v>0.02</v>
      </c>
      <c r="BA19" s="2002">
        <f t="shared" si="7"/>
        <v>0.022664279583887188</v>
      </c>
      <c r="BB19" s="2029">
        <f>BA19</f>
        <v>0.022664279583887188</v>
      </c>
      <c r="BO19" s="2004">
        <f t="shared" si="0"/>
        <v>0.022664279583887188</v>
      </c>
      <c r="BP19" s="2005"/>
      <c r="BR19" s="2003">
        <v>2009</v>
      </c>
      <c r="BS19" s="2006">
        <f t="shared" si="8"/>
        <v>28697.5</v>
      </c>
      <c r="BT19" s="1816">
        <f t="shared" si="9"/>
        <v>20411.61</v>
      </c>
      <c r="BU19" s="1812">
        <f t="shared" si="10"/>
        <v>1.405940050784823</v>
      </c>
      <c r="BV19" s="1815"/>
      <c r="CL19" s="2004">
        <f t="shared" si="1"/>
        <v>1.405940050784823</v>
      </c>
      <c r="CY19" s="2012" t="s">
        <v>1876</v>
      </c>
      <c r="CZ19" s="2012"/>
      <c r="DA19" s="2012"/>
      <c r="DB19" s="2012"/>
      <c r="DC19" s="2012"/>
      <c r="DD19" s="2012"/>
      <c r="DE19" s="622"/>
      <c r="DF19" s="622"/>
      <c r="DG19" s="622"/>
      <c r="DH19" s="622"/>
      <c r="DI19" s="622"/>
      <c r="DJ19" s="622"/>
      <c r="DK19" s="622"/>
      <c r="DL19" s="622"/>
      <c r="DM19" s="622"/>
      <c r="DN19" s="622"/>
      <c r="DO19" s="622"/>
      <c r="DP19" s="622"/>
      <c r="DQ19" s="622"/>
      <c r="DR19" s="622"/>
      <c r="DS19" s="622"/>
      <c r="DT19" s="622"/>
      <c r="DU19" s="622"/>
      <c r="DV19" s="622"/>
      <c r="DW19" s="622"/>
      <c r="DX19" s="622"/>
      <c r="DY19" s="622"/>
      <c r="DZ19" s="622"/>
      <c r="EA19" s="622"/>
      <c r="EB19" s="622"/>
      <c r="EC19" s="622"/>
      <c r="ED19" s="622"/>
      <c r="EE19" s="622"/>
      <c r="EF19" s="622"/>
      <c r="EG19" s="622"/>
      <c r="EH19" s="622"/>
    </row>
    <row r="20" ht="18" customHeight="1" spans="1:138" x14ac:dyDescent="0.25">
      <c r="A20" s="1156"/>
      <c r="B20" s="1544" t="s">
        <v>1877</v>
      </c>
      <c r="C20" s="1544"/>
      <c r="D20" s="1544"/>
      <c r="E20" s="1544"/>
      <c r="F20" s="1579"/>
      <c r="G20" s="1309" t="s">
        <v>1829</v>
      </c>
      <c r="I20" s="2020">
        <f t="shared" si="11"/>
        <v>2907.8169525731587</v>
      </c>
      <c r="J20" s="2021">
        <v>1999</v>
      </c>
      <c r="K20" s="2022">
        <v>2908.1</v>
      </c>
      <c r="L20" s="2020">
        <f t="shared" si="12"/>
        <v>2907.8195</v>
      </c>
      <c r="M20" s="2023">
        <v>1933.606</v>
      </c>
      <c r="N20" s="1619">
        <f t="shared" si="13"/>
        <v>360.6044</v>
      </c>
      <c r="O20" s="1619">
        <f t="shared" si="14"/>
        <v>380.9611</v>
      </c>
      <c r="P20" s="1619">
        <f t="shared" si="15"/>
        <v>206.4751</v>
      </c>
      <c r="Q20" s="2024">
        <f t="shared" si="16"/>
        <v>26.1729</v>
      </c>
      <c r="R20" s="2025">
        <v>3.4030147788000007</v>
      </c>
      <c r="S20" s="2025">
        <v>0.8905613871995075</v>
      </c>
      <c r="T20" s="2024">
        <v>43.41673739769028</v>
      </c>
      <c r="U20" s="2024">
        <v>2131.5119</v>
      </c>
      <c r="V20" s="2024">
        <v>1258</v>
      </c>
      <c r="W20" s="2027">
        <v>14246.427</v>
      </c>
      <c r="X20" s="2026">
        <f t="shared" si="17"/>
        <v>0.009000000000000001</v>
      </c>
      <c r="Y20" s="2025">
        <f t="shared" si="19"/>
        <v>0.16917775593934054</v>
      </c>
      <c r="Z20" s="2025">
        <f t="shared" si="20"/>
        <v>0.3028307631160572</v>
      </c>
      <c r="AA20" s="2028">
        <f t="shared" si="21"/>
        <v>0.014493114659556394</v>
      </c>
      <c r="AD20" s="2000">
        <v>2010</v>
      </c>
      <c r="AE20" s="2030"/>
      <c r="AF20" s="931">
        <v>0.23</v>
      </c>
      <c r="AG20" s="2030"/>
      <c r="AH20" s="931">
        <f>AH19+0.6*(AH19-AH18)</f>
        <v>0.28341310816865495</v>
      </c>
      <c r="AU20" s="2002">
        <f>AF20</f>
        <v>0.23</v>
      </c>
      <c r="AV20" s="1994">
        <f>AH20</f>
        <v>0.28341310816865495</v>
      </c>
      <c r="AX20" s="2003">
        <v>2010</v>
      </c>
      <c r="AY20" s="2031"/>
      <c r="AZ20" s="2029">
        <f>AZ19</f>
        <v>0.02</v>
      </c>
      <c r="BA20" s="2031"/>
      <c r="BB20" s="2029">
        <f>0.03</f>
        <v>0.03</v>
      </c>
      <c r="BO20" s="2004">
        <f t="shared" ref="BO20:BO40" si="22">BB20</f>
        <v>0.03</v>
      </c>
      <c r="BP20" s="2005"/>
      <c r="BR20" s="2003">
        <v>2010</v>
      </c>
      <c r="BS20" s="2006">
        <f t="shared" si="8"/>
        <v>32498.3</v>
      </c>
      <c r="BT20" s="1816">
        <f t="shared" si="9"/>
        <v>22995.63</v>
      </c>
      <c r="BU20" s="1812">
        <f t="shared" si="10"/>
        <v>1.4132380804526772</v>
      </c>
      <c r="BV20" s="1815">
        <f>BU20</f>
        <v>1.4132380804526772</v>
      </c>
      <c r="CL20" s="2004">
        <f t="shared" ref="CL20:CL40" si="23">BV20</f>
        <v>1.4132380804526772</v>
      </c>
      <c r="CY20" s="622"/>
      <c r="CZ20" s="622"/>
      <c r="DA20" s="622"/>
      <c r="DB20" s="622"/>
      <c r="DC20" s="622"/>
      <c r="DD20" s="622"/>
      <c r="DE20" s="622"/>
      <c r="DF20" s="622"/>
      <c r="DG20" s="622"/>
      <c r="DH20" s="622"/>
      <c r="DI20" s="622"/>
      <c r="DJ20" s="622"/>
      <c r="DK20" s="622"/>
      <c r="DL20" s="622"/>
      <c r="DM20" s="622"/>
      <c r="DN20" s="622"/>
      <c r="DO20" s="622"/>
      <c r="DP20" s="622"/>
      <c r="DQ20" s="622"/>
      <c r="DR20" s="622"/>
      <c r="DS20" s="622"/>
      <c r="DT20" s="622"/>
      <c r="DU20" s="622"/>
      <c r="DV20" s="622"/>
      <c r="DW20" s="622"/>
      <c r="DX20" s="622"/>
      <c r="DY20" s="622"/>
      <c r="DZ20" s="622"/>
      <c r="EA20" s="622"/>
      <c r="EB20" s="622"/>
      <c r="EC20" s="622"/>
      <c r="ED20" s="622"/>
      <c r="EE20" s="622"/>
      <c r="EF20" s="622"/>
      <c r="EG20" s="622"/>
      <c r="EH20" s="622"/>
    </row>
    <row r="21" ht="18" customHeight="1" spans="1:138" x14ac:dyDescent="0.25">
      <c r="A21" s="2032" t="s">
        <v>1878</v>
      </c>
      <c r="B21" s="2033" t="s">
        <v>1879</v>
      </c>
      <c r="C21" s="2033" t="s">
        <v>1880</v>
      </c>
      <c r="D21" s="2033" t="s">
        <v>1881</v>
      </c>
      <c r="E21" s="2033" t="s">
        <v>1882</v>
      </c>
      <c r="F21" s="2033" t="s">
        <v>1883</v>
      </c>
      <c r="G21" s="1988" t="s">
        <v>56</v>
      </c>
      <c r="I21" s="2020">
        <f t="shared" si="11"/>
        <v>4424.528340080972</v>
      </c>
      <c r="J21" s="2021">
        <v>2000</v>
      </c>
      <c r="K21" s="2022">
        <v>3983.9</v>
      </c>
      <c r="L21" s="2020">
        <f t="shared" si="12"/>
        <v>4419.2408000000005</v>
      </c>
      <c r="M21" s="2023">
        <v>2937.23</v>
      </c>
      <c r="N21" s="1619">
        <f t="shared" si="13"/>
        <v>613.5206000000001</v>
      </c>
      <c r="O21" s="1619">
        <f t="shared" si="14"/>
        <v>549.7782000000001</v>
      </c>
      <c r="P21" s="1619">
        <f t="shared" si="15"/>
        <v>270.9052</v>
      </c>
      <c r="Q21" s="2024">
        <f t="shared" si="16"/>
        <v>47.8068</v>
      </c>
      <c r="R21" s="2025">
        <v>4.090423764117601</v>
      </c>
      <c r="S21" s="2025">
        <v>1.0910735084339893</v>
      </c>
      <c r="T21" s="2024">
        <v>46.04676815125376</v>
      </c>
      <c r="U21" s="2024">
        <v>3119.9324</v>
      </c>
      <c r="V21" s="2026">
        <v>1960.1</v>
      </c>
      <c r="W21" s="2026">
        <v>17464</v>
      </c>
      <c r="X21" s="2026">
        <f t="shared" si="17"/>
        <v>0.012</v>
      </c>
      <c r="Y21" s="2025">
        <f t="shared" si="19"/>
        <v>0.19664547860075432</v>
      </c>
      <c r="Z21" s="2025">
        <f t="shared" si="20"/>
        <v>0.28048477118514364</v>
      </c>
      <c r="AA21" s="2028">
        <f t="shared" si="21"/>
        <v>0.015512207970682547</v>
      </c>
      <c r="AD21" s="2000">
        <v>2011</v>
      </c>
      <c r="AE21" s="2030"/>
      <c r="AF21" s="931">
        <v>0.215</v>
      </c>
      <c r="AG21" s="2030"/>
      <c r="AH21" s="931">
        <f t="shared" ref="AH21:AH40" si="24">AH20+0.6*(AH20-AH19)</f>
        <v>0.2935962833519339</v>
      </c>
      <c r="AU21" s="2002">
        <f t="shared" ref="AU21:AU40" si="25">AF21</f>
        <v>0.215</v>
      </c>
      <c r="AV21" s="1994">
        <f t="shared" ref="AV21:AV40" si="26">AH21</f>
        <v>0.2935962833519339</v>
      </c>
      <c r="AX21" s="2003">
        <v>2011</v>
      </c>
      <c r="AY21" s="2031"/>
      <c r="AZ21" s="2029">
        <f t="shared" ref="AZ21:AZ40" si="27">AZ20</f>
        <v>0.02</v>
      </c>
      <c r="BA21" s="2031"/>
      <c r="BB21" s="2029">
        <f>BB20+0.75*(BB20-BB19)</f>
        <v>0.035501790312084607</v>
      </c>
      <c r="BO21" s="2004">
        <f t="shared" si="22"/>
        <v>0.035501790312084607</v>
      </c>
      <c r="BP21" s="2005"/>
      <c r="BR21" s="2003">
        <v>2011</v>
      </c>
      <c r="BS21" s="2006">
        <f t="shared" si="8"/>
        <v>35648.7</v>
      </c>
      <c r="BT21" s="1816">
        <f t="shared" si="9"/>
        <v>26386.6754</v>
      </c>
      <c r="BU21" s="1812">
        <f t="shared" si="10"/>
        <v>1.3510114275328524</v>
      </c>
      <c r="BV21" s="1815">
        <f>BU21</f>
        <v>1.3510114275328524</v>
      </c>
      <c r="CL21" s="2004">
        <f t="shared" si="23"/>
        <v>1.3510114275328524</v>
      </c>
      <c r="CY21" s="622" t="s">
        <v>1884</v>
      </c>
      <c r="CZ21" s="622"/>
      <c r="DA21" s="622"/>
      <c r="DB21" s="622"/>
      <c r="DC21" s="622"/>
      <c r="DD21" s="622"/>
      <c r="DE21" s="622"/>
      <c r="DF21" s="622"/>
      <c r="DG21" s="622"/>
      <c r="DH21" s="622"/>
      <c r="DI21" s="622"/>
      <c r="DJ21" s="622"/>
      <c r="DK21" s="622"/>
      <c r="DL21" s="622"/>
      <c r="DM21" s="622"/>
      <c r="DN21" s="622"/>
      <c r="DO21" s="622"/>
      <c r="DP21" s="622"/>
      <c r="DQ21" s="622"/>
      <c r="DR21" s="622"/>
      <c r="DS21" s="622"/>
      <c r="DT21" s="622"/>
      <c r="DU21" s="622"/>
      <c r="DV21" s="622"/>
      <c r="DW21" s="622"/>
      <c r="DX21" s="622"/>
      <c r="DY21" s="622"/>
      <c r="DZ21" s="622"/>
      <c r="EA21" s="622"/>
      <c r="EB21" s="622"/>
      <c r="EC21" s="622"/>
      <c r="ED21" s="622"/>
      <c r="EE21" s="622"/>
      <c r="EF21" s="622"/>
      <c r="EG21" s="622"/>
      <c r="EH21" s="622"/>
    </row>
    <row r="22" ht="18" customHeight="1" spans="1:138" x14ac:dyDescent="0.25">
      <c r="A22" s="2014">
        <v>1995</v>
      </c>
      <c r="B22" s="2034">
        <v>62.8</v>
      </c>
      <c r="C22" s="2034">
        <v>16.4</v>
      </c>
      <c r="D22" s="2034">
        <v>13.1</v>
      </c>
      <c r="E22" s="2034">
        <v>6.5</v>
      </c>
      <c r="F22" s="2034">
        <v>1.2</v>
      </c>
      <c r="G22" s="2013">
        <v>910.9</v>
      </c>
      <c r="I22" s="2020">
        <f t="shared" si="11"/>
        <v>5741.634046890928</v>
      </c>
      <c r="J22" s="2021">
        <v>2001</v>
      </c>
      <c r="K22" s="2022">
        <v>5325.8</v>
      </c>
      <c r="L22" s="2020">
        <f t="shared" si="12"/>
        <v>5733.733200000001</v>
      </c>
      <c r="M22" s="2023">
        <v>3848.4</v>
      </c>
      <c r="N22" s="1619">
        <f t="shared" si="13"/>
        <v>671.0508</v>
      </c>
      <c r="O22" s="1619">
        <f t="shared" si="14"/>
        <v>809.5216</v>
      </c>
      <c r="P22" s="1619">
        <f t="shared" si="15"/>
        <v>303.5706</v>
      </c>
      <c r="Q22" s="2024">
        <f t="shared" si="16"/>
        <v>101.1902</v>
      </c>
      <c r="R22" s="2025">
        <v>4.851242584243474</v>
      </c>
      <c r="S22" s="2025">
        <v>1.2043645968535897</v>
      </c>
      <c r="T22" s="2024">
        <v>48.263748607689806</v>
      </c>
      <c r="U22" s="2024">
        <v>3692.6014</v>
      </c>
      <c r="V22" s="2026">
        <v>2419.4</v>
      </c>
      <c r="W22" s="2027">
        <v>20241.428</v>
      </c>
      <c r="X22" s="2026">
        <f t="shared" si="17"/>
        <v>0.019</v>
      </c>
      <c r="Y22" s="2025">
        <f t="shared" si="19"/>
        <v>0.18172846925747252</v>
      </c>
      <c r="Z22" s="2025">
        <f t="shared" si="20"/>
        <v>0.33459601554104323</v>
      </c>
      <c r="AA22" s="2028">
        <f t="shared" si="21"/>
        <v>0.014997489307572569</v>
      </c>
      <c r="AD22" s="2000">
        <v>2012</v>
      </c>
      <c r="AE22" s="2030"/>
      <c r="AF22" s="931">
        <f>AF21</f>
        <v>0.215</v>
      </c>
      <c r="AG22" s="2030"/>
      <c r="AH22" s="931">
        <f t="shared" si="24"/>
        <v>0.2997061884619012</v>
      </c>
      <c r="AU22" s="2002">
        <f t="shared" si="25"/>
        <v>0.215</v>
      </c>
      <c r="AV22" s="1994">
        <f t="shared" si="26"/>
        <v>0.2997061884619012</v>
      </c>
      <c r="AX22" s="2003">
        <v>2012</v>
      </c>
      <c r="AY22" s="2031"/>
      <c r="AZ22" s="2029">
        <f t="shared" si="27"/>
        <v>0.02</v>
      </c>
      <c r="BA22" s="2031"/>
      <c r="BB22" s="2029">
        <f t="shared" ref="BB22:BB40" si="28">BB21+0.75*(BB21-BB20)</f>
        <v>0.03962813304614806</v>
      </c>
      <c r="BO22" s="2004">
        <f t="shared" si="22"/>
        <v>0.03962813304614806</v>
      </c>
      <c r="BP22" s="2005"/>
      <c r="BR22" s="2003">
        <v>2012</v>
      </c>
      <c r="BS22" s="1950"/>
      <c r="BT22" s="1815"/>
      <c r="BU22" s="1950"/>
      <c r="BV22" s="1815">
        <f>BV21+0.3*(BV21-BV20)</f>
        <v>1.332343431656905</v>
      </c>
      <c r="CL22" s="2004">
        <f t="shared" si="23"/>
        <v>1.332343431656905</v>
      </c>
      <c r="CY22" s="622"/>
      <c r="CZ22" s="622"/>
      <c r="DA22" s="622"/>
      <c r="DB22" s="622"/>
      <c r="DC22" s="622"/>
      <c r="DD22" s="622"/>
      <c r="DE22" s="622"/>
      <c r="DF22" s="622"/>
      <c r="DG22" s="622"/>
      <c r="DH22" s="622"/>
      <c r="DI22" s="622"/>
      <c r="DJ22" s="622"/>
      <c r="DK22" s="622"/>
      <c r="DL22" s="622"/>
      <c r="DM22" s="622"/>
      <c r="DN22" s="622"/>
      <c r="DO22" s="622"/>
      <c r="DP22" s="622"/>
      <c r="DQ22" s="622"/>
      <c r="DR22" s="622"/>
      <c r="DS22" s="622"/>
      <c r="DT22" s="622"/>
      <c r="DU22" s="622"/>
      <c r="DV22" s="622"/>
      <c r="DW22" s="622"/>
      <c r="DX22" s="622"/>
      <c r="DY22" s="622"/>
      <c r="DZ22" s="622"/>
      <c r="EA22" s="622"/>
      <c r="EB22" s="622"/>
      <c r="EC22" s="622"/>
      <c r="ED22" s="622"/>
      <c r="EE22" s="622"/>
      <c r="EF22" s="622"/>
      <c r="EG22" s="622"/>
      <c r="EH22" s="622"/>
    </row>
    <row r="23" ht="18" customHeight="1" spans="1:138" x14ac:dyDescent="0.25">
      <c r="A23" s="2021">
        <v>1996</v>
      </c>
      <c r="B23" s="2034">
        <v>65.9</v>
      </c>
      <c r="C23" s="2035">
        <v>13.6</v>
      </c>
      <c r="D23" s="2034">
        <v>14</v>
      </c>
      <c r="E23" s="2034">
        <v>5.4</v>
      </c>
      <c r="F23" s="2034">
        <v>1.1</v>
      </c>
      <c r="G23" s="2020">
        <v>1357.1</v>
      </c>
      <c r="I23" s="2020">
        <f t="shared" si="11"/>
        <v>7412.3476044852205</v>
      </c>
      <c r="J23" s="2021">
        <v>2002</v>
      </c>
      <c r="K23" s="2022">
        <v>6831</v>
      </c>
      <c r="L23" s="2020">
        <f t="shared" si="12"/>
        <v>7401.302000000001</v>
      </c>
      <c r="M23" s="2023">
        <v>5065.1</v>
      </c>
      <c r="N23" s="1619">
        <f t="shared" si="13"/>
        <v>812.8890000000001</v>
      </c>
      <c r="O23" s="1619">
        <f t="shared" si="14"/>
        <v>1038.312</v>
      </c>
      <c r="P23" s="1619">
        <f t="shared" si="15"/>
        <v>355.21200000000005</v>
      </c>
      <c r="Q23" s="2024">
        <f t="shared" si="16"/>
        <v>129.789</v>
      </c>
      <c r="R23" s="2025">
        <v>5.583780214464239</v>
      </c>
      <c r="S23" s="2025">
        <v>1.3454454046567674</v>
      </c>
      <c r="T23" s="2024">
        <v>49.22629539903151</v>
      </c>
      <c r="U23" s="2024">
        <v>3906.8679</v>
      </c>
      <c r="V23" s="2026">
        <v>3422.3</v>
      </c>
      <c r="W23" s="2026">
        <v>24431</v>
      </c>
      <c r="X23" s="2026">
        <f t="shared" si="17"/>
        <v>0.019</v>
      </c>
      <c r="Y23" s="2025">
        <f t="shared" si="19"/>
        <v>0.20806667151453984</v>
      </c>
      <c r="Z23" s="2025">
        <f t="shared" si="20"/>
        <v>0.3033959617800894</v>
      </c>
      <c r="AA23" s="2028">
        <f t="shared" si="21"/>
        <v>0.014539396668167495</v>
      </c>
      <c r="AD23" s="2000">
        <v>2013</v>
      </c>
      <c r="AE23" s="2030"/>
      <c r="AF23" s="931">
        <f t="shared" ref="AF23:AF40" si="29">AF22</f>
        <v>0.215</v>
      </c>
      <c r="AG23" s="2030"/>
      <c r="AH23" s="931">
        <f t="shared" si="24"/>
        <v>0.3033721315278816</v>
      </c>
      <c r="AU23" s="2002">
        <f t="shared" si="25"/>
        <v>0.215</v>
      </c>
      <c r="AV23" s="1994">
        <f t="shared" si="26"/>
        <v>0.3033721315278816</v>
      </c>
      <c r="AX23" s="2003">
        <v>2013</v>
      </c>
      <c r="AY23" s="2031"/>
      <c r="AZ23" s="2029">
        <f t="shared" si="27"/>
        <v>0.02</v>
      </c>
      <c r="BA23" s="2031"/>
      <c r="BB23" s="2029">
        <f t="shared" si="28"/>
        <v>0.04272289009669565</v>
      </c>
      <c r="BO23" s="2004">
        <f t="shared" si="22"/>
        <v>0.04272289009669565</v>
      </c>
      <c r="BP23" s="2005"/>
      <c r="BR23" s="2003">
        <v>2013</v>
      </c>
      <c r="BS23" s="1950"/>
      <c r="BT23" s="1815"/>
      <c r="BU23" s="1950"/>
      <c r="BV23" s="1815">
        <f t="shared" ref="BV23:BV40" si="30">BV22+0.3*(BV22-BV21)</f>
        <v>1.3267430328941208</v>
      </c>
      <c r="CL23" s="2004">
        <f t="shared" si="23"/>
        <v>1.3267430328941208</v>
      </c>
      <c r="CY23" s="622" t="s">
        <v>1885</v>
      </c>
      <c r="CZ23" s="622"/>
      <c r="DA23" s="622"/>
      <c r="DB23" s="622"/>
      <c r="DC23" s="622"/>
      <c r="DD23" s="622"/>
      <c r="DE23" s="622"/>
      <c r="DF23" s="622"/>
      <c r="DG23" s="622"/>
      <c r="DH23" s="622"/>
      <c r="DI23" s="622"/>
      <c r="DJ23" s="622"/>
      <c r="DK23" s="622"/>
      <c r="DL23" s="622"/>
      <c r="DM23" s="622"/>
      <c r="DN23" s="622"/>
      <c r="DO23" s="622"/>
      <c r="DP23" s="622"/>
      <c r="DQ23" s="622"/>
      <c r="DR23" s="622"/>
      <c r="DS23" s="622"/>
      <c r="DT23" s="622"/>
      <c r="DU23" s="622"/>
      <c r="DV23" s="622"/>
      <c r="DW23" s="622"/>
      <c r="DX23" s="622"/>
      <c r="DY23" s="622"/>
      <c r="DZ23" s="622"/>
      <c r="EA23" s="622"/>
      <c r="EB23" s="622"/>
      <c r="EC23" s="622"/>
      <c r="ED23" s="622"/>
      <c r="EE23" s="622"/>
      <c r="EF23" s="622"/>
      <c r="EG23" s="622"/>
      <c r="EH23" s="622"/>
    </row>
    <row r="24" ht="18" customHeight="1" spans="1:138" x14ac:dyDescent="0.25">
      <c r="A24" s="2021">
        <v>1997</v>
      </c>
      <c r="B24" s="2034">
        <v>65.6</v>
      </c>
      <c r="C24" s="2034">
        <v>13</v>
      </c>
      <c r="D24" s="2035">
        <v>14.8</v>
      </c>
      <c r="E24" s="2034">
        <v>5.7</v>
      </c>
      <c r="F24" s="2034">
        <v>0.9</v>
      </c>
      <c r="G24" s="2020">
        <v>1656.4</v>
      </c>
      <c r="I24" s="2020">
        <f t="shared" si="11"/>
        <v>9456.703987730061</v>
      </c>
      <c r="J24" s="2021">
        <v>2003</v>
      </c>
      <c r="K24" s="2022">
        <v>8900.5</v>
      </c>
      <c r="L24" s="2020">
        <f t="shared" si="12"/>
        <v>9444.467499999999</v>
      </c>
      <c r="M24" s="2023">
        <v>6231.387</v>
      </c>
      <c r="N24" s="1619">
        <f t="shared" si="13"/>
        <v>1068.06</v>
      </c>
      <c r="O24" s="1619">
        <f t="shared" si="14"/>
        <v>1254.9705000000001</v>
      </c>
      <c r="P24" s="1619">
        <f t="shared" si="15"/>
        <v>694.2389999999999</v>
      </c>
      <c r="Q24" s="2024">
        <f t="shared" si="16"/>
        <v>195.81100000000004</v>
      </c>
      <c r="R24" s="2025">
        <v>6.253833840199949</v>
      </c>
      <c r="S24" s="2025">
        <v>1.4850279596592788</v>
      </c>
      <c r="T24" s="2024">
        <v>53.22299360111471</v>
      </c>
      <c r="U24" s="2024">
        <v>4864.3283</v>
      </c>
      <c r="V24" s="2026">
        <v>3964.9</v>
      </c>
      <c r="W24" s="2027">
        <v>30329.1</v>
      </c>
      <c r="X24" s="2026">
        <f t="shared" si="17"/>
        <v>0.022000000000000002</v>
      </c>
      <c r="Y24" s="2025">
        <f t="shared" si="19"/>
        <v>0.219569883883043</v>
      </c>
      <c r="Z24" s="2025">
        <f t="shared" si="20"/>
        <v>0.3165200887790361</v>
      </c>
      <c r="AA24" s="2028">
        <f t="shared" si="21"/>
        <v>0.0228901945656152</v>
      </c>
      <c r="AD24" s="2000">
        <v>2014</v>
      </c>
      <c r="AE24" s="2030"/>
      <c r="AF24" s="931">
        <f t="shared" si="29"/>
        <v>0.215</v>
      </c>
      <c r="AG24" s="2030"/>
      <c r="AH24" s="931">
        <f t="shared" si="24"/>
        <v>0.30557169736746986</v>
      </c>
      <c r="AU24" s="2002">
        <f t="shared" si="25"/>
        <v>0.215</v>
      </c>
      <c r="AV24" s="1994">
        <f t="shared" si="26"/>
        <v>0.30557169736746986</v>
      </c>
      <c r="AX24" s="2003">
        <v>2014</v>
      </c>
      <c r="AY24" s="2031"/>
      <c r="AZ24" s="2029">
        <f t="shared" si="27"/>
        <v>0.02</v>
      </c>
      <c r="BA24" s="2031"/>
      <c r="BB24" s="2029">
        <f t="shared" si="28"/>
        <v>0.04504395788460634</v>
      </c>
      <c r="BO24" s="2004">
        <f t="shared" si="22"/>
        <v>0.04504395788460634</v>
      </c>
      <c r="BP24" s="2005"/>
      <c r="BR24" s="2003">
        <v>2014</v>
      </c>
      <c r="BS24" s="1950"/>
      <c r="BT24" s="1815"/>
      <c r="BU24" s="1950"/>
      <c r="BV24" s="1815">
        <f t="shared" si="30"/>
        <v>1.3250629132652856</v>
      </c>
      <c r="CL24" s="2004">
        <f t="shared" si="23"/>
        <v>1.3250629132652856</v>
      </c>
      <c r="CY24" s="622"/>
      <c r="CZ24" s="622"/>
      <c r="DA24" s="622"/>
      <c r="DB24" s="622"/>
      <c r="DC24" s="622"/>
      <c r="DD24" s="622"/>
      <c r="DE24" s="622"/>
      <c r="DF24" s="622"/>
      <c r="DG24" s="622"/>
      <c r="DH24" s="622"/>
      <c r="DI24" s="622"/>
      <c r="DJ24" s="622"/>
      <c r="DK24" s="622"/>
      <c r="DL24" s="622"/>
      <c r="DM24" s="622"/>
      <c r="DN24" s="622"/>
      <c r="DO24" s="622"/>
      <c r="DP24" s="622"/>
      <c r="DQ24" s="622"/>
      <c r="DR24" s="622"/>
      <c r="DS24" s="622"/>
      <c r="DT24" s="622"/>
      <c r="DU24" s="622"/>
      <c r="DV24" s="622"/>
      <c r="DW24" s="622"/>
      <c r="DX24" s="622"/>
      <c r="DY24" s="622"/>
      <c r="DZ24" s="622"/>
      <c r="EA24" s="622"/>
      <c r="EB24" s="622"/>
      <c r="EC24" s="622"/>
      <c r="ED24" s="622"/>
      <c r="EE24" s="622"/>
      <c r="EF24" s="622"/>
      <c r="EG24" s="622"/>
      <c r="EH24" s="622"/>
    </row>
    <row r="25" ht="18" customHeight="1" spans="1:138" x14ac:dyDescent="0.25">
      <c r="A25" s="2021">
        <v>1998</v>
      </c>
      <c r="B25" s="2034">
        <v>65.8</v>
      </c>
      <c r="C25" s="2034">
        <v>14.4</v>
      </c>
      <c r="D25" s="2035">
        <v>13.4</v>
      </c>
      <c r="E25" s="2034">
        <v>5.5</v>
      </c>
      <c r="F25" s="2034">
        <v>0.9</v>
      </c>
      <c r="G25" s="2020">
        <v>1776</v>
      </c>
      <c r="I25" s="2020">
        <f t="shared" si="11"/>
        <v>11702.723312883436</v>
      </c>
      <c r="J25" s="2021">
        <v>2004</v>
      </c>
      <c r="K25" s="2022">
        <v>10976.3</v>
      </c>
      <c r="L25" s="2020">
        <f t="shared" si="12"/>
        <v>11686.742</v>
      </c>
      <c r="M25" s="2023">
        <v>7845.037</v>
      </c>
      <c r="N25" s="1619">
        <f t="shared" si="13"/>
        <v>1284.2270999999998</v>
      </c>
      <c r="O25" s="1619">
        <f t="shared" si="14"/>
        <v>1404.9663999999998</v>
      </c>
      <c r="P25" s="1619">
        <f t="shared" si="15"/>
        <v>911.0329</v>
      </c>
      <c r="Q25" s="2024">
        <f t="shared" si="16"/>
        <v>241.4786</v>
      </c>
      <c r="R25" s="2025">
        <v>6.9855323995033425</v>
      </c>
      <c r="S25" s="2025">
        <v>1.6493886216432383</v>
      </c>
      <c r="T25" s="2024">
        <v>56.64405273852399</v>
      </c>
      <c r="U25" s="2024">
        <v>6306.7037</v>
      </c>
      <c r="V25" s="2026">
        <v>4669.7</v>
      </c>
      <c r="W25" s="2026">
        <v>34874</v>
      </c>
      <c r="X25" s="2026">
        <f t="shared" si="17"/>
        <v>0.022000000000000002</v>
      </c>
      <c r="Y25" s="2025">
        <f t="shared" si="19"/>
        <v>0.2036288941241999</v>
      </c>
      <c r="Z25" s="2025">
        <f t="shared" si="20"/>
        <v>0.3008686639398676</v>
      </c>
      <c r="AA25" s="2028">
        <f t="shared" si="21"/>
        <v>0.026123556231003042</v>
      </c>
      <c r="AD25" s="2000">
        <v>2015</v>
      </c>
      <c r="AE25" s="2030"/>
      <c r="AF25" s="931">
        <f t="shared" si="29"/>
        <v>0.215</v>
      </c>
      <c r="AG25" s="2030"/>
      <c r="AH25" s="931">
        <f t="shared" si="24"/>
        <v>0.30689143687122283</v>
      </c>
      <c r="AU25" s="2002">
        <f t="shared" si="25"/>
        <v>0.215</v>
      </c>
      <c r="AV25" s="1994">
        <f t="shared" si="26"/>
        <v>0.30689143687122283</v>
      </c>
      <c r="AX25" s="2003">
        <v>2015</v>
      </c>
      <c r="AY25" s="2031"/>
      <c r="AZ25" s="2029">
        <f t="shared" si="27"/>
        <v>0.02</v>
      </c>
      <c r="BA25" s="2031"/>
      <c r="BB25" s="2029">
        <f t="shared" si="28"/>
        <v>0.04678475872553936</v>
      </c>
      <c r="BO25" s="2004">
        <f t="shared" si="22"/>
        <v>0.04678475872553936</v>
      </c>
      <c r="BP25" s="2005"/>
      <c r="BR25" s="2003">
        <v>2015</v>
      </c>
      <c r="BS25" s="1950"/>
      <c r="BT25" s="1815"/>
      <c r="BU25" s="1950"/>
      <c r="BV25" s="1815">
        <f t="shared" si="30"/>
        <v>1.324558877376635</v>
      </c>
      <c r="CL25" s="2004">
        <f t="shared" si="23"/>
        <v>1.324558877376635</v>
      </c>
      <c r="CY25" s="622" t="s">
        <v>1886</v>
      </c>
      <c r="CZ25" s="622"/>
      <c r="DA25" s="622"/>
      <c r="DB25" s="622"/>
      <c r="DC25" s="622"/>
      <c r="DD25" s="622"/>
      <c r="DE25" s="622"/>
      <c r="DF25" s="622"/>
      <c r="DG25" s="622"/>
      <c r="DH25" s="622"/>
      <c r="DI25" s="622"/>
      <c r="DJ25" s="622"/>
      <c r="DK25" s="622"/>
      <c r="DL25" s="622"/>
      <c r="DM25" s="622"/>
      <c r="DN25" s="622"/>
      <c r="DO25" s="622"/>
      <c r="DP25" s="622"/>
      <c r="DQ25" s="622"/>
      <c r="DR25" s="622"/>
      <c r="DS25" s="622"/>
      <c r="DT25" s="622"/>
      <c r="DU25" s="622"/>
      <c r="DV25" s="622"/>
      <c r="DW25" s="622"/>
      <c r="DX25" s="622"/>
      <c r="DY25" s="622"/>
      <c r="DZ25" s="622"/>
      <c r="EA25" s="622"/>
      <c r="EB25" s="622"/>
      <c r="EC25" s="622"/>
      <c r="ED25" s="622"/>
      <c r="EE25" s="622"/>
      <c r="EF25" s="622"/>
      <c r="EG25" s="622"/>
      <c r="EH25" s="622"/>
    </row>
    <row r="26" ht="18" customHeight="1" spans="1:138" x14ac:dyDescent="0.25">
      <c r="A26" s="2021">
        <v>1999</v>
      </c>
      <c r="B26" s="2034">
        <v>66.5</v>
      </c>
      <c r="C26" s="2034">
        <v>12.4</v>
      </c>
      <c r="D26" s="2034">
        <v>13.1</v>
      </c>
      <c r="E26" s="2034">
        <v>7.1</v>
      </c>
      <c r="F26" s="2034">
        <v>0.9</v>
      </c>
      <c r="G26" s="2020">
        <v>2908.1</v>
      </c>
      <c r="I26" s="2020">
        <f t="shared" si="11"/>
        <v>14483.227551020407</v>
      </c>
      <c r="J26" s="2021">
        <v>2005</v>
      </c>
      <c r="K26" s="2022">
        <v>13819</v>
      </c>
      <c r="L26" s="2020">
        <f t="shared" si="12"/>
        <v>14469.942999999997</v>
      </c>
      <c r="M26" s="2023">
        <v>9439.827</v>
      </c>
      <c r="N26" s="1619">
        <f t="shared" si="13"/>
        <v>1575.366</v>
      </c>
      <c r="O26" s="1619">
        <f t="shared" si="14"/>
        <v>1755.013</v>
      </c>
      <c r="P26" s="1619">
        <f t="shared" si="15"/>
        <v>1423.3570000000002</v>
      </c>
      <c r="Q26" s="2024">
        <f t="shared" si="16"/>
        <v>276.38</v>
      </c>
      <c r="R26" s="2025">
        <v>7.746955431049207</v>
      </c>
      <c r="S26" s="2025">
        <v>1.7629074929087367</v>
      </c>
      <c r="T26" s="2024">
        <v>58.97912732881757</v>
      </c>
      <c r="U26" s="2024">
        <v>7887.1394</v>
      </c>
      <c r="V26" s="2026">
        <v>6820.6</v>
      </c>
      <c r="W26" s="2026">
        <v>41494</v>
      </c>
      <c r="X26" s="2028">
        <f t="shared" si="17"/>
        <v>0.02</v>
      </c>
      <c r="Y26" s="2025">
        <f t="shared" si="19"/>
        <v>0.19973857695478286</v>
      </c>
      <c r="Z26" s="2025">
        <f t="shared" si="20"/>
        <v>0.2573106471571416</v>
      </c>
      <c r="AA26" s="2028">
        <f t="shared" si="21"/>
        <v>0.03430271846532029</v>
      </c>
      <c r="AD26" s="2000">
        <v>2016</v>
      </c>
      <c r="AE26" s="2030"/>
      <c r="AF26" s="931">
        <f t="shared" si="29"/>
        <v>0.215</v>
      </c>
      <c r="AG26" s="2030"/>
      <c r="AH26" s="931">
        <f t="shared" si="24"/>
        <v>0.3076832805734746</v>
      </c>
      <c r="AU26" s="2002">
        <f t="shared" si="25"/>
        <v>0.215</v>
      </c>
      <c r="AV26" s="1994">
        <f t="shared" si="26"/>
        <v>0.3076832805734746</v>
      </c>
      <c r="AX26" s="2003">
        <v>2016</v>
      </c>
      <c r="AY26" s="2031"/>
      <c r="AZ26" s="2029">
        <f t="shared" si="27"/>
        <v>0.02</v>
      </c>
      <c r="BA26" s="2031"/>
      <c r="BB26" s="2029">
        <f t="shared" si="28"/>
        <v>0.04809035935623912</v>
      </c>
      <c r="BO26" s="2004">
        <f t="shared" si="22"/>
        <v>0.04809035935623912</v>
      </c>
      <c r="BP26" s="2005"/>
      <c r="BR26" s="2003">
        <v>2016</v>
      </c>
      <c r="BS26" s="1950"/>
      <c r="BT26" s="1815"/>
      <c r="BU26" s="1950"/>
      <c r="BV26" s="1815">
        <f t="shared" si="30"/>
        <v>1.32440766661004</v>
      </c>
      <c r="CL26" s="2004">
        <f t="shared" si="23"/>
        <v>1.32440766661004</v>
      </c>
      <c r="CY26" s="622"/>
      <c r="CZ26" s="622"/>
      <c r="DA26" s="622"/>
      <c r="DB26" s="622"/>
      <c r="DC26" s="622"/>
      <c r="DD26" s="622"/>
      <c r="DE26" s="622"/>
      <c r="DF26" s="622"/>
      <c r="DG26" s="622"/>
      <c r="DH26" s="622"/>
      <c r="DI26" s="622"/>
      <c r="DJ26" s="622"/>
      <c r="DK26" s="622"/>
      <c r="DL26" s="622"/>
      <c r="DM26" s="622"/>
      <c r="DN26" s="622"/>
      <c r="DO26" s="622"/>
      <c r="DP26" s="622"/>
      <c r="DQ26" s="622"/>
      <c r="DR26" s="622"/>
      <c r="DS26" s="622"/>
      <c r="DT26" s="622"/>
      <c r="DU26" s="622"/>
      <c r="DV26" s="622"/>
      <c r="DW26" s="622"/>
      <c r="DX26" s="622"/>
      <c r="DY26" s="622"/>
      <c r="DZ26" s="622"/>
      <c r="EA26" s="622"/>
      <c r="EB26" s="622"/>
      <c r="EC26" s="622"/>
      <c r="ED26" s="622"/>
      <c r="EE26" s="622"/>
      <c r="EF26" s="622"/>
      <c r="EG26" s="622"/>
      <c r="EH26" s="622"/>
    </row>
    <row r="27" ht="18" customHeight="1" spans="1:138" x14ac:dyDescent="0.25">
      <c r="A27" s="2021">
        <v>2000</v>
      </c>
      <c r="B27" s="2034">
        <v>62.8</v>
      </c>
      <c r="C27" s="2034">
        <v>15.4</v>
      </c>
      <c r="D27" s="2034">
        <v>13.8</v>
      </c>
      <c r="E27" s="2034">
        <v>6.8</v>
      </c>
      <c r="F27" s="2034">
        <v>1.2</v>
      </c>
      <c r="G27" s="2020">
        <v>3983.9</v>
      </c>
      <c r="I27" s="2020">
        <f t="shared" si="11"/>
        <v>18051.914475025485</v>
      </c>
      <c r="J27" s="2021">
        <v>2006</v>
      </c>
      <c r="K27" s="2022">
        <v>17290.1</v>
      </c>
      <c r="L27" s="2020">
        <f t="shared" si="12"/>
        <v>18037.440000000002</v>
      </c>
      <c r="M27" s="2023">
        <v>11985.905</v>
      </c>
      <c r="N27" s="1619">
        <f t="shared" si="13"/>
        <v>1919.2010999999998</v>
      </c>
      <c r="O27" s="1619">
        <f t="shared" si="14"/>
        <v>2074.812</v>
      </c>
      <c r="P27" s="1619">
        <f t="shared" si="15"/>
        <v>1729.01</v>
      </c>
      <c r="Q27" s="2024">
        <f t="shared" si="16"/>
        <v>328.51189999999997</v>
      </c>
      <c r="R27" s="2025">
        <v>8.444181419843636</v>
      </c>
      <c r="S27" s="2025">
        <v>2.0289294415498413</v>
      </c>
      <c r="T27" s="2024">
        <v>63.457556425113935</v>
      </c>
      <c r="U27" s="2024">
        <v>9544.5843</v>
      </c>
      <c r="V27" s="2026">
        <v>8375.2</v>
      </c>
      <c r="W27" s="2026">
        <v>47489</v>
      </c>
      <c r="X27" s="2026">
        <f t="shared" si="17"/>
        <v>0.019</v>
      </c>
      <c r="Y27" s="2025">
        <f t="shared" si="19"/>
        <v>0.20107749480509063</v>
      </c>
      <c r="Z27" s="2025">
        <f t="shared" si="20"/>
        <v>0.24773283026076987</v>
      </c>
      <c r="AA27" s="2028">
        <f t="shared" si="21"/>
        <v>0.036408642001305565</v>
      </c>
      <c r="AD27" s="2000">
        <v>2017</v>
      </c>
      <c r="AE27" s="2030"/>
      <c r="AF27" s="931">
        <f t="shared" si="29"/>
        <v>0.215</v>
      </c>
      <c r="AG27" s="2030"/>
      <c r="AH27" s="931">
        <f t="shared" si="24"/>
        <v>0.30815838679482566</v>
      </c>
      <c r="AU27" s="2002">
        <f t="shared" si="25"/>
        <v>0.215</v>
      </c>
      <c r="AV27" s="1994">
        <f t="shared" si="26"/>
        <v>0.30815838679482566</v>
      </c>
      <c r="AX27" s="2003">
        <v>2017</v>
      </c>
      <c r="AY27" s="2031"/>
      <c r="AZ27" s="2029">
        <f t="shared" si="27"/>
        <v>0.02</v>
      </c>
      <c r="BA27" s="2031"/>
      <c r="BB27" s="2029">
        <f t="shared" si="28"/>
        <v>0.04906955982926394</v>
      </c>
      <c r="BO27" s="2004">
        <f t="shared" si="22"/>
        <v>0.04906955982926394</v>
      </c>
      <c r="BP27" s="2005"/>
      <c r="BR27" s="2003">
        <v>2017</v>
      </c>
      <c r="BS27" s="1950"/>
      <c r="BT27" s="1815"/>
      <c r="BU27" s="1950"/>
      <c r="BV27" s="1815">
        <f t="shared" si="30"/>
        <v>1.3243623033800613</v>
      </c>
      <c r="CL27" s="2004">
        <f t="shared" si="23"/>
        <v>1.3243623033800613</v>
      </c>
      <c r="CY27" s="622" t="s">
        <v>1887</v>
      </c>
      <c r="CZ27" s="622"/>
      <c r="DA27" s="622"/>
      <c r="DB27" s="622"/>
      <c r="DC27" s="622"/>
      <c r="DD27" s="622"/>
      <c r="DE27" s="622"/>
      <c r="DF27" s="622"/>
      <c r="DG27" s="622"/>
      <c r="DH27" s="622"/>
      <c r="DI27" s="622"/>
      <c r="DJ27" s="622"/>
      <c r="DK27" s="622"/>
      <c r="DL27" s="622"/>
      <c r="DM27" s="622"/>
      <c r="DN27" s="622"/>
      <c r="DO27" s="622"/>
      <c r="DP27" s="622"/>
      <c r="DQ27" s="622"/>
      <c r="DR27" s="622"/>
      <c r="DS27" s="622"/>
      <c r="DT27" s="622"/>
      <c r="DU27" s="622"/>
      <c r="DV27" s="622"/>
      <c r="DW27" s="622"/>
      <c r="DX27" s="622"/>
      <c r="DY27" s="622"/>
      <c r="DZ27" s="622"/>
      <c r="EA27" s="622"/>
      <c r="EB27" s="622"/>
      <c r="EC27" s="622"/>
      <c r="ED27" s="622"/>
      <c r="EE27" s="622"/>
      <c r="EF27" s="622"/>
      <c r="EG27" s="622"/>
      <c r="EH27" s="622"/>
    </row>
    <row r="28" ht="18" customHeight="1" spans="1:138" x14ac:dyDescent="0.25">
      <c r="A28" s="2021">
        <v>2001</v>
      </c>
      <c r="B28" s="2034">
        <v>64.6</v>
      </c>
      <c r="C28" s="2034">
        <v>12.6</v>
      </c>
      <c r="D28" s="2034">
        <v>15.2</v>
      </c>
      <c r="E28" s="2034">
        <v>5.7</v>
      </c>
      <c r="F28" s="2034">
        <v>1.9</v>
      </c>
      <c r="G28" s="2020">
        <v>5325.8</v>
      </c>
      <c r="I28" s="2020">
        <f t="shared" si="11"/>
        <v>22475.630102040817</v>
      </c>
      <c r="J28" s="2021">
        <v>2007</v>
      </c>
      <c r="K28" s="2022">
        <v>21311.5</v>
      </c>
      <c r="L28" s="2020">
        <f t="shared" si="12"/>
        <v>22452.3475</v>
      </c>
      <c r="M28" s="2023">
        <v>15526.11</v>
      </c>
      <c r="N28" s="1619">
        <f t="shared" si="13"/>
        <v>2131.15</v>
      </c>
      <c r="O28" s="1619">
        <f t="shared" si="14"/>
        <v>2472.134</v>
      </c>
      <c r="P28" s="1619">
        <f t="shared" si="15"/>
        <v>1896.7235</v>
      </c>
      <c r="Q28" s="2024">
        <f t="shared" si="16"/>
        <v>426.23</v>
      </c>
      <c r="R28" s="2025">
        <v>9.446505754379075</v>
      </c>
      <c r="S28" s="2025">
        <v>2.29618795817524</v>
      </c>
      <c r="T28" s="2024">
        <v>67.47991724969835</v>
      </c>
      <c r="U28" s="2024">
        <v>11387.0816</v>
      </c>
      <c r="V28" s="2024">
        <v>11378.578</v>
      </c>
      <c r="W28" s="2026">
        <v>60391</v>
      </c>
      <c r="X28" s="2028">
        <f t="shared" si="17"/>
        <v>0.02</v>
      </c>
      <c r="Y28" s="2025">
        <f t="shared" si="19"/>
        <v>0.1871550652627272</v>
      </c>
      <c r="Z28" s="2025">
        <f t="shared" si="20"/>
        <v>0.2172621218574061</v>
      </c>
      <c r="AA28" s="2028">
        <f t="shared" si="21"/>
        <v>0.031407386862280805</v>
      </c>
      <c r="AD28" s="2000">
        <v>2018</v>
      </c>
      <c r="AE28" s="2030"/>
      <c r="AF28" s="931">
        <f t="shared" si="29"/>
        <v>0.215</v>
      </c>
      <c r="AG28" s="2030"/>
      <c r="AH28" s="931">
        <f t="shared" si="24"/>
        <v>0.3084434505276363</v>
      </c>
      <c r="AU28" s="2002">
        <f t="shared" si="25"/>
        <v>0.215</v>
      </c>
      <c r="AV28" s="1994">
        <f t="shared" si="26"/>
        <v>0.3084434505276363</v>
      </c>
      <c r="AX28" s="2003">
        <v>2018</v>
      </c>
      <c r="AY28" s="2031"/>
      <c r="AZ28" s="2029">
        <f t="shared" si="27"/>
        <v>0.02</v>
      </c>
      <c r="BA28" s="2031"/>
      <c r="BB28" s="2029">
        <f t="shared" si="28"/>
        <v>0.049803960184032554</v>
      </c>
      <c r="BO28" s="2004">
        <f t="shared" si="22"/>
        <v>0.049803960184032554</v>
      </c>
      <c r="BP28" s="2005"/>
      <c r="BR28" s="2003">
        <v>2018</v>
      </c>
      <c r="BS28" s="1950"/>
      <c r="BT28" s="1815"/>
      <c r="BU28" s="1950"/>
      <c r="BV28" s="1815">
        <f t="shared" si="30"/>
        <v>1.3243486944110678</v>
      </c>
      <c r="CL28" s="2004">
        <f t="shared" si="23"/>
        <v>1.3243486944110678</v>
      </c>
      <c r="CY28" s="622"/>
      <c r="CZ28" s="622"/>
      <c r="DA28" s="622"/>
      <c r="DB28" s="622"/>
      <c r="DC28" s="622"/>
      <c r="DD28" s="622"/>
      <c r="DE28" s="622"/>
      <c r="DF28" s="622"/>
      <c r="DG28" s="622"/>
      <c r="DH28" s="622"/>
      <c r="DI28" s="622"/>
      <c r="DJ28" s="622"/>
      <c r="DK28" s="622"/>
      <c r="DL28" s="622"/>
      <c r="DM28" s="622"/>
      <c r="DN28" s="622"/>
      <c r="DO28" s="622"/>
      <c r="DP28" s="622"/>
      <c r="DQ28" s="622"/>
      <c r="DR28" s="622"/>
      <c r="DS28" s="622"/>
      <c r="DT28" s="622"/>
      <c r="DU28" s="622"/>
      <c r="DV28" s="622"/>
      <c r="DW28" s="622"/>
      <c r="DX28" s="622"/>
      <c r="DY28" s="622"/>
      <c r="DZ28" s="622"/>
      <c r="EA28" s="622"/>
      <c r="EB28" s="622"/>
      <c r="EC28" s="622"/>
      <c r="ED28" s="622"/>
      <c r="EE28" s="622"/>
      <c r="EF28" s="622"/>
      <c r="EG28" s="622"/>
      <c r="EH28" s="622"/>
    </row>
    <row r="29" ht="18" customHeight="1" spans="1:138" x14ac:dyDescent="0.25">
      <c r="A29" s="2021">
        <v>2002</v>
      </c>
      <c r="B29" s="2034">
        <v>65.8</v>
      </c>
      <c r="C29" s="2034">
        <v>11.9</v>
      </c>
      <c r="D29" s="2034">
        <v>15.2</v>
      </c>
      <c r="E29" s="2034">
        <v>5.2</v>
      </c>
      <c r="F29" s="2034">
        <v>1.9</v>
      </c>
      <c r="G29" s="2020">
        <v>6831</v>
      </c>
      <c r="I29" s="2020">
        <f t="shared" si="11"/>
        <v>27583.65714285714</v>
      </c>
      <c r="J29" s="2021">
        <v>2008</v>
      </c>
      <c r="K29" s="2022">
        <v>25244</v>
      </c>
      <c r="L29" s="2020">
        <f t="shared" si="12"/>
        <v>27536.863999999998</v>
      </c>
      <c r="M29" s="2023">
        <v>19559.76</v>
      </c>
      <c r="N29" s="1619">
        <f t="shared" si="13"/>
        <v>2574.888</v>
      </c>
      <c r="O29" s="1619">
        <f t="shared" si="14"/>
        <v>3332.208</v>
      </c>
      <c r="P29" s="1619">
        <f t="shared" si="15"/>
        <v>1565.1280000000002</v>
      </c>
      <c r="Q29" s="2024">
        <f t="shared" si="16"/>
        <v>504.88</v>
      </c>
      <c r="R29" s="2025">
        <v>10.701001718560617</v>
      </c>
      <c r="S29" s="2025">
        <v>2.5452330528232636</v>
      </c>
      <c r="T29" s="2024">
        <v>70.62140234848118</v>
      </c>
      <c r="U29" s="2024">
        <v>13498.7</v>
      </c>
      <c r="V29" s="2024">
        <v>13991.788</v>
      </c>
      <c r="W29" s="2027">
        <v>74447</v>
      </c>
      <c r="X29" s="2028">
        <f t="shared" si="17"/>
        <v>0.02</v>
      </c>
      <c r="Y29" s="2025">
        <f t="shared" si="19"/>
        <v>0.1907508130412558</v>
      </c>
      <c r="Z29" s="2025">
        <f t="shared" si="20"/>
        <v>0.2381545517985264</v>
      </c>
      <c r="AA29" s="2028">
        <f t="shared" si="21"/>
        <v>0.021023385764369285</v>
      </c>
      <c r="AD29" s="2000">
        <v>2019</v>
      </c>
      <c r="AE29" s="2030"/>
      <c r="AF29" s="931">
        <f t="shared" si="29"/>
        <v>0.215</v>
      </c>
      <c r="AG29" s="2030"/>
      <c r="AH29" s="931">
        <f t="shared" si="24"/>
        <v>0.30861448876732267</v>
      </c>
      <c r="AU29" s="2002">
        <f t="shared" si="25"/>
        <v>0.215</v>
      </c>
      <c r="AV29" s="1994">
        <f t="shared" si="26"/>
        <v>0.30861448876732267</v>
      </c>
      <c r="AX29" s="2003">
        <v>2019</v>
      </c>
      <c r="AY29" s="2031"/>
      <c r="AZ29" s="2029">
        <f t="shared" si="27"/>
        <v>0.02</v>
      </c>
      <c r="BA29" s="2031"/>
      <c r="BB29" s="2029">
        <f t="shared" si="28"/>
        <v>0.05035476045010902</v>
      </c>
      <c r="BO29" s="2004">
        <f t="shared" si="22"/>
        <v>0.05035476045010902</v>
      </c>
      <c r="BP29" s="2005"/>
      <c r="BR29" s="2003">
        <v>2019</v>
      </c>
      <c r="BS29" s="1950"/>
      <c r="BT29" s="1815"/>
      <c r="BU29" s="1950"/>
      <c r="BV29" s="1815">
        <f t="shared" si="30"/>
        <v>1.3243446117203699</v>
      </c>
      <c r="CL29" s="2004">
        <f t="shared" si="23"/>
        <v>1.3243446117203699</v>
      </c>
      <c r="CY29" s="622" t="s">
        <v>1888</v>
      </c>
      <c r="CZ29" s="622"/>
      <c r="DA29" s="622"/>
      <c r="DB29" s="622"/>
      <c r="DC29" s="622"/>
      <c r="DD29" s="622"/>
      <c r="DE29" s="622"/>
      <c r="DF29" s="622"/>
      <c r="DG29" s="622"/>
      <c r="DH29" s="622"/>
      <c r="DI29" s="622"/>
      <c r="DJ29" s="622"/>
      <c r="DK29" s="622"/>
      <c r="DL29" s="622"/>
      <c r="DM29" s="622"/>
      <c r="DN29" s="622"/>
      <c r="DO29" s="622"/>
      <c r="DP29" s="622"/>
      <c r="DQ29" s="622"/>
      <c r="DR29" s="622"/>
      <c r="DS29" s="622"/>
      <c r="DT29" s="622"/>
      <c r="DU29" s="622"/>
      <c r="DV29" s="622"/>
      <c r="DW29" s="622"/>
      <c r="DX29" s="622"/>
      <c r="DY29" s="622"/>
      <c r="DZ29" s="622"/>
      <c r="EA29" s="622"/>
      <c r="EB29" s="622"/>
      <c r="EC29" s="622"/>
      <c r="ED29" s="622"/>
      <c r="EE29" s="622"/>
      <c r="EF29" s="622"/>
      <c r="EG29" s="622"/>
      <c r="EH29" s="622"/>
    </row>
    <row r="30" ht="18" customHeight="1" spans="1:90" x14ac:dyDescent="0.25">
      <c r="A30" s="2021">
        <v>2003</v>
      </c>
      <c r="B30" s="2034">
        <v>63.9</v>
      </c>
      <c r="C30" s="2034">
        <v>12</v>
      </c>
      <c r="D30" s="2034">
        <v>14.1</v>
      </c>
      <c r="E30" s="2034">
        <v>7.8</v>
      </c>
      <c r="F30" s="2034">
        <v>2.2</v>
      </c>
      <c r="G30" s="2020">
        <v>8900.5</v>
      </c>
      <c r="I30" s="2020">
        <f t="shared" si="11"/>
        <v>29935.237244897962</v>
      </c>
      <c r="J30" s="2021">
        <v>2009</v>
      </c>
      <c r="K30" s="2022">
        <v>28697.5</v>
      </c>
      <c r="L30" s="2020">
        <f t="shared" si="12"/>
        <v>29910.482500000002</v>
      </c>
      <c r="M30" s="2023">
        <v>20411.61</v>
      </c>
      <c r="N30" s="1619">
        <f t="shared" si="13"/>
        <v>2783.6575</v>
      </c>
      <c r="O30" s="1619">
        <f t="shared" si="14"/>
        <v>4275.9275</v>
      </c>
      <c r="P30" s="1619">
        <f t="shared" si="15"/>
        <v>1865.3375</v>
      </c>
      <c r="Q30" s="2024">
        <f t="shared" si="16"/>
        <v>573.95</v>
      </c>
      <c r="R30" s="2025">
        <v>11.642689869793951</v>
      </c>
      <c r="S30" s="2025">
        <v>2.497278933559335</v>
      </c>
      <c r="T30" s="2024">
        <v>66.89628158851706</v>
      </c>
      <c r="U30" s="2024">
        <v>11921.086</v>
      </c>
      <c r="V30" s="2026">
        <v>16048.3</v>
      </c>
      <c r="W30" s="2026">
        <v>82302.969</v>
      </c>
      <c r="X30" s="2028">
        <f t="shared" si="17"/>
        <v>0.02</v>
      </c>
      <c r="Y30" s="2025">
        <f t="shared" si="19"/>
        <v>0.2335070395432094</v>
      </c>
      <c r="Z30" s="2025">
        <f t="shared" si="20"/>
        <v>0.26644114952985676</v>
      </c>
      <c r="AA30" s="2028">
        <f t="shared" si="21"/>
        <v>0.022664279583887188</v>
      </c>
      <c r="AD30" s="2000">
        <v>2020</v>
      </c>
      <c r="AE30" s="2030"/>
      <c r="AF30" s="931">
        <f t="shared" si="29"/>
        <v>0.215</v>
      </c>
      <c r="AG30" s="2030"/>
      <c r="AH30" s="931">
        <f t="shared" si="24"/>
        <v>0.30871711171113453</v>
      </c>
      <c r="AU30" s="2002">
        <f t="shared" si="25"/>
        <v>0.215</v>
      </c>
      <c r="AV30" s="1994">
        <f t="shared" si="26"/>
        <v>0.30871711171113453</v>
      </c>
      <c r="AX30" s="2003">
        <v>2020</v>
      </c>
      <c r="AY30" s="2031"/>
      <c r="AZ30" s="2029">
        <f t="shared" si="27"/>
        <v>0.02</v>
      </c>
      <c r="BA30" s="2031"/>
      <c r="BB30" s="2029">
        <f t="shared" si="28"/>
        <v>0.05076786064966637</v>
      </c>
      <c r="BO30" s="2004">
        <f t="shared" si="22"/>
        <v>0.05076786064966637</v>
      </c>
      <c r="BP30" s="2005"/>
      <c r="BR30" s="2003">
        <v>2020</v>
      </c>
      <c r="BS30" s="1950"/>
      <c r="BT30" s="1815"/>
      <c r="BU30" s="1950"/>
      <c r="BV30" s="1815">
        <f t="shared" si="30"/>
        <v>1.3243433869131604</v>
      </c>
      <c r="CL30" s="2004">
        <f t="shared" si="23"/>
        <v>1.3243433869131604</v>
      </c>
    </row>
    <row r="31" ht="18" customHeight="1" spans="1:90" x14ac:dyDescent="0.25">
      <c r="A31" s="2021">
        <v>2004</v>
      </c>
      <c r="B31" s="2034">
        <v>65</v>
      </c>
      <c r="C31" s="2034">
        <v>11.7</v>
      </c>
      <c r="D31" s="2034">
        <v>12.8</v>
      </c>
      <c r="E31" s="2034">
        <v>8.3</v>
      </c>
      <c r="F31" s="2034">
        <v>2.2</v>
      </c>
      <c r="G31" s="2020">
        <v>10976.3</v>
      </c>
      <c r="I31" s="2020">
        <f t="shared" si="11"/>
        <v>22995.63</v>
      </c>
      <c r="J31" s="2021">
        <v>2010</v>
      </c>
      <c r="K31" s="2031">
        <v>32498.3</v>
      </c>
      <c r="L31" s="2036"/>
      <c r="M31" s="1986">
        <v>22995.63</v>
      </c>
      <c r="N31" s="25"/>
      <c r="O31" s="25"/>
      <c r="P31" s="25"/>
      <c r="Q31" s="1265"/>
      <c r="R31" s="2037">
        <v>12.664918040361862</v>
      </c>
      <c r="S31" s="2037"/>
      <c r="T31" s="2037">
        <v>69.7150852939227</v>
      </c>
      <c r="U31" s="2038">
        <v>15093.737</v>
      </c>
      <c r="V31" s="2038">
        <v>17616.7</v>
      </c>
      <c r="W31" s="2037"/>
      <c r="X31" s="2037"/>
      <c r="Y31" s="2037"/>
      <c r="Z31" s="2037"/>
      <c r="AA31" s="2037"/>
      <c r="AD31" s="2000">
        <v>2021</v>
      </c>
      <c r="AE31" s="2030"/>
      <c r="AF31" s="931">
        <f t="shared" si="29"/>
        <v>0.215</v>
      </c>
      <c r="AG31" s="2030"/>
      <c r="AH31" s="931">
        <f t="shared" si="24"/>
        <v>0.30877868547742165</v>
      </c>
      <c r="AU31" s="2002">
        <f t="shared" si="25"/>
        <v>0.215</v>
      </c>
      <c r="AV31" s="1994">
        <f t="shared" si="26"/>
        <v>0.30877868547742165</v>
      </c>
      <c r="AX31" s="2003">
        <v>2021</v>
      </c>
      <c r="AY31" s="2031"/>
      <c r="AZ31" s="2029">
        <f t="shared" si="27"/>
        <v>0.02</v>
      </c>
      <c r="BA31" s="2031"/>
      <c r="BB31" s="2029">
        <f t="shared" si="28"/>
        <v>0.05107768579933438</v>
      </c>
      <c r="BO31" s="2004">
        <f t="shared" si="22"/>
        <v>0.05107768579933438</v>
      </c>
      <c r="BP31" s="2005"/>
      <c r="BR31" s="2003">
        <v>2021</v>
      </c>
      <c r="BS31" s="1950"/>
      <c r="BT31" s="1815"/>
      <c r="BU31" s="1950"/>
      <c r="BV31" s="1815">
        <f t="shared" si="30"/>
        <v>1.3243430194709975</v>
      </c>
      <c r="CL31" s="2004">
        <f t="shared" si="23"/>
        <v>1.3243430194709975</v>
      </c>
    </row>
    <row r="32" ht="18" customHeight="1" spans="1:90" x14ac:dyDescent="0.25">
      <c r="A32" s="2021">
        <v>2005</v>
      </c>
      <c r="B32" s="2034">
        <v>63.6</v>
      </c>
      <c r="C32" s="2034">
        <v>11.4</v>
      </c>
      <c r="D32" s="2034">
        <v>12.7</v>
      </c>
      <c r="E32" s="2034">
        <v>10.3</v>
      </c>
      <c r="F32" s="2034">
        <v>2</v>
      </c>
      <c r="G32" s="2020">
        <v>13819</v>
      </c>
      <c r="I32" s="2020">
        <f t="shared" si="11"/>
        <v>26386.6754</v>
      </c>
      <c r="J32" s="2021">
        <v>2011</v>
      </c>
      <c r="K32" s="2031">
        <v>35648.7</v>
      </c>
      <c r="L32" s="2036"/>
      <c r="M32" s="1986">
        <v>26386.6754</v>
      </c>
      <c r="N32" s="25"/>
      <c r="O32" s="25"/>
      <c r="P32" s="25"/>
      <c r="Q32" s="1265"/>
      <c r="R32" s="2037">
        <v>13.437478040823935</v>
      </c>
      <c r="S32" s="2037"/>
      <c r="T32" s="2037">
        <v>71.76575210476639</v>
      </c>
      <c r="U32" s="2037">
        <v>25148.861699999998</v>
      </c>
      <c r="V32" s="2037">
        <v>19995</v>
      </c>
      <c r="W32" s="2037"/>
      <c r="X32" s="2037"/>
      <c r="Y32" s="2037"/>
      <c r="Z32" s="2037"/>
      <c r="AA32" s="2037"/>
      <c r="AD32" s="2000">
        <v>2022</v>
      </c>
      <c r="AE32" s="2030"/>
      <c r="AF32" s="931">
        <f t="shared" si="29"/>
        <v>0.215</v>
      </c>
      <c r="AG32" s="2030"/>
      <c r="AH32" s="931">
        <f t="shared" si="24"/>
        <v>0.30881562973719395</v>
      </c>
      <c r="AU32" s="2002">
        <f t="shared" si="25"/>
        <v>0.215</v>
      </c>
      <c r="AV32" s="1994">
        <f t="shared" si="26"/>
        <v>0.30881562973719395</v>
      </c>
      <c r="AX32" s="2003">
        <v>2022</v>
      </c>
      <c r="AY32" s="2031"/>
      <c r="AZ32" s="2029">
        <f t="shared" si="27"/>
        <v>0.02</v>
      </c>
      <c r="BA32" s="2031"/>
      <c r="BB32" s="2029">
        <f t="shared" si="28"/>
        <v>0.05131005466158539</v>
      </c>
      <c r="BO32" s="2004">
        <f t="shared" si="22"/>
        <v>0.05131005466158539</v>
      </c>
      <c r="BP32" s="2005"/>
      <c r="BR32" s="2003">
        <v>2022</v>
      </c>
      <c r="BS32" s="1950"/>
      <c r="BT32" s="1815"/>
      <c r="BU32" s="1950"/>
      <c r="BV32" s="1815">
        <f t="shared" si="30"/>
        <v>1.3243429092383487</v>
      </c>
      <c r="CL32" s="2004">
        <f t="shared" si="23"/>
        <v>1.3243429092383487</v>
      </c>
    </row>
    <row r="33" ht="18" customHeight="1" spans="1:90" x14ac:dyDescent="0.25">
      <c r="A33" s="2021">
        <v>2006</v>
      </c>
      <c r="B33" s="2034">
        <v>65</v>
      </c>
      <c r="C33" s="2034">
        <v>11.1</v>
      </c>
      <c r="D33" s="2034">
        <v>12</v>
      </c>
      <c r="E33" s="2034">
        <v>10</v>
      </c>
      <c r="F33" s="2034">
        <v>1.9</v>
      </c>
      <c r="G33" s="2020">
        <v>17290</v>
      </c>
      <c r="I33" s="2020">
        <f t="shared" si="11"/>
        <v>0</v>
      </c>
      <c r="J33" s="2021">
        <v>2012</v>
      </c>
      <c r="K33" s="2031"/>
      <c r="L33" s="2036"/>
      <c r="M33" s="1986"/>
      <c r="N33" s="25"/>
      <c r="O33" s="25"/>
      <c r="P33" s="25"/>
      <c r="Q33" s="1265"/>
      <c r="R33" s="2037">
        <v>14.321664095910151</v>
      </c>
      <c r="S33" s="2037"/>
      <c r="T33" s="2037">
        <v>73.84674636436351</v>
      </c>
      <c r="U33" s="2037">
        <v>28132.0328</v>
      </c>
      <c r="V33" s="2037">
        <v>23175</v>
      </c>
      <c r="W33" s="2037"/>
      <c r="X33" s="2037"/>
      <c r="Y33" s="2037"/>
      <c r="Z33" s="2037"/>
      <c r="AA33" s="2037"/>
      <c r="AD33" s="2000">
        <v>2023</v>
      </c>
      <c r="AE33" s="2030"/>
      <c r="AF33" s="931">
        <f t="shared" si="29"/>
        <v>0.215</v>
      </c>
      <c r="AG33" s="2030"/>
      <c r="AH33" s="931">
        <f t="shared" si="24"/>
        <v>0.30883779629305735</v>
      </c>
      <c r="AU33" s="2002">
        <f t="shared" si="25"/>
        <v>0.215</v>
      </c>
      <c r="AV33" s="1994">
        <f t="shared" si="26"/>
        <v>0.30883779629305735</v>
      </c>
      <c r="AX33" s="2003">
        <v>2023</v>
      </c>
      <c r="AY33" s="2031"/>
      <c r="AZ33" s="2029">
        <f t="shared" si="27"/>
        <v>0.02</v>
      </c>
      <c r="BA33" s="2031"/>
      <c r="BB33" s="2029">
        <f t="shared" si="28"/>
        <v>0.05148433130827365</v>
      </c>
      <c r="BO33" s="2004">
        <f t="shared" si="22"/>
        <v>0.05148433130827365</v>
      </c>
      <c r="BP33" s="2005"/>
      <c r="BR33" s="2003">
        <v>2023</v>
      </c>
      <c r="BS33" s="1950"/>
      <c r="BT33" s="1815"/>
      <c r="BU33" s="1950"/>
      <c r="BV33" s="1815">
        <f t="shared" si="30"/>
        <v>1.324342876168554</v>
      </c>
      <c r="CL33" s="2004">
        <f t="shared" si="23"/>
        <v>1.324342876168554</v>
      </c>
    </row>
    <row r="34" ht="18" customHeight="1" spans="1:90" x14ac:dyDescent="0.25">
      <c r="A34" s="2021">
        <v>2007</v>
      </c>
      <c r="B34" s="2034">
        <v>67.5</v>
      </c>
      <c r="C34" s="2034">
        <v>10</v>
      </c>
      <c r="D34" s="2034">
        <v>11.6</v>
      </c>
      <c r="E34" s="2034">
        <v>8.9</v>
      </c>
      <c r="F34" s="2034">
        <v>2</v>
      </c>
      <c r="G34" s="2020">
        <v>21312</v>
      </c>
      <c r="I34" s="2020">
        <f t="shared" si="11"/>
        <v>0</v>
      </c>
      <c r="J34" s="2021">
        <v>2013</v>
      </c>
      <c r="K34" s="2031"/>
      <c r="L34" s="2036"/>
      <c r="M34" s="1986"/>
      <c r="N34" s="25"/>
      <c r="O34" s="25"/>
      <c r="P34" s="25"/>
      <c r="Q34" s="1265"/>
      <c r="R34" s="2037">
        <v>15.245411430096356</v>
      </c>
      <c r="S34" s="2037"/>
      <c r="T34" s="2037">
        <v>75.56012344053151</v>
      </c>
      <c r="U34" s="2037">
        <v>29279.2934</v>
      </c>
      <c r="V34" s="2037">
        <v>25290</v>
      </c>
      <c r="W34" s="2037"/>
      <c r="X34" s="2037"/>
      <c r="Y34" s="2037"/>
      <c r="Z34" s="2037"/>
      <c r="AA34" s="2037"/>
      <c r="AD34" s="2039">
        <v>2024</v>
      </c>
      <c r="AE34" s="2040"/>
      <c r="AF34" s="931">
        <f t="shared" si="29"/>
        <v>0.215</v>
      </c>
      <c r="AG34" s="2040"/>
      <c r="AH34" s="931">
        <f t="shared" si="24"/>
        <v>0.3088510962265754</v>
      </c>
      <c r="AU34" s="2002">
        <f t="shared" si="25"/>
        <v>0.215</v>
      </c>
      <c r="AV34" s="1994">
        <f t="shared" si="26"/>
        <v>0.3088510962265754</v>
      </c>
      <c r="AX34" s="2041">
        <v>2024</v>
      </c>
      <c r="AY34" s="2042"/>
      <c r="AZ34" s="2029">
        <f t="shared" si="27"/>
        <v>0.02</v>
      </c>
      <c r="BA34" s="2042"/>
      <c r="BB34" s="2029">
        <f t="shared" si="28"/>
        <v>0.051615038793289846</v>
      </c>
      <c r="BO34" s="2004">
        <f t="shared" si="22"/>
        <v>0.051615038793289846</v>
      </c>
      <c r="BP34" s="2005"/>
      <c r="BR34" s="2041">
        <v>2024</v>
      </c>
      <c r="BS34" s="2043"/>
      <c r="BT34" s="1815"/>
      <c r="BU34" s="2043"/>
      <c r="BV34" s="1815">
        <f t="shared" si="30"/>
        <v>1.3243428662476155</v>
      </c>
      <c r="CL34" s="2004">
        <f t="shared" si="23"/>
        <v>1.3243428662476155</v>
      </c>
    </row>
    <row r="35" ht="18" customHeight="1" spans="1:90" x14ac:dyDescent="0.25">
      <c r="A35" s="2021">
        <v>2008</v>
      </c>
      <c r="B35" s="2034">
        <v>68.4</v>
      </c>
      <c r="C35" s="2034">
        <v>10.2</v>
      </c>
      <c r="D35" s="2034">
        <v>13.2</v>
      </c>
      <c r="E35" s="2034">
        <v>6.2</v>
      </c>
      <c r="F35" s="2034">
        <v>2</v>
      </c>
      <c r="G35" s="2020">
        <v>25235</v>
      </c>
      <c r="I35" s="2020">
        <f t="shared" si="11"/>
        <v>0</v>
      </c>
      <c r="J35" s="2021">
        <v>2014</v>
      </c>
      <c r="K35" s="2031"/>
      <c r="L35" s="2036"/>
      <c r="M35" s="1986"/>
      <c r="N35" s="25"/>
      <c r="O35" s="25"/>
      <c r="P35" s="25"/>
      <c r="Q35" s="1265"/>
      <c r="R35" s="2037">
        <v>17.31878738458946</v>
      </c>
      <c r="S35" s="2037"/>
      <c r="T35" s="2037">
        <v>76.00747797621544</v>
      </c>
      <c r="U35" s="2037">
        <v>30623.78</v>
      </c>
      <c r="V35" s="2037">
        <v>27612</v>
      </c>
      <c r="W35" s="2037"/>
      <c r="X35" s="2037"/>
      <c r="Y35" s="2037"/>
      <c r="Z35" s="2037"/>
      <c r="AA35" s="2037"/>
      <c r="AD35" s="2000">
        <v>2025</v>
      </c>
      <c r="AE35" s="2030"/>
      <c r="AF35" s="931">
        <f t="shared" si="29"/>
        <v>0.215</v>
      </c>
      <c r="AG35" s="2030"/>
      <c r="AH35" s="931">
        <f t="shared" si="24"/>
        <v>0.30885907618668623</v>
      </c>
      <c r="AU35" s="2002">
        <f t="shared" si="25"/>
        <v>0.215</v>
      </c>
      <c r="AV35" s="1994">
        <f t="shared" si="26"/>
        <v>0.30885907618668623</v>
      </c>
      <c r="AX35" s="2003">
        <v>2025</v>
      </c>
      <c r="AY35" s="2031"/>
      <c r="AZ35" s="2029">
        <f t="shared" si="27"/>
        <v>0.02</v>
      </c>
      <c r="BA35" s="2031"/>
      <c r="BB35" s="2029">
        <f t="shared" si="28"/>
        <v>0.05171306940705199</v>
      </c>
      <c r="BO35" s="2004">
        <f t="shared" si="22"/>
        <v>0.05171306940705199</v>
      </c>
      <c r="BP35" s="2005"/>
      <c r="BR35" s="2003">
        <v>2025</v>
      </c>
      <c r="BS35" s="1950"/>
      <c r="BT35" s="1815"/>
      <c r="BU35" s="1950"/>
      <c r="BV35" s="1815">
        <f t="shared" si="30"/>
        <v>1.324342863271334</v>
      </c>
      <c r="CL35" s="2004">
        <f t="shared" si="23"/>
        <v>1.324342863271334</v>
      </c>
    </row>
    <row r="36" ht="18" customHeight="1" spans="1:90" x14ac:dyDescent="0.25">
      <c r="A36" s="2044">
        <v>2009</v>
      </c>
      <c r="B36" s="2034">
        <v>66.9</v>
      </c>
      <c r="C36" s="2034">
        <v>9.7</v>
      </c>
      <c r="D36" s="2034">
        <v>14.9</v>
      </c>
      <c r="E36" s="2034">
        <v>6.5</v>
      </c>
      <c r="F36" s="2034">
        <v>2</v>
      </c>
      <c r="G36" s="2045">
        <v>28502</v>
      </c>
      <c r="I36" s="2020">
        <f t="shared" si="11"/>
        <v>0</v>
      </c>
      <c r="J36" s="2044">
        <v>2015</v>
      </c>
      <c r="K36" s="2046"/>
      <c r="L36" s="2047"/>
      <c r="M36" s="2010"/>
      <c r="N36" s="1671"/>
      <c r="O36" s="1671"/>
      <c r="P36" s="1671"/>
      <c r="Q36" s="2011"/>
      <c r="R36" s="2048">
        <v>19.5529109572015</v>
      </c>
      <c r="S36" s="2048"/>
      <c r="T36" s="2048">
        <v>74.20555775569582</v>
      </c>
      <c r="U36" s="2048">
        <v>34077.79</v>
      </c>
      <c r="V36" s="2048">
        <v>29742</v>
      </c>
      <c r="W36" s="2048"/>
      <c r="X36" s="2048"/>
      <c r="Y36" s="2048"/>
      <c r="Z36" s="2048"/>
      <c r="AA36" s="2048"/>
      <c r="AD36" s="2039">
        <v>2026</v>
      </c>
      <c r="AE36" s="2040"/>
      <c r="AF36" s="931">
        <f t="shared" si="29"/>
        <v>0.215</v>
      </c>
      <c r="AG36" s="2040"/>
      <c r="AH36" s="931">
        <f t="shared" si="24"/>
        <v>0.30886386416275274</v>
      </c>
      <c r="AU36" s="2002">
        <f t="shared" si="25"/>
        <v>0.215</v>
      </c>
      <c r="AV36" s="1994">
        <f t="shared" si="26"/>
        <v>0.30886386416275274</v>
      </c>
      <c r="AX36" s="2041">
        <v>2026</v>
      </c>
      <c r="AY36" s="2042"/>
      <c r="AZ36" s="2029">
        <f t="shared" si="27"/>
        <v>0.02</v>
      </c>
      <c r="BA36" s="2042"/>
      <c r="BB36" s="2029">
        <f t="shared" si="28"/>
        <v>0.051786592367373596</v>
      </c>
      <c r="BO36" s="2004">
        <f t="shared" si="22"/>
        <v>0.051786592367373596</v>
      </c>
      <c r="BP36" s="2005"/>
      <c r="BR36" s="2041">
        <v>2026</v>
      </c>
      <c r="BS36" s="2043"/>
      <c r="BT36" s="1815"/>
      <c r="BU36" s="2043"/>
      <c r="BV36" s="1815">
        <f t="shared" si="30"/>
        <v>1.3243428623784497</v>
      </c>
      <c r="CL36" s="2004">
        <f t="shared" si="23"/>
        <v>1.3243428623784497</v>
      </c>
    </row>
    <row r="37" ht="18" customHeight="1" spans="30:90" x14ac:dyDescent="0.25">
      <c r="AD37" s="2000">
        <v>2027</v>
      </c>
      <c r="AE37" s="2030"/>
      <c r="AF37" s="931">
        <f t="shared" si="29"/>
        <v>0.215</v>
      </c>
      <c r="AG37" s="2030"/>
      <c r="AH37" s="931">
        <f t="shared" si="24"/>
        <v>0.3088667369483927</v>
      </c>
      <c r="AU37" s="2002">
        <f t="shared" si="25"/>
        <v>0.215</v>
      </c>
      <c r="AV37" s="1994">
        <f t="shared" si="26"/>
        <v>0.3088667369483927</v>
      </c>
      <c r="AX37" s="2003">
        <v>2027</v>
      </c>
      <c r="AY37" s="2031"/>
      <c r="AZ37" s="2029">
        <f t="shared" si="27"/>
        <v>0.02</v>
      </c>
      <c r="BA37" s="2031"/>
      <c r="BB37" s="2029">
        <f t="shared" si="28"/>
        <v>0.051841734587614804</v>
      </c>
      <c r="BO37" s="2004">
        <f t="shared" si="22"/>
        <v>0.051841734587614804</v>
      </c>
      <c r="BP37" s="2005"/>
      <c r="BR37" s="2003">
        <v>2027</v>
      </c>
      <c r="BS37" s="1950"/>
      <c r="BT37" s="1815"/>
      <c r="BU37" s="1950"/>
      <c r="BV37" s="1815">
        <f t="shared" si="30"/>
        <v>1.3243428621105844</v>
      </c>
      <c r="CL37" s="2004">
        <f t="shared" si="23"/>
        <v>1.3243428621105844</v>
      </c>
    </row>
    <row r="38" ht="18" customHeight="1" spans="5:90" x14ac:dyDescent="0.25">
      <c r="E38" s="26"/>
      <c r="F38" s="1369"/>
      <c r="H38" s="24"/>
      <c r="I38" s="24"/>
      <c r="J38" s="24"/>
      <c r="K38" s="24"/>
      <c r="L38" s="24"/>
      <c r="M38" s="1468"/>
      <c r="AD38" s="2039">
        <v>2028</v>
      </c>
      <c r="AE38" s="2040"/>
      <c r="AF38" s="931">
        <f t="shared" si="29"/>
        <v>0.215</v>
      </c>
      <c r="AG38" s="2040"/>
      <c r="AH38" s="931">
        <f t="shared" si="24"/>
        <v>0.30886846061977663</v>
      </c>
      <c r="AU38" s="2002">
        <f t="shared" si="25"/>
        <v>0.215</v>
      </c>
      <c r="AV38" s="1994">
        <f t="shared" si="26"/>
        <v>0.30886846061977663</v>
      </c>
      <c r="AX38" s="2041">
        <v>2028</v>
      </c>
      <c r="AY38" s="2042"/>
      <c r="AZ38" s="2029">
        <f t="shared" si="27"/>
        <v>0.02</v>
      </c>
      <c r="BA38" s="2042"/>
      <c r="BB38" s="2029">
        <f t="shared" si="28"/>
        <v>0.05188309125279571</v>
      </c>
      <c r="BO38" s="2004">
        <f t="shared" si="22"/>
        <v>0.05188309125279571</v>
      </c>
      <c r="BP38" s="2005"/>
      <c r="BR38" s="2041">
        <v>2028</v>
      </c>
      <c r="BS38" s="2043"/>
      <c r="BT38" s="1815"/>
      <c r="BU38" s="2043"/>
      <c r="BV38" s="1815">
        <f t="shared" si="30"/>
        <v>1.3243428620302249</v>
      </c>
      <c r="CL38" s="2004">
        <f t="shared" si="23"/>
        <v>1.3243428620302249</v>
      </c>
    </row>
    <row r="39" ht="18" customHeight="1" spans="5:90" x14ac:dyDescent="0.25">
      <c r="E39" s="26"/>
      <c r="F39" s="1369"/>
      <c r="G39" s="24"/>
      <c r="H39" s="24"/>
      <c r="I39" s="24"/>
      <c r="J39" s="24"/>
      <c r="K39" s="24"/>
      <c r="L39" s="1468"/>
      <c r="AD39" s="2000">
        <v>2029</v>
      </c>
      <c r="AE39" s="2030"/>
      <c r="AF39" s="931">
        <f t="shared" si="29"/>
        <v>0.215</v>
      </c>
      <c r="AG39" s="2030"/>
      <c r="AH39" s="931">
        <f t="shared" si="24"/>
        <v>0.308869494822607</v>
      </c>
      <c r="AU39" s="2002">
        <f t="shared" si="25"/>
        <v>0.215</v>
      </c>
      <c r="AV39" s="1994">
        <f t="shared" si="26"/>
        <v>0.308869494822607</v>
      </c>
      <c r="AX39" s="2003">
        <v>2029</v>
      </c>
      <c r="AY39" s="2031"/>
      <c r="AZ39" s="2029">
        <f t="shared" si="27"/>
        <v>0.02</v>
      </c>
      <c r="BA39" s="2031"/>
      <c r="BB39" s="2029">
        <f t="shared" si="28"/>
        <v>0.051914108751681384</v>
      </c>
      <c r="BO39" s="2004">
        <f t="shared" si="22"/>
        <v>0.051914108751681384</v>
      </c>
      <c r="BP39" s="2005"/>
      <c r="BR39" s="2003">
        <v>2029</v>
      </c>
      <c r="BS39" s="1950"/>
      <c r="BT39" s="1815"/>
      <c r="BU39" s="1950"/>
      <c r="BV39" s="1815">
        <f t="shared" si="30"/>
        <v>1.324342862006117</v>
      </c>
      <c r="CL39" s="2004">
        <f t="shared" si="23"/>
        <v>1.324342862006117</v>
      </c>
    </row>
    <row r="40" ht="18" customHeight="1" spans="5:90" x14ac:dyDescent="0.25">
      <c r="E40" s="26"/>
      <c r="F40" s="1369"/>
      <c r="G40" s="24"/>
      <c r="H40" s="24"/>
      <c r="I40" s="24"/>
      <c r="J40" s="24"/>
      <c r="K40" s="24"/>
      <c r="L40" s="1468"/>
      <c r="AD40" s="2049">
        <v>2030</v>
      </c>
      <c r="AE40" s="2050"/>
      <c r="AF40" s="1005">
        <f t="shared" si="29"/>
        <v>0.215</v>
      </c>
      <c r="AG40" s="2050"/>
      <c r="AH40" s="1005">
        <f t="shared" si="24"/>
        <v>0.30887011534430525</v>
      </c>
      <c r="AU40" s="2051">
        <f t="shared" si="25"/>
        <v>0.215</v>
      </c>
      <c r="AV40" s="2052">
        <f t="shared" si="26"/>
        <v>0.30887011534430525</v>
      </c>
      <c r="AX40" s="2053">
        <v>2030</v>
      </c>
      <c r="AY40" s="2054"/>
      <c r="AZ40" s="2055">
        <f t="shared" si="27"/>
        <v>0.02</v>
      </c>
      <c r="BA40" s="2054"/>
      <c r="BB40" s="2055">
        <f t="shared" si="28"/>
        <v>0.05193737187584564</v>
      </c>
      <c r="BO40" s="2056">
        <f t="shared" si="22"/>
        <v>0.05193737187584564</v>
      </c>
      <c r="BP40" s="2057"/>
      <c r="BR40" s="2053">
        <v>2030</v>
      </c>
      <c r="BS40" s="2058"/>
      <c r="BT40" s="1821"/>
      <c r="BU40" s="2058"/>
      <c r="BV40" s="1815">
        <f t="shared" si="30"/>
        <v>1.3243428619988846</v>
      </c>
      <c r="CL40" s="2056">
        <f t="shared" si="23"/>
        <v>1.3243428619988846</v>
      </c>
    </row>
    <row r="41" ht="15" customHeight="1" spans="5:12" x14ac:dyDescent="0.25">
      <c r="E41" s="26"/>
      <c r="F41" s="1369"/>
      <c r="G41" s="24"/>
      <c r="H41" s="24"/>
      <c r="I41" s="24"/>
      <c r="J41" s="24"/>
      <c r="K41" s="24"/>
      <c r="L41" s="1468"/>
    </row>
    <row r="42" ht="15" customHeight="1" spans="5:12" x14ac:dyDescent="0.25">
      <c r="E42" s="26"/>
      <c r="F42" s="1369"/>
      <c r="G42" s="24"/>
      <c r="H42" s="24"/>
      <c r="I42" s="24"/>
      <c r="J42" s="24"/>
      <c r="K42" s="24"/>
      <c r="L42" s="1468"/>
    </row>
    <row r="43" ht="15" customHeight="1" spans="5:12" x14ac:dyDescent="0.25">
      <c r="E43" s="26"/>
      <c r="F43" s="1369"/>
      <c r="G43" s="24"/>
      <c r="H43" s="24"/>
      <c r="I43" s="24"/>
      <c r="J43" s="24"/>
      <c r="K43" s="24"/>
      <c r="L43" s="1468"/>
    </row>
    <row r="44" ht="15" customHeight="1" spans="5:12" x14ac:dyDescent="0.25">
      <c r="E44" s="26"/>
      <c r="F44" s="1369"/>
      <c r="G44" s="24"/>
      <c r="H44" s="24"/>
      <c r="I44" s="24"/>
      <c r="J44" s="24"/>
      <c r="K44" s="24"/>
      <c r="L44" s="1468"/>
    </row>
    <row r="45" ht="15" customHeight="1" spans="5:12" x14ac:dyDescent="0.25">
      <c r="E45" s="26"/>
      <c r="F45" s="1369"/>
      <c r="G45" s="24"/>
      <c r="H45" s="24"/>
      <c r="I45" s="24"/>
      <c r="J45" s="24"/>
      <c r="K45" s="24"/>
      <c r="L45" s="1468"/>
    </row>
    <row r="46" ht="17.5" customHeight="1" spans="5:64" x14ac:dyDescent="0.25">
      <c r="E46" s="24"/>
      <c r="F46" s="1367"/>
      <c r="G46" s="24"/>
      <c r="H46" s="24"/>
      <c r="I46" s="24"/>
      <c r="J46" s="24"/>
      <c r="K46" s="24"/>
      <c r="L46" s="1359"/>
      <c r="BD46" s="2059"/>
      <c r="BE46" s="2060" t="s">
        <v>1889</v>
      </c>
      <c r="BF46" s="2060"/>
      <c r="BG46" s="2060"/>
      <c r="BH46" s="2060"/>
      <c r="BI46" s="2060"/>
      <c r="BJ46" s="2060"/>
      <c r="BK46" s="2061"/>
      <c r="BL46" s="2062"/>
    </row>
    <row r="47" ht="17.5" customHeight="1" spans="5:64" x14ac:dyDescent="0.25">
      <c r="E47" s="26"/>
      <c r="F47" s="1369"/>
      <c r="G47" s="24"/>
      <c r="H47" s="24"/>
      <c r="I47" s="24"/>
      <c r="J47" s="24"/>
      <c r="K47" s="24"/>
      <c r="L47" s="1468"/>
      <c r="BD47" s="1032"/>
      <c r="BE47" s="315"/>
      <c r="BF47" s="315"/>
      <c r="BG47" s="315"/>
      <c r="BH47" s="315"/>
      <c r="BI47" s="315"/>
      <c r="BJ47" s="315"/>
      <c r="BK47" s="17"/>
      <c r="BL47" s="18"/>
    </row>
    <row r="48" ht="17.5" customHeight="1" spans="56:64" x14ac:dyDescent="0.25">
      <c r="BD48" s="959"/>
      <c r="BE48" s="272" t="s">
        <v>1890</v>
      </c>
      <c r="BF48" s="272"/>
      <c r="BG48" s="20"/>
      <c r="BH48" s="20"/>
      <c r="BI48" s="20"/>
      <c r="BJ48" s="20"/>
      <c r="BK48" s="20"/>
      <c r="BL48" s="21"/>
    </row>
    <row r="49" ht="15" customHeight="1" spans="2:64" x14ac:dyDescent="0.25">
      <c r="B49" s="2063"/>
      <c r="C49" s="2064">
        <v>1970</v>
      </c>
      <c r="D49" s="2064">
        <v>1975</v>
      </c>
      <c r="E49" s="2064">
        <v>1980</v>
      </c>
      <c r="F49" s="2064">
        <v>1985</v>
      </c>
      <c r="G49" s="2064">
        <v>1990</v>
      </c>
      <c r="H49" s="2064">
        <v>1991</v>
      </c>
      <c r="I49" s="2064">
        <v>1992</v>
      </c>
      <c r="J49" s="2064">
        <v>1993</v>
      </c>
      <c r="K49" s="2064">
        <v>1994</v>
      </c>
      <c r="L49" s="2064">
        <v>1995</v>
      </c>
      <c r="M49" s="2064">
        <v>1996</v>
      </c>
      <c r="N49" s="2064">
        <v>1997</v>
      </c>
      <c r="O49" s="2064">
        <v>1998</v>
      </c>
      <c r="P49" s="2065">
        <v>1999</v>
      </c>
      <c r="Q49" s="2065">
        <v>2000</v>
      </c>
      <c r="R49" s="2065">
        <v>2001</v>
      </c>
      <c r="S49" s="2065">
        <v>2002</v>
      </c>
      <c r="T49" s="2065">
        <v>2003</v>
      </c>
      <c r="U49" s="2065">
        <v>2004</v>
      </c>
      <c r="V49" s="2065">
        <v>2005</v>
      </c>
      <c r="W49" s="2065">
        <v>2006</v>
      </c>
      <c r="X49" s="2065">
        <v>2007</v>
      </c>
      <c r="Y49" s="2065">
        <v>2008</v>
      </c>
      <c r="Z49" s="2065">
        <v>2009</v>
      </c>
      <c r="BD49" s="959"/>
      <c r="BE49" s="20"/>
      <c r="BF49" s="20"/>
      <c r="BG49" s="20"/>
      <c r="BH49" s="20"/>
      <c r="BI49" s="20"/>
      <c r="BJ49" s="20"/>
      <c r="BK49" s="20"/>
      <c r="BL49" s="21"/>
    </row>
    <row r="50" ht="25.5" customHeight="1" spans="2:97" x14ac:dyDescent="0.25">
      <c r="B50" s="2066" t="s">
        <v>1891</v>
      </c>
      <c r="C50" s="2067">
        <v>115.6</v>
      </c>
      <c r="D50" s="2067">
        <v>160.2</v>
      </c>
      <c r="E50" s="2067">
        <v>201.8</v>
      </c>
      <c r="F50" s="2067">
        <v>244.7</v>
      </c>
      <c r="G50" s="2067">
        <v>383.2</v>
      </c>
      <c r="H50" s="2067">
        <v>830.5</v>
      </c>
      <c r="I50" s="2067">
        <v>7099.9</v>
      </c>
      <c r="J50" s="2067">
        <v>79949</v>
      </c>
      <c r="K50" s="2067">
        <v>364834.1</v>
      </c>
      <c r="L50" s="2067">
        <v>910921.635</v>
      </c>
      <c r="M50" s="2067">
        <v>1357073.433</v>
      </c>
      <c r="N50" s="2067">
        <v>1656405.072</v>
      </c>
      <c r="O50" s="2067">
        <v>1776032.351</v>
      </c>
      <c r="P50" s="2067">
        <v>2908.1</v>
      </c>
      <c r="Q50" s="2067">
        <v>3983.9</v>
      </c>
      <c r="R50" s="2067">
        <v>5325.8</v>
      </c>
      <c r="S50" s="2067">
        <v>6831</v>
      </c>
      <c r="T50" s="2067">
        <v>8900.5</v>
      </c>
      <c r="U50" s="2067">
        <v>10976.3</v>
      </c>
      <c r="V50" s="2067">
        <v>13819</v>
      </c>
      <c r="W50" s="2067">
        <v>17290.1</v>
      </c>
      <c r="X50" s="2067">
        <v>21311.5</v>
      </c>
      <c r="Y50" s="2067">
        <v>25231.6</v>
      </c>
      <c r="Z50" s="2067">
        <v>28452.3</v>
      </c>
      <c r="BD50" s="959"/>
      <c r="BE50" s="272" t="s">
        <v>1892</v>
      </c>
      <c r="BF50" s="20"/>
      <c r="BG50" s="20"/>
      <c r="BH50" s="20"/>
      <c r="BI50" s="20"/>
      <c r="BJ50" s="20"/>
      <c r="BK50" s="20"/>
      <c r="BL50" s="21"/>
      <c r="CS50" t="s">
        <v>1893</v>
      </c>
    </row>
    <row r="51" ht="22.5" customHeight="1" spans="2:64" x14ac:dyDescent="0.25">
      <c r="B51" s="2068" t="s">
        <v>1894</v>
      </c>
      <c r="C51" s="2069"/>
      <c r="D51" s="2069"/>
      <c r="E51" s="2069"/>
      <c r="F51" s="2069"/>
      <c r="G51" s="2069"/>
      <c r="H51" s="2069"/>
      <c r="I51" s="2069"/>
      <c r="J51" s="2069"/>
      <c r="K51" s="2069"/>
      <c r="L51" s="2069"/>
      <c r="M51" s="2069"/>
      <c r="N51" s="2069"/>
      <c r="O51" s="2069"/>
      <c r="P51" s="2069"/>
      <c r="Q51" s="2069"/>
      <c r="R51" s="2069"/>
      <c r="S51" s="2069"/>
      <c r="T51" s="2069"/>
      <c r="U51" s="2069"/>
      <c r="V51" s="2069"/>
      <c r="W51" s="2069"/>
      <c r="X51" s="2069"/>
      <c r="Y51" s="2067"/>
      <c r="Z51" s="2067"/>
      <c r="BD51" s="959"/>
      <c r="BE51" s="20"/>
      <c r="BF51" s="20"/>
      <c r="BG51" s="20"/>
      <c r="BH51" s="20"/>
      <c r="BI51" s="20"/>
      <c r="BJ51" s="20"/>
      <c r="BK51" s="20"/>
      <c r="BL51" s="21"/>
    </row>
    <row r="52" ht="22.5" customHeight="1" spans="2:64" x14ac:dyDescent="0.25">
      <c r="B52" s="2070" t="s">
        <v>1895</v>
      </c>
      <c r="C52" s="2067">
        <v>83.3</v>
      </c>
      <c r="D52" s="2067">
        <v>80.7</v>
      </c>
      <c r="E52" s="2067">
        <v>79.8</v>
      </c>
      <c r="F52" s="2067">
        <v>77.2</v>
      </c>
      <c r="G52" s="2067">
        <v>76.4</v>
      </c>
      <c r="H52" s="2071">
        <v>62.5</v>
      </c>
      <c r="I52" s="2071">
        <v>73.6</v>
      </c>
      <c r="J52" s="2067">
        <v>61.1</v>
      </c>
      <c r="K52" s="2067">
        <v>64.5</v>
      </c>
      <c r="L52" s="2067">
        <v>62.8</v>
      </c>
      <c r="M52" s="2067">
        <v>65.9</v>
      </c>
      <c r="N52" s="2067">
        <v>65.6</v>
      </c>
      <c r="O52" s="2067">
        <v>65.8</v>
      </c>
      <c r="P52" s="2067">
        <v>66.5</v>
      </c>
      <c r="Q52" s="2067">
        <v>62.8</v>
      </c>
      <c r="R52" s="2067">
        <v>64.6</v>
      </c>
      <c r="S52" s="2067">
        <v>65.8</v>
      </c>
      <c r="T52" s="2067">
        <v>63.9</v>
      </c>
      <c r="U52" s="2067">
        <v>65</v>
      </c>
      <c r="V52" s="2067">
        <v>63.6</v>
      </c>
      <c r="W52" s="2067">
        <v>65</v>
      </c>
      <c r="X52" s="2067">
        <v>67.5</v>
      </c>
      <c r="Y52" s="2067">
        <v>68.4</v>
      </c>
      <c r="Z52" s="2067">
        <v>66.9</v>
      </c>
      <c r="BD52" s="959"/>
      <c r="BE52" s="272" t="s">
        <v>1896</v>
      </c>
      <c r="BF52" s="20"/>
      <c r="BG52" s="20"/>
      <c r="BH52" s="20"/>
      <c r="BI52" s="20"/>
      <c r="BJ52" s="20"/>
      <c r="BK52" s="20"/>
      <c r="BL52" s="21"/>
    </row>
    <row r="53" ht="24.75" customHeight="1" spans="2:65" x14ac:dyDescent="0.25">
      <c r="B53" s="2070" t="s">
        <v>1897</v>
      </c>
      <c r="C53" s="2067">
        <v>2.5</v>
      </c>
      <c r="D53" s="2067">
        <v>2.7</v>
      </c>
      <c r="E53" s="2067">
        <v>2.2</v>
      </c>
      <c r="F53" s="2067">
        <v>2.7</v>
      </c>
      <c r="G53" s="2067">
        <v>3.7</v>
      </c>
      <c r="H53" s="2067">
        <v>4.1</v>
      </c>
      <c r="I53" s="2067">
        <v>8.4</v>
      </c>
      <c r="J53" s="2067">
        <v>18.6</v>
      </c>
      <c r="K53" s="2067">
        <v>16</v>
      </c>
      <c r="L53" s="2071">
        <v>16.4</v>
      </c>
      <c r="M53" s="2071">
        <v>13.6</v>
      </c>
      <c r="N53" s="2067">
        <v>13</v>
      </c>
      <c r="O53" s="2067">
        <v>14.4</v>
      </c>
      <c r="P53" s="2067">
        <v>12.4</v>
      </c>
      <c r="Q53" s="2067">
        <v>15.4</v>
      </c>
      <c r="R53" s="2067">
        <v>12.6</v>
      </c>
      <c r="S53" s="2067">
        <v>11.9</v>
      </c>
      <c r="T53" s="2067">
        <v>12</v>
      </c>
      <c r="U53" s="2067">
        <v>11.7</v>
      </c>
      <c r="V53" s="2067">
        <v>11.4</v>
      </c>
      <c r="W53" s="2067">
        <v>11.1</v>
      </c>
      <c r="X53" s="2067">
        <v>10</v>
      </c>
      <c r="Y53" s="2067">
        <v>10.2</v>
      </c>
      <c r="Z53" s="2067">
        <v>9.7</v>
      </c>
      <c r="BD53" s="959"/>
      <c r="BE53" s="272"/>
      <c r="BF53" s="20"/>
      <c r="BG53" s="20"/>
      <c r="BH53" s="20"/>
      <c r="BI53" s="20"/>
      <c r="BJ53" s="20"/>
      <c r="BK53" s="20"/>
      <c r="BL53" s="21"/>
      <c r="BM53" s="2072" t="s">
        <v>1898</v>
      </c>
    </row>
    <row r="54" ht="21" customHeight="1" spans="2:64" x14ac:dyDescent="0.25">
      <c r="B54" s="2070" t="s">
        <v>1899</v>
      </c>
      <c r="C54" s="2067">
        <v>12.6</v>
      </c>
      <c r="D54" s="2067">
        <v>14</v>
      </c>
      <c r="E54" s="2067">
        <v>15.1</v>
      </c>
      <c r="F54" s="2067">
        <v>16.3</v>
      </c>
      <c r="G54" s="2067">
        <v>14.7</v>
      </c>
      <c r="H54" s="2067">
        <v>16.4</v>
      </c>
      <c r="I54" s="2067">
        <v>14.3</v>
      </c>
      <c r="J54" s="2067">
        <v>15</v>
      </c>
      <c r="K54" s="2067">
        <v>13.5</v>
      </c>
      <c r="L54" s="2067">
        <v>13.1</v>
      </c>
      <c r="M54" s="2067">
        <v>14</v>
      </c>
      <c r="N54" s="2071">
        <v>14.8</v>
      </c>
      <c r="O54" s="2071">
        <v>13.4</v>
      </c>
      <c r="P54" s="2067">
        <v>13.1</v>
      </c>
      <c r="Q54" s="2067">
        <v>13.8</v>
      </c>
      <c r="R54" s="2067">
        <v>15.2</v>
      </c>
      <c r="S54" s="2067">
        <v>15.2</v>
      </c>
      <c r="T54" s="2067">
        <v>14.1</v>
      </c>
      <c r="U54" s="2067">
        <v>12.8</v>
      </c>
      <c r="V54" s="2067">
        <v>12.7</v>
      </c>
      <c r="W54" s="2067">
        <v>12</v>
      </c>
      <c r="X54" s="2067">
        <v>11.6</v>
      </c>
      <c r="Y54" s="2067">
        <v>13.2</v>
      </c>
      <c r="Z54" s="2067">
        <v>14.9</v>
      </c>
      <c r="BD54" s="959"/>
      <c r="BE54" s="272" t="s">
        <v>1900</v>
      </c>
      <c r="BF54" s="20"/>
      <c r="BG54" s="20"/>
      <c r="BH54" s="20"/>
      <c r="BI54" s="20"/>
      <c r="BJ54" s="20"/>
      <c r="BK54" s="20"/>
      <c r="BL54" s="21"/>
    </row>
    <row r="55" ht="23.25" customHeight="1" spans="2:73" x14ac:dyDescent="0.25">
      <c r="B55" s="2070" t="s">
        <v>1901</v>
      </c>
      <c r="C55" s="2067">
        <v>0.6</v>
      </c>
      <c r="D55" s="2067">
        <v>1.2</v>
      </c>
      <c r="E55" s="2067">
        <v>1.3</v>
      </c>
      <c r="F55" s="2067">
        <v>1.6</v>
      </c>
      <c r="G55" s="2067">
        <v>2.5</v>
      </c>
      <c r="H55" s="2067">
        <v>12.8</v>
      </c>
      <c r="I55" s="2067">
        <v>1</v>
      </c>
      <c r="J55" s="2067">
        <v>3</v>
      </c>
      <c r="K55" s="2067">
        <v>4.5</v>
      </c>
      <c r="L55" s="2067">
        <v>6.5</v>
      </c>
      <c r="M55" s="2067">
        <v>5.4</v>
      </c>
      <c r="N55" s="2067">
        <v>5.7</v>
      </c>
      <c r="O55" s="2067">
        <v>5.5</v>
      </c>
      <c r="P55" s="2067">
        <v>7.1</v>
      </c>
      <c r="Q55" s="2067">
        <v>6.8</v>
      </c>
      <c r="R55" s="2067">
        <v>5.7</v>
      </c>
      <c r="S55" s="2067">
        <v>5.2</v>
      </c>
      <c r="T55" s="2067">
        <v>7.8</v>
      </c>
      <c r="U55" s="2067">
        <v>8.3</v>
      </c>
      <c r="V55" s="2067">
        <v>10.3</v>
      </c>
      <c r="W55" s="2067">
        <v>10</v>
      </c>
      <c r="X55" s="2067">
        <v>8.9</v>
      </c>
      <c r="Y55" s="2067">
        <v>6.2</v>
      </c>
      <c r="Z55" s="2067">
        <v>6.5</v>
      </c>
      <c r="BD55" s="959"/>
      <c r="BE55" s="272"/>
      <c r="BF55" s="20"/>
      <c r="BG55" s="20"/>
      <c r="BH55" s="20"/>
      <c r="BI55" s="20"/>
      <c r="BJ55" s="20"/>
      <c r="BK55" s="20"/>
      <c r="BL55" s="21"/>
      <c r="BU55" s="754"/>
    </row>
    <row r="56" ht="20.5" customHeight="1" spans="2:77" x14ac:dyDescent="0.25">
      <c r="B56" s="2070" t="s">
        <v>1902</v>
      </c>
      <c r="C56" s="2067">
        <v>1</v>
      </c>
      <c r="D56" s="2067">
        <v>1.4</v>
      </c>
      <c r="E56" s="2067">
        <v>1.6</v>
      </c>
      <c r="F56" s="2067">
        <v>2.2</v>
      </c>
      <c r="G56" s="2067">
        <v>2.7</v>
      </c>
      <c r="H56" s="2067">
        <v>4.2</v>
      </c>
      <c r="I56" s="2067">
        <v>2.7</v>
      </c>
      <c r="J56" s="2067">
        <v>2.3</v>
      </c>
      <c r="K56" s="2067">
        <v>1.5</v>
      </c>
      <c r="L56" s="2067">
        <v>1.2</v>
      </c>
      <c r="M56" s="2067">
        <v>1.1</v>
      </c>
      <c r="N56" s="2067">
        <v>0.9</v>
      </c>
      <c r="O56" s="2067">
        <v>0.9</v>
      </c>
      <c r="P56" s="2067">
        <v>0.9</v>
      </c>
      <c r="Q56" s="2067">
        <v>1.2</v>
      </c>
      <c r="R56" s="2067">
        <v>1.9</v>
      </c>
      <c r="S56" s="2067">
        <v>1.9</v>
      </c>
      <c r="T56" s="2067">
        <v>2.2</v>
      </c>
      <c r="U56" s="2067">
        <v>2.2</v>
      </c>
      <c r="V56" s="2067">
        <v>2</v>
      </c>
      <c r="W56" s="2067">
        <v>1.9</v>
      </c>
      <c r="X56" s="2067">
        <v>2</v>
      </c>
      <c r="Y56" s="2067">
        <v>2</v>
      </c>
      <c r="Z56" s="2067">
        <v>2</v>
      </c>
      <c r="BD56" s="962"/>
      <c r="BE56" s="297"/>
      <c r="BF56" s="82"/>
      <c r="BG56" s="82"/>
      <c r="BH56" s="82"/>
      <c r="BI56" s="82"/>
      <c r="BJ56" s="82"/>
      <c r="BK56" s="82"/>
      <c r="BL56" s="83"/>
      <c r="BU56" s="59"/>
      <c r="BY56" s="59"/>
    </row>
    <row r="57" ht="15" customHeight="1" x14ac:dyDescent="0.25"/>
    <row r="58" ht="23.5" customHeight="1" spans="30:138" x14ac:dyDescent="0.25">
      <c r="AD58" s="2073" t="s">
        <v>974</v>
      </c>
      <c r="AE58" s="2074" t="s">
        <v>1903</v>
      </c>
      <c r="AF58" s="2073" t="s">
        <v>974</v>
      </c>
      <c r="AG58" s="2074" t="s">
        <v>1903</v>
      </c>
      <c r="AZ58" s="2073" t="s">
        <v>974</v>
      </c>
      <c r="BA58" s="2074" t="s">
        <v>1903</v>
      </c>
      <c r="BB58" s="2073" t="s">
        <v>974</v>
      </c>
      <c r="BC58" s="2074" t="s">
        <v>1903</v>
      </c>
      <c r="BV58" s="1156" t="s">
        <v>974</v>
      </c>
      <c r="BW58" s="1260" t="s">
        <v>15</v>
      </c>
      <c r="BX58" s="1156" t="s">
        <v>974</v>
      </c>
      <c r="BY58" s="1260" t="s">
        <v>15</v>
      </c>
      <c r="CP58" s="2075" t="s">
        <v>974</v>
      </c>
      <c r="CQ58" s="2076" t="s">
        <v>710</v>
      </c>
      <c r="CR58" s="2075" t="s">
        <v>974</v>
      </c>
      <c r="CS58" s="2076" t="s">
        <v>710</v>
      </c>
      <c r="CT58" s="2077" t="s">
        <v>1904</v>
      </c>
      <c r="CU58" s="2076" t="s">
        <v>710</v>
      </c>
      <c r="DK58" s="2078" t="s">
        <v>1476</v>
      </c>
      <c r="DN58" s="2079"/>
      <c r="DO58" s="31"/>
      <c r="DP58" s="28" t="s">
        <v>13</v>
      </c>
      <c r="DQ58" s="214" t="s">
        <v>722</v>
      </c>
      <c r="DR58" s="546" t="s">
        <v>723</v>
      </c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H58" s="2080" t="s">
        <v>727</v>
      </c>
    </row>
    <row r="59" ht="18.5" customHeight="1" spans="10:134" x14ac:dyDescent="0.25">
      <c r="J59" s="844" t="s">
        <v>13</v>
      </c>
      <c r="K59" s="559" t="s">
        <v>1824</v>
      </c>
      <c r="L59" s="2081" t="s">
        <v>983</v>
      </c>
      <c r="Y59" s="1990" t="s">
        <v>865</v>
      </c>
      <c r="AC59" s="2082" t="s">
        <v>13</v>
      </c>
      <c r="AD59" s="2081" t="s">
        <v>41</v>
      </c>
      <c r="AE59" s="2081" t="s">
        <v>41</v>
      </c>
      <c r="AF59" s="2083" t="s">
        <v>1905</v>
      </c>
      <c r="AG59" s="2083" t="s">
        <v>1905</v>
      </c>
      <c r="AY59" s="760" t="s">
        <v>520</v>
      </c>
      <c r="AZ59" s="2083" t="s">
        <v>41</v>
      </c>
      <c r="BA59" s="2081" t="s">
        <v>41</v>
      </c>
      <c r="BB59" s="2083" t="s">
        <v>1770</v>
      </c>
      <c r="BC59" s="2083" t="s">
        <v>1770</v>
      </c>
      <c r="BU59" s="1633" t="s">
        <v>520</v>
      </c>
      <c r="BV59" s="2083" t="s">
        <v>1906</v>
      </c>
      <c r="BW59" s="2083" t="s">
        <v>1906</v>
      </c>
      <c r="BX59" s="2083" t="s">
        <v>119</v>
      </c>
      <c r="BY59" s="2083" t="s">
        <v>119</v>
      </c>
      <c r="CO59" s="2084" t="s">
        <v>520</v>
      </c>
      <c r="CP59" s="2083" t="s">
        <v>1907</v>
      </c>
      <c r="CQ59" s="2083" t="s">
        <v>1907</v>
      </c>
      <c r="CR59" s="2083" t="s">
        <v>1908</v>
      </c>
      <c r="CS59" s="2083" t="s">
        <v>1909</v>
      </c>
      <c r="CT59" s="2083" t="s">
        <v>1910</v>
      </c>
      <c r="CU59" s="2083" t="s">
        <v>1910</v>
      </c>
      <c r="DK59" s="2085" t="s">
        <v>1910</v>
      </c>
      <c r="DN59" s="31"/>
      <c r="DO59" s="31"/>
      <c r="DP59" s="324">
        <v>43664</v>
      </c>
      <c r="DQ59" s="40" t="s">
        <v>691</v>
      </c>
      <c r="DR59" s="552" t="s">
        <v>1911</v>
      </c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</row>
    <row r="60" ht="23.5" customHeight="1" spans="10:139" x14ac:dyDescent="0.25">
      <c r="J60" s="850">
        <f>ОТЧЁТ!J49</f>
        <v>43898</v>
      </c>
      <c r="K60" s="843" t="s">
        <v>840</v>
      </c>
      <c r="L60" s="843" t="s">
        <v>840</v>
      </c>
      <c r="Y60" s="850">
        <f>J60</f>
        <v>43898</v>
      </c>
      <c r="AC60" s="2086">
        <v>42452</v>
      </c>
      <c r="AD60" s="1952" t="s">
        <v>1912</v>
      </c>
      <c r="AE60" s="1952" t="s">
        <v>1912</v>
      </c>
      <c r="AF60" s="2087" t="s">
        <v>1912</v>
      </c>
      <c r="AG60" s="2087" t="s">
        <v>1912</v>
      </c>
      <c r="AY60" s="765">
        <v>42460</v>
      </c>
      <c r="AZ60" s="2087" t="s">
        <v>1912</v>
      </c>
      <c r="BA60" s="1952" t="s">
        <v>1912</v>
      </c>
      <c r="BB60" s="2087" t="s">
        <v>1912</v>
      </c>
      <c r="BC60" s="2087" t="s">
        <v>1912</v>
      </c>
      <c r="BU60" s="2088">
        <f>ОТЧЁТ!J49</f>
        <v>43898</v>
      </c>
      <c r="BV60" s="175" t="s">
        <v>56</v>
      </c>
      <c r="BW60" s="175" t="s">
        <v>56</v>
      </c>
      <c r="BX60" s="175" t="s">
        <v>56</v>
      </c>
      <c r="BY60" s="175" t="s">
        <v>56</v>
      </c>
      <c r="CO60" s="2089">
        <f>ОТЧЁТ!J49</f>
        <v>43898</v>
      </c>
      <c r="CP60" s="2087" t="s">
        <v>56</v>
      </c>
      <c r="CQ60" s="2087" t="s">
        <v>56</v>
      </c>
      <c r="CR60" s="2087" t="s">
        <v>56</v>
      </c>
      <c r="CS60" s="2087" t="s">
        <v>56</v>
      </c>
      <c r="CT60" s="843" t="s">
        <v>840</v>
      </c>
      <c r="CU60" s="843" t="s">
        <v>840</v>
      </c>
      <c r="DK60" s="2090">
        <f>CO60</f>
        <v>43898</v>
      </c>
      <c r="DN60" s="31">
        <v>1</v>
      </c>
      <c r="DO60" s="2091">
        <v>220.8</v>
      </c>
      <c r="DP60" s="583">
        <v>1995</v>
      </c>
      <c r="DQ60" s="139">
        <v>0.22080000000000002</v>
      </c>
      <c r="DR60" s="20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H60" s="59">
        <v>2008</v>
      </c>
      <c r="EI60" s="754">
        <v>12869</v>
      </c>
    </row>
    <row r="61" ht="20.5" customHeight="1" spans="10:139" x14ac:dyDescent="0.25">
      <c r="J61" s="2081">
        <v>1995</v>
      </c>
      <c r="K61" s="872">
        <f t="shared" ref="K61:K81" si="31">G65</f>
        <v>0.1841275125901203</v>
      </c>
      <c r="L61" s="1591"/>
      <c r="Y61" s="2092">
        <f>K61</f>
        <v>0.1841275125901203</v>
      </c>
      <c r="AC61" s="2093">
        <v>1995</v>
      </c>
      <c r="AD61" s="2094">
        <f t="array" ref="AD61:AD80">TRANSPOSE(ОТЧЁТ!U151:AN151)</f>
        <v>1</v>
      </c>
      <c r="AE61" s="2094"/>
      <c r="AF61" s="1415">
        <f t="array" ref="AF61:AF81">TRANSPOSE(ОТЧЁТ!U184:AO184)</f>
        <v>1</v>
      </c>
      <c r="AG61" s="1415"/>
      <c r="AX61" s="268">
        <f t="array" ref="AX61:AX81">TRANSPOSE(ОТЧЁТ!U126:AO126)</f>
        <v>2.313</v>
      </c>
      <c r="AY61" s="2093">
        <v>1995</v>
      </c>
      <c r="AZ61" s="2095">
        <f t="array" ref="AZ61:AZ80">TRANSPOSE(ОТЧЁТ!U151:AN151)</f>
        <v>1</v>
      </c>
      <c r="BA61" s="2094"/>
      <c r="BB61" s="2096">
        <f t="array" ref="BB61:BB81">TRANSPOSE(ОТЧЁТ!U179:AO179)</f>
        <v>1</v>
      </c>
      <c r="BC61" s="2095"/>
      <c r="BU61" s="828">
        <v>1995</v>
      </c>
      <c r="BV61" s="1016">
        <v>910.9</v>
      </c>
      <c r="BW61" s="2097"/>
      <c r="BX61" s="2098">
        <f t="array" ref="BX61:BX82">TRANSPOSE(ОТЧЁТ!U69:AP69)</f>
        <v>719.7935</v>
      </c>
      <c r="BY61" s="2097"/>
      <c r="CO61" s="2093">
        <v>1995</v>
      </c>
      <c r="CP61" s="1017">
        <f t="array" ref="CP61:CP80">TRANSPOSE(ОТЧЁТ!U88:AN88)</f>
        <v>647.87</v>
      </c>
      <c r="CQ61" s="2097"/>
      <c r="CR61" s="2098">
        <f t="array" ref="CR61:CR81">TRANSPOSE(ОТЧЁТ!U65:AO65)</f>
        <v>1428.5209000000002</v>
      </c>
      <c r="CS61" s="2099"/>
      <c r="CT61" s="872"/>
      <c r="CU61" s="2100">
        <f>CP61/CR61</f>
        <v>0.4535250411807065</v>
      </c>
      <c r="DK61" s="2101">
        <f>CU61</f>
        <v>0.4535250411807065</v>
      </c>
      <c r="DN61" s="31">
        <v>2</v>
      </c>
      <c r="DO61" s="2091">
        <v>282.3</v>
      </c>
      <c r="DP61" s="583">
        <v>1996</v>
      </c>
      <c r="DQ61" s="216">
        <v>0.2823</v>
      </c>
      <c r="DR61" s="75">
        <v>-0.07919999999999994</v>
      </c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H61" s="59">
        <v>2009</v>
      </c>
      <c r="EI61" s="2102">
        <v>12975.9</v>
      </c>
    </row>
    <row r="62" ht="20.5" customHeight="1" spans="3:139" x14ac:dyDescent="0.25">
      <c r="C62" s="805" t="s">
        <v>1913</v>
      </c>
      <c r="D62" s="805"/>
      <c r="E62" s="805"/>
      <c r="F62" s="805"/>
      <c r="J62" s="2103">
        <v>1996</v>
      </c>
      <c r="K62" s="903">
        <f t="shared" si="31"/>
        <v>0.16657824595487689</v>
      </c>
      <c r="L62" s="1265"/>
      <c r="Y62" s="2104">
        <f>K62</f>
        <v>0.16657824595487689</v>
      </c>
      <c r="AC62" s="2093">
        <v>1996</v>
      </c>
      <c r="AD62" s="2105">
        <v>1.218</v>
      </c>
      <c r="AE62" s="2105"/>
      <c r="AF62" s="1611">
        <v>1.4723042021668387</v>
      </c>
      <c r="AG62" s="1611"/>
      <c r="AX62" s="268">
        <v>1.218</v>
      </c>
      <c r="AY62" s="2093">
        <v>1996</v>
      </c>
      <c r="AZ62" s="2106">
        <v>1.218</v>
      </c>
      <c r="BA62" s="2105"/>
      <c r="BB62" s="2107">
        <v>1.458015926869807</v>
      </c>
      <c r="BC62" s="2106"/>
      <c r="BU62" s="559">
        <v>1996</v>
      </c>
      <c r="BV62" s="2108">
        <v>1357.1</v>
      </c>
      <c r="BW62" s="2109"/>
      <c r="BX62" s="2110">
        <v>1007.827</v>
      </c>
      <c r="BY62" s="2109"/>
      <c r="CO62" s="2093">
        <v>1996</v>
      </c>
      <c r="CP62" s="2111">
        <v>1022.64</v>
      </c>
      <c r="CQ62" s="2109"/>
      <c r="CR62" s="2110">
        <v>2007.8252000000007</v>
      </c>
      <c r="CS62" s="611"/>
      <c r="CT62" s="903">
        <f>CP62/CR62</f>
        <v>0.5093272063723474</v>
      </c>
      <c r="CU62" s="2100">
        <f>CP62/CR62</f>
        <v>0.5093272063723474</v>
      </c>
      <c r="DK62" s="2112">
        <f>CU62</f>
        <v>0.5093272063723474</v>
      </c>
      <c r="DN62" s="31">
        <v>3</v>
      </c>
      <c r="DO62" s="2091">
        <v>357.4</v>
      </c>
      <c r="DP62" s="583">
        <v>1997</v>
      </c>
      <c r="DQ62" s="216">
        <v>0.3574</v>
      </c>
      <c r="DR62" s="75">
        <v>-0.23229999999999995</v>
      </c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H62" s="59">
        <v>2010</v>
      </c>
      <c r="EI62" s="2102">
        <v>15267.6</v>
      </c>
    </row>
    <row r="63" ht="20.5" customHeight="1" spans="3:139" x14ac:dyDescent="0.25">
      <c r="C63" s="2113" t="s">
        <v>520</v>
      </c>
      <c r="D63" s="393" t="s">
        <v>1829</v>
      </c>
      <c r="E63" s="393" t="s">
        <v>1907</v>
      </c>
      <c r="F63" s="393" t="s">
        <v>279</v>
      </c>
      <c r="G63" s="393" t="s">
        <v>1824</v>
      </c>
      <c r="H63" s="393" t="s">
        <v>1825</v>
      </c>
      <c r="J63" s="2103">
        <v>1997</v>
      </c>
      <c r="K63" s="903">
        <f t="shared" si="31"/>
        <v>0.19359545261144043</v>
      </c>
      <c r="L63" s="1265"/>
      <c r="Y63" s="2104">
        <f t="shared" ref="Y63:Y81" si="32">K63</f>
        <v>0.19359545261144043</v>
      </c>
      <c r="AC63" s="2093">
        <v>1997</v>
      </c>
      <c r="AD63" s="2105">
        <v>1.3519800000000002</v>
      </c>
      <c r="AE63" s="2105"/>
      <c r="AF63" s="1611">
        <v>1.718558670886825</v>
      </c>
      <c r="AG63" s="1611"/>
      <c r="AX63" s="268">
        <v>1.11</v>
      </c>
      <c r="AY63" s="2093">
        <v>1997</v>
      </c>
      <c r="AZ63" s="2106">
        <v>1.3519800000000002</v>
      </c>
      <c r="BA63" s="2105"/>
      <c r="BB63" s="2107">
        <v>1.6775696170093486</v>
      </c>
      <c r="BC63" s="2106"/>
      <c r="BU63" s="559">
        <v>1997</v>
      </c>
      <c r="BV63" s="2108">
        <v>1656.4</v>
      </c>
      <c r="BW63" s="2109"/>
      <c r="BX63" s="2110">
        <v>1235.2137</v>
      </c>
      <c r="BY63" s="2109"/>
      <c r="CO63" s="2093">
        <v>1997</v>
      </c>
      <c r="CP63" s="2111">
        <v>1202.9</v>
      </c>
      <c r="CQ63" s="2109"/>
      <c r="CR63" s="2110">
        <v>2342.5136999999995</v>
      </c>
      <c r="CS63" s="611"/>
      <c r="CT63" s="903">
        <f t="shared" ref="CT63:CT81" si="33">CP63/CR63</f>
        <v>0.5135082027481848</v>
      </c>
      <c r="CU63" s="2100">
        <f t="shared" ref="CU63:CU80" si="34">CP63/CR63</f>
        <v>0.5135082027481848</v>
      </c>
      <c r="DK63" s="2112">
        <f t="shared" ref="DK63:DK80" si="35">CU63</f>
        <v>0.5135082027481848</v>
      </c>
      <c r="DN63" s="31">
        <v>4</v>
      </c>
      <c r="DO63" s="2091">
        <v>396.9</v>
      </c>
      <c r="DP63" s="583">
        <v>1998</v>
      </c>
      <c r="DQ63" s="216">
        <v>0.3969</v>
      </c>
      <c r="DR63" s="75">
        <v>-0.18159999999999976</v>
      </c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H63" s="59">
        <v>2011</v>
      </c>
      <c r="EI63" s="2102">
        <v>20011.9</v>
      </c>
    </row>
    <row r="64" ht="20.5" customHeight="1" spans="3:139" x14ac:dyDescent="0.25">
      <c r="C64" s="850">
        <f>ОТЧЁТ!J49</f>
        <v>43898</v>
      </c>
      <c r="D64" s="1988" t="s">
        <v>56</v>
      </c>
      <c r="E64" s="1988" t="s">
        <v>56</v>
      </c>
      <c r="F64" s="1988" t="s">
        <v>56</v>
      </c>
      <c r="G64" s="843" t="s">
        <v>840</v>
      </c>
      <c r="H64" s="843" t="s">
        <v>983</v>
      </c>
      <c r="J64" s="2103">
        <v>1998</v>
      </c>
      <c r="K64" s="903">
        <f t="shared" si="31"/>
        <v>0.19506713300983194</v>
      </c>
      <c r="L64" s="1265"/>
      <c r="Y64" s="2104">
        <f t="shared" si="32"/>
        <v>0.19506713300983194</v>
      </c>
      <c r="AC64" s="2093">
        <v>1998</v>
      </c>
      <c r="AD64" s="2105">
        <v>2.4930511200000005</v>
      </c>
      <c r="AE64" s="2105"/>
      <c r="AF64" s="1611">
        <v>2.1060897046594413</v>
      </c>
      <c r="AG64" s="1611"/>
      <c r="AX64" s="268">
        <v>1.844</v>
      </c>
      <c r="AY64" s="2093">
        <v>1998</v>
      </c>
      <c r="AZ64" s="2106">
        <v>2.4930511200000005</v>
      </c>
      <c r="BA64" s="2105"/>
      <c r="BB64" s="2107">
        <v>1.988574685283935</v>
      </c>
      <c r="BC64" s="2106"/>
      <c r="BU64" s="559">
        <v>1998</v>
      </c>
      <c r="BV64" s="2108">
        <v>1776</v>
      </c>
      <c r="BW64" s="2109"/>
      <c r="BX64" s="2110">
        <v>1462.284</v>
      </c>
      <c r="BY64" s="2109"/>
      <c r="CO64" s="2093">
        <v>1998</v>
      </c>
      <c r="CP64" s="2111">
        <v>1263.047</v>
      </c>
      <c r="CQ64" s="2109"/>
      <c r="CR64" s="2110">
        <v>2629.6229</v>
      </c>
      <c r="CS64" s="611"/>
      <c r="CT64" s="903">
        <f t="shared" si="33"/>
        <v>0.4803148770875094</v>
      </c>
      <c r="CU64" s="2100">
        <f t="shared" si="34"/>
        <v>0.4803148770875094</v>
      </c>
      <c r="DK64" s="2112">
        <f t="shared" si="35"/>
        <v>0.4803148770875094</v>
      </c>
      <c r="DN64" s="31">
        <v>5</v>
      </c>
      <c r="DO64" s="2091">
        <v>625.1</v>
      </c>
      <c r="DP64" s="583">
        <v>1999</v>
      </c>
      <c r="DQ64" s="216">
        <v>0.6251</v>
      </c>
      <c r="DR64" s="75">
        <v>0.07290000000000063</v>
      </c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H64" s="59">
        <v>2012</v>
      </c>
      <c r="EI64" s="2102">
        <v>24204.8</v>
      </c>
    </row>
    <row r="65" ht="20.5" customHeight="1" spans="3:139" x14ac:dyDescent="0.25">
      <c r="C65" s="2081">
        <v>1995</v>
      </c>
      <c r="D65" s="2114">
        <f t="array" ref="D65:D85">TRANSPOSE(ОТЧЁТ!U89:AO89)</f>
        <v>910.9</v>
      </c>
      <c r="E65" s="2115">
        <f t="array" ref="E65:E85">TRANSPOSE(ОТЧЁТ!U88:AO88)</f>
        <v>647.87</v>
      </c>
      <c r="F65" s="2116">
        <f t="array" ref="F65:F85">TRANSPOSE(ОТЧЁТ!U67:AO67)</f>
        <v>1428.5209</v>
      </c>
      <c r="G65" s="2117">
        <f>(D65-E65)/F65</f>
        <v>0.1841275125901203</v>
      </c>
      <c r="H65" s="145"/>
      <c r="J65" s="2103">
        <v>1999</v>
      </c>
      <c r="K65" s="903">
        <f t="shared" si="31"/>
        <v>0.2020416637977403</v>
      </c>
      <c r="L65" s="1265"/>
      <c r="Y65" s="2104">
        <f t="shared" si="32"/>
        <v>0.2020416637977403</v>
      </c>
      <c r="AC65" s="2093">
        <v>1999</v>
      </c>
      <c r="AD65" s="2105">
        <v>3.4030147788000007</v>
      </c>
      <c r="AE65" s="2105"/>
      <c r="AF65" s="1611">
        <v>3.727842297346868</v>
      </c>
      <c r="AG65" s="1611"/>
      <c r="AX65" s="268">
        <v>1.365</v>
      </c>
      <c r="AY65" s="2093">
        <v>1999</v>
      </c>
      <c r="AZ65" s="2106">
        <v>3.4030147788000007</v>
      </c>
      <c r="BA65" s="2105"/>
      <c r="BB65" s="2107">
        <v>3.4280333525379545</v>
      </c>
      <c r="BC65" s="2106"/>
      <c r="BU65" s="559">
        <v>1999</v>
      </c>
      <c r="BV65" s="2108">
        <v>2908.1</v>
      </c>
      <c r="BW65" s="2109"/>
      <c r="BX65" s="2110">
        <v>2526.1679</v>
      </c>
      <c r="BY65" s="2109"/>
      <c r="CO65" s="2093">
        <v>1999</v>
      </c>
      <c r="CP65" s="2111">
        <v>1933.606</v>
      </c>
      <c r="CQ65" s="2109"/>
      <c r="CR65" s="2110">
        <v>4823.232900000001</v>
      </c>
      <c r="CS65" s="611"/>
      <c r="CT65" s="903">
        <f t="shared" si="33"/>
        <v>0.4008941803328634</v>
      </c>
      <c r="CU65" s="2100">
        <f t="shared" si="34"/>
        <v>0.4008941803328634</v>
      </c>
      <c r="DK65" s="2112">
        <f t="shared" si="35"/>
        <v>0.4008941803328634</v>
      </c>
      <c r="DN65" s="31">
        <v>6</v>
      </c>
      <c r="DO65" s="2091">
        <v>714.6</v>
      </c>
      <c r="DP65" s="583">
        <v>2000</v>
      </c>
      <c r="DQ65" s="216">
        <v>0.7146</v>
      </c>
      <c r="DR65" s="75">
        <v>0.5312000000000001</v>
      </c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H65" s="59">
        <v>2013</v>
      </c>
      <c r="EI65" s="2102">
        <v>27164.6</v>
      </c>
    </row>
    <row r="66" ht="20.5" customHeight="1" spans="3:139" x14ac:dyDescent="0.25">
      <c r="C66" s="2103">
        <v>1996</v>
      </c>
      <c r="D66" s="2118">
        <v>1357.1</v>
      </c>
      <c r="E66" s="2119">
        <v>1022.64</v>
      </c>
      <c r="F66" s="2120">
        <v>2007.8252000000002</v>
      </c>
      <c r="G66" s="2121">
        <f>(D66-E66)/F66</f>
        <v>0.16657824595487689</v>
      </c>
      <c r="H66" s="145"/>
      <c r="J66" s="2103">
        <v>2000</v>
      </c>
      <c r="K66" s="903">
        <f t="shared" si="31"/>
        <v>0.14326863278604252</v>
      </c>
      <c r="L66" s="1265"/>
      <c r="Y66" s="2104">
        <f t="shared" si="32"/>
        <v>0.14326863278604252</v>
      </c>
      <c r="AC66" s="2093">
        <v>2000</v>
      </c>
      <c r="AD66" s="2105">
        <v>4.090423764117601</v>
      </c>
      <c r="AE66" s="2105"/>
      <c r="AF66" s="1611">
        <v>4.5918326760987345</v>
      </c>
      <c r="AG66" s="1611"/>
      <c r="AX66" s="268">
        <v>1.202</v>
      </c>
      <c r="AY66" s="2093">
        <v>2000</v>
      </c>
      <c r="AZ66" s="2106">
        <v>4.090423764117601</v>
      </c>
      <c r="BA66" s="2105"/>
      <c r="BB66" s="2107">
        <v>4.720334553021764</v>
      </c>
      <c r="BC66" s="2106"/>
      <c r="BU66" s="559">
        <v>2000</v>
      </c>
      <c r="BV66" s="2108">
        <v>3983.9</v>
      </c>
      <c r="BW66" s="2109"/>
      <c r="BX66" s="2110">
        <v>3295.2373</v>
      </c>
      <c r="BY66" s="2109"/>
      <c r="CO66" s="2093">
        <v>2000</v>
      </c>
      <c r="CP66" s="2111">
        <v>2937.23</v>
      </c>
      <c r="CQ66" s="2109"/>
      <c r="CR66" s="2110">
        <v>7305.6466</v>
      </c>
      <c r="CS66" s="611"/>
      <c r="CT66" s="903">
        <f t="shared" si="33"/>
        <v>0.40204928609604523</v>
      </c>
      <c r="CU66" s="2100">
        <f t="shared" si="34"/>
        <v>0.40204928609604523</v>
      </c>
      <c r="DK66" s="2112">
        <f t="shared" si="35"/>
        <v>0.40204928609604523</v>
      </c>
      <c r="DN66" s="31">
        <v>7</v>
      </c>
      <c r="DO66" s="2091">
        <v>1150.6</v>
      </c>
      <c r="DP66" s="583">
        <v>2001</v>
      </c>
      <c r="DQ66" s="216">
        <v>1.1505999999999998</v>
      </c>
      <c r="DR66" s="75">
        <v>1.1933000000000007</v>
      </c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H66" s="59">
        <v>2014</v>
      </c>
      <c r="EI66" s="2102">
        <v>31155.6</v>
      </c>
    </row>
    <row r="67" ht="20.5" customHeight="1" spans="3:139" x14ac:dyDescent="0.25">
      <c r="C67" s="2103">
        <v>1997</v>
      </c>
      <c r="D67" s="2118">
        <v>1656.4</v>
      </c>
      <c r="E67" s="2119">
        <v>1202.9</v>
      </c>
      <c r="F67" s="2120">
        <v>2342.5137</v>
      </c>
      <c r="G67" s="2121">
        <f t="shared" ref="G67:G85" si="36">(D67-E67)/F67</f>
        <v>0.19359545261144043</v>
      </c>
      <c r="H67" s="145"/>
      <c r="J67" s="2103">
        <v>2001</v>
      </c>
      <c r="K67" s="903">
        <f t="shared" si="31"/>
        <v>0.1651910723114471</v>
      </c>
      <c r="L67" s="1265"/>
      <c r="Y67" s="2104">
        <f t="shared" si="32"/>
        <v>0.1651910723114471</v>
      </c>
      <c r="AC67" s="2093">
        <v>2001</v>
      </c>
      <c r="AD67" s="2105">
        <v>4.851242584243474</v>
      </c>
      <c r="AE67" s="2105"/>
      <c r="AF67" s="1611">
        <v>5.561179540405496</v>
      </c>
      <c r="AG67" s="1611"/>
      <c r="AX67" s="268">
        <v>1.186</v>
      </c>
      <c r="AY67" s="2093">
        <v>2001</v>
      </c>
      <c r="AZ67" s="2106">
        <v>4.851242584243474</v>
      </c>
      <c r="BA67" s="2105"/>
      <c r="BB67" s="2107">
        <v>5.498230296745924</v>
      </c>
      <c r="BC67" s="2106"/>
      <c r="BU67" s="559">
        <v>2001</v>
      </c>
      <c r="BV67" s="2108">
        <v>5325.8</v>
      </c>
      <c r="BW67" s="2109"/>
      <c r="BX67" s="2110">
        <v>4318.1211</v>
      </c>
      <c r="BY67" s="2109"/>
      <c r="CO67" s="2093">
        <v>2001</v>
      </c>
      <c r="CP67" s="2111">
        <v>3848.4</v>
      </c>
      <c r="CQ67" s="2109"/>
      <c r="CR67" s="2110">
        <v>8943.582600000002</v>
      </c>
      <c r="CS67" s="611"/>
      <c r="CT67" s="903">
        <f t="shared" si="33"/>
        <v>0.4302973620437071</v>
      </c>
      <c r="CU67" s="2100">
        <f t="shared" si="34"/>
        <v>0.4302973620437071</v>
      </c>
      <c r="DK67" s="2112">
        <f t="shared" si="35"/>
        <v>0.4302973620437071</v>
      </c>
      <c r="DN67" s="31">
        <v>8</v>
      </c>
      <c r="DO67" s="2091">
        <v>1609.4</v>
      </c>
      <c r="DP67" s="583">
        <v>2002</v>
      </c>
      <c r="DQ67" s="216">
        <v>1.6094000000000002</v>
      </c>
      <c r="DR67" s="75">
        <v>2.0592000000000006</v>
      </c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H67" s="59">
        <v>2015</v>
      </c>
      <c r="EI67" s="2102">
        <v>31615.7</v>
      </c>
    </row>
    <row r="68" ht="20.5" customHeight="1" spans="3:139" x14ac:dyDescent="0.25">
      <c r="C68" s="2103">
        <v>1998</v>
      </c>
      <c r="D68" s="2118">
        <v>1776</v>
      </c>
      <c r="E68" s="2119">
        <v>1263.047</v>
      </c>
      <c r="F68" s="2120">
        <v>2629.6229</v>
      </c>
      <c r="G68" s="2121">
        <f t="shared" si="36"/>
        <v>0.19506713300983194</v>
      </c>
      <c r="H68" s="145"/>
      <c r="J68" s="2103">
        <v>2002</v>
      </c>
      <c r="K68" s="903">
        <f t="shared" si="31"/>
        <v>0.16321802239003</v>
      </c>
      <c r="L68" s="1265"/>
      <c r="Y68" s="2104">
        <f t="shared" si="32"/>
        <v>0.16321802239003</v>
      </c>
      <c r="AC68" s="2093">
        <v>2002</v>
      </c>
      <c r="AD68" s="2105">
        <v>5.583780214464239</v>
      </c>
      <c r="AE68" s="2105"/>
      <c r="AF68" s="1611">
        <v>6.468238698917706</v>
      </c>
      <c r="AG68" s="1611"/>
      <c r="AX68" s="268">
        <v>1.151</v>
      </c>
      <c r="AY68" s="2093">
        <v>2002</v>
      </c>
      <c r="AZ68" s="2106">
        <v>5.583780214464239</v>
      </c>
      <c r="BA68" s="2105"/>
      <c r="BB68" s="2107">
        <v>6.352729528641842</v>
      </c>
      <c r="BC68" s="2106"/>
      <c r="BU68" s="559">
        <v>2002</v>
      </c>
      <c r="BV68" s="2108">
        <v>6831</v>
      </c>
      <c r="BW68" s="2109"/>
      <c r="BX68" s="2110">
        <v>5409.1577</v>
      </c>
      <c r="BY68" s="2109"/>
      <c r="CO68" s="2093">
        <v>2002</v>
      </c>
      <c r="CP68" s="2111">
        <v>5065.1</v>
      </c>
      <c r="CQ68" s="2109"/>
      <c r="CR68" s="2110">
        <v>10819.2123</v>
      </c>
      <c r="CS68" s="611"/>
      <c r="CT68" s="903">
        <f t="shared" si="33"/>
        <v>0.4681579268021204</v>
      </c>
      <c r="CU68" s="2100">
        <f t="shared" si="34"/>
        <v>0.4681579268021204</v>
      </c>
      <c r="DK68" s="2112">
        <f t="shared" si="35"/>
        <v>0.4681579268021204</v>
      </c>
      <c r="DN68" s="31">
        <v>9</v>
      </c>
      <c r="DO68" s="2091">
        <v>2130.5</v>
      </c>
      <c r="DP68" s="583">
        <v>2003</v>
      </c>
      <c r="DQ68" s="216">
        <v>2.1305</v>
      </c>
      <c r="DR68" s="75">
        <v>3.1289</v>
      </c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H68" s="59">
        <v>2016</v>
      </c>
      <c r="EI68" s="2102">
        <v>35179.7</v>
      </c>
    </row>
    <row r="69" ht="20.5" customHeight="1" spans="3:139" x14ac:dyDescent="0.25">
      <c r="C69" s="2103">
        <v>1999</v>
      </c>
      <c r="D69" s="2118">
        <v>2908.1</v>
      </c>
      <c r="E69" s="2119">
        <v>1933.606</v>
      </c>
      <c r="F69" s="2120">
        <v>4823.2329</v>
      </c>
      <c r="G69" s="2121">
        <f t="shared" si="36"/>
        <v>0.2020416637977403</v>
      </c>
      <c r="H69" s="145"/>
      <c r="J69" s="2103">
        <v>2003</v>
      </c>
      <c r="K69" s="903">
        <f t="shared" si="31"/>
        <v>0.20207922619394944</v>
      </c>
      <c r="L69" s="1265"/>
      <c r="Y69" s="2104">
        <f t="shared" si="32"/>
        <v>0.20207922619394944</v>
      </c>
      <c r="AC69" s="2093">
        <v>2003</v>
      </c>
      <c r="AD69" s="2105">
        <v>6.253833840199949</v>
      </c>
      <c r="AE69" s="2105"/>
      <c r="AF69" s="1611">
        <v>7.258482770625474</v>
      </c>
      <c r="AG69" s="1611"/>
      <c r="AX69" s="268">
        <v>1.12</v>
      </c>
      <c r="AY69" s="2093">
        <v>2003</v>
      </c>
      <c r="AZ69" s="2106">
        <v>6.253833840199949</v>
      </c>
      <c r="BA69" s="2105"/>
      <c r="BB69" s="2107">
        <v>7.227860274382953</v>
      </c>
      <c r="BC69" s="2106"/>
      <c r="BU69" s="559">
        <v>2003</v>
      </c>
      <c r="BV69" s="2108">
        <v>8900.5</v>
      </c>
      <c r="BW69" s="2109"/>
      <c r="BX69" s="2110">
        <v>6537.4015</v>
      </c>
      <c r="BY69" s="2109"/>
      <c r="CO69" s="2093">
        <v>2003</v>
      </c>
      <c r="CP69" s="2111">
        <v>6231.387</v>
      </c>
      <c r="CQ69" s="2109"/>
      <c r="CR69" s="2110">
        <v>13208.2338</v>
      </c>
      <c r="CS69" s="611"/>
      <c r="CT69" s="903">
        <f t="shared" si="33"/>
        <v>0.4717804889250219</v>
      </c>
      <c r="CU69" s="2100">
        <f t="shared" si="34"/>
        <v>0.4717804889250219</v>
      </c>
      <c r="DK69" s="2112">
        <f t="shared" si="35"/>
        <v>0.4717804889250219</v>
      </c>
      <c r="DN69" s="31">
        <v>10</v>
      </c>
      <c r="DO69" s="2091">
        <v>3205.2</v>
      </c>
      <c r="DP69" s="583">
        <v>2004</v>
      </c>
      <c r="DQ69" s="216">
        <v>3.2051999999999996</v>
      </c>
      <c r="DR69" s="75">
        <v>4.402400000000002</v>
      </c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H69" s="59">
        <v>2017</v>
      </c>
      <c r="EI69" s="2102">
        <v>38418</v>
      </c>
    </row>
    <row r="70" ht="20.5" customHeight="1" spans="2:139" x14ac:dyDescent="0.25">
      <c r="B70" s="622">
        <v>3814.6</v>
      </c>
      <c r="C70" s="2103">
        <v>2000</v>
      </c>
      <c r="D70" s="2122">
        <v>3983.9</v>
      </c>
      <c r="E70" s="2119">
        <v>2937.23</v>
      </c>
      <c r="F70" s="2120">
        <v>7305.6466</v>
      </c>
      <c r="G70" s="2121">
        <f t="shared" si="36"/>
        <v>0.14326863278604252</v>
      </c>
      <c r="H70" s="145"/>
      <c r="J70" s="2103">
        <v>2004</v>
      </c>
      <c r="K70" s="903">
        <f t="shared" si="31"/>
        <v>0.18389806125704877</v>
      </c>
      <c r="L70" s="1265"/>
      <c r="Y70" s="2104">
        <f t="shared" si="32"/>
        <v>0.18389806125704877</v>
      </c>
      <c r="AC70" s="2093">
        <v>2004</v>
      </c>
      <c r="AD70" s="2105">
        <v>6.9855323995033425</v>
      </c>
      <c r="AE70" s="2105"/>
      <c r="AF70" s="1611">
        <v>8.328227993617887</v>
      </c>
      <c r="AG70" s="1611"/>
      <c r="AX70" s="268">
        <v>1.117</v>
      </c>
      <c r="AY70" s="2093">
        <v>2004</v>
      </c>
      <c r="AZ70" s="2106">
        <v>6.9855323995033425</v>
      </c>
      <c r="BA70" s="2105"/>
      <c r="BB70" s="2107">
        <v>8.69186996402742</v>
      </c>
      <c r="BC70" s="2106"/>
      <c r="BU70" s="559">
        <v>2004</v>
      </c>
      <c r="BV70" s="2108">
        <v>10976.3</v>
      </c>
      <c r="BW70" s="2109"/>
      <c r="BX70" s="2110">
        <v>8438.4841</v>
      </c>
      <c r="BY70" s="2109"/>
      <c r="CO70" s="2093">
        <v>2004</v>
      </c>
      <c r="CP70" s="2111">
        <v>7845.037</v>
      </c>
      <c r="CQ70" s="2109"/>
      <c r="CR70" s="2110">
        <v>17027.1909</v>
      </c>
      <c r="CS70" s="611"/>
      <c r="CT70" s="903">
        <f t="shared" si="33"/>
        <v>0.460735834000663</v>
      </c>
      <c r="CU70" s="2100">
        <f t="shared" si="34"/>
        <v>0.460735834000663</v>
      </c>
      <c r="DK70" s="2112">
        <f t="shared" si="35"/>
        <v>0.460735834000663</v>
      </c>
      <c r="DN70" s="31">
        <v>11</v>
      </c>
      <c r="DO70" s="2091">
        <v>4353.9</v>
      </c>
      <c r="DP70" s="583">
        <v>2005</v>
      </c>
      <c r="DQ70" s="216">
        <v>4.353899999999999</v>
      </c>
      <c r="DR70" s="75">
        <v>5.879700000000001</v>
      </c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H70" s="59">
        <v>2018</v>
      </c>
      <c r="EI70" s="2102">
        <v>42442.2</v>
      </c>
    </row>
    <row r="71" ht="20.5" customHeight="1" spans="2:139" x14ac:dyDescent="0.25">
      <c r="B71" s="622">
        <v>5325.8</v>
      </c>
      <c r="C71" s="2103">
        <v>2001</v>
      </c>
      <c r="D71" s="2122">
        <v>5325.8</v>
      </c>
      <c r="E71" s="2119">
        <v>3848.4</v>
      </c>
      <c r="F71" s="2120">
        <v>8943.5826</v>
      </c>
      <c r="G71" s="2121">
        <f t="shared" si="36"/>
        <v>0.1651910723114471</v>
      </c>
      <c r="H71" s="145"/>
      <c r="J71" s="2103">
        <v>2005</v>
      </c>
      <c r="K71" s="903">
        <f t="shared" si="31"/>
        <v>0.20264786951092276</v>
      </c>
      <c r="L71" s="1265"/>
      <c r="Y71" s="2104">
        <f t="shared" si="32"/>
        <v>0.20264786951092276</v>
      </c>
      <c r="AC71" s="2093">
        <v>2005</v>
      </c>
      <c r="AD71" s="2105">
        <v>7.746955431049207</v>
      </c>
      <c r="AE71" s="2105"/>
      <c r="AF71" s="1611">
        <v>9.370471463956683</v>
      </c>
      <c r="AG71" s="1611"/>
      <c r="AX71" s="268">
        <v>1.109</v>
      </c>
      <c r="AY71" s="2093">
        <v>2005</v>
      </c>
      <c r="AZ71" s="2106">
        <v>7.746955431049207</v>
      </c>
      <c r="BA71" s="2105"/>
      <c r="BB71" s="2107">
        <v>10.36760974912887</v>
      </c>
      <c r="BC71" s="2106"/>
      <c r="BU71" s="559">
        <v>2005</v>
      </c>
      <c r="BV71" s="2108">
        <v>13819</v>
      </c>
      <c r="BW71" s="2109"/>
      <c r="BX71" s="2110">
        <v>10652.8578</v>
      </c>
      <c r="BY71" s="2109"/>
      <c r="CO71" s="2093">
        <v>2005</v>
      </c>
      <c r="CP71" s="2111">
        <v>9439.827</v>
      </c>
      <c r="CQ71" s="2109"/>
      <c r="CR71" s="2110">
        <v>21609.7655</v>
      </c>
      <c r="CS71" s="611"/>
      <c r="CT71" s="903">
        <f t="shared" si="33"/>
        <v>0.4368315334102075</v>
      </c>
      <c r="CU71" s="2100">
        <f t="shared" si="34"/>
        <v>0.4368315334102075</v>
      </c>
      <c r="DK71" s="2112">
        <f t="shared" si="35"/>
        <v>0.4368315334102075</v>
      </c>
      <c r="DN71" s="31">
        <v>12</v>
      </c>
      <c r="DO71" s="2091">
        <v>6032.1</v>
      </c>
      <c r="DP71" s="583">
        <v>2006</v>
      </c>
      <c r="DQ71" s="216">
        <v>6.032100000000001</v>
      </c>
      <c r="DR71" s="75">
        <v>7.5608</v>
      </c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H71" s="59">
        <v>2019</v>
      </c>
      <c r="EI71" s="2102">
        <v>47109.3</v>
      </c>
    </row>
    <row r="72" ht="18" customHeight="1" spans="2:134" x14ac:dyDescent="0.25">
      <c r="B72" s="622">
        <v>6831</v>
      </c>
      <c r="C72" s="2103">
        <v>2002</v>
      </c>
      <c r="D72" s="2122">
        <v>6831</v>
      </c>
      <c r="E72" s="2119">
        <v>5065.1</v>
      </c>
      <c r="F72" s="2120">
        <v>10819.270899999998</v>
      </c>
      <c r="G72" s="2121">
        <f t="shared" si="36"/>
        <v>0.16321802239003</v>
      </c>
      <c r="H72" s="145"/>
      <c r="J72" s="2103">
        <v>2006</v>
      </c>
      <c r="K72" s="903">
        <f t="shared" si="31"/>
        <v>0.19705594455935252</v>
      </c>
      <c r="L72" s="2123"/>
      <c r="Y72" s="2104">
        <f t="shared" si="32"/>
        <v>0.19705594455935252</v>
      </c>
      <c r="AC72" s="2093">
        <v>2006</v>
      </c>
      <c r="AD72" s="2105">
        <v>8.444181419843636</v>
      </c>
      <c r="AE72" s="2105"/>
      <c r="AF72" s="1611">
        <v>10.171880121895711</v>
      </c>
      <c r="AG72" s="1611"/>
      <c r="AX72" s="268">
        <v>1.09</v>
      </c>
      <c r="AY72" s="2093">
        <v>2006</v>
      </c>
      <c r="AZ72" s="2106">
        <v>8.444181419843636</v>
      </c>
      <c r="BA72" s="2105"/>
      <c r="BB72" s="2107">
        <v>11.935242035159135</v>
      </c>
      <c r="BC72" s="2106"/>
      <c r="BU72" s="559">
        <v>2006</v>
      </c>
      <c r="BV72" s="2108">
        <v>17290.1</v>
      </c>
      <c r="BW72" s="2109"/>
      <c r="BX72" s="2110">
        <v>12974.7434</v>
      </c>
      <c r="BY72" s="2109"/>
      <c r="CO72" s="2093">
        <v>2006</v>
      </c>
      <c r="CP72" s="2111">
        <v>11985.905</v>
      </c>
      <c r="CQ72" s="2109"/>
      <c r="CR72" s="2110">
        <v>26917.2014</v>
      </c>
      <c r="CS72" s="611"/>
      <c r="CT72" s="903">
        <f t="shared" si="33"/>
        <v>0.4452879339826168</v>
      </c>
      <c r="CU72" s="2100">
        <f t="shared" si="34"/>
        <v>0.4452879339826168</v>
      </c>
      <c r="DK72" s="2112">
        <f t="shared" si="35"/>
        <v>0.4452879339826168</v>
      </c>
      <c r="DN72" s="31">
        <v>13</v>
      </c>
      <c r="DO72" s="2091">
        <v>8970.7</v>
      </c>
      <c r="DP72" s="583">
        <v>2007</v>
      </c>
      <c r="DQ72" s="216">
        <v>8.9707</v>
      </c>
      <c r="DR72" s="75">
        <v>9.4457</v>
      </c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</row>
    <row r="73" ht="18" customHeight="1" spans="2:134" x14ac:dyDescent="0.25">
      <c r="B73" s="622">
        <v>8900.5</v>
      </c>
      <c r="C73" s="2103">
        <v>2003</v>
      </c>
      <c r="D73" s="2122">
        <v>8900.5</v>
      </c>
      <c r="E73" s="2119">
        <v>6231.387</v>
      </c>
      <c r="F73" s="2120">
        <v>13208.250299999998</v>
      </c>
      <c r="G73" s="2121">
        <f t="shared" si="36"/>
        <v>0.20207922619394944</v>
      </c>
      <c r="H73" s="145"/>
      <c r="J73" s="2103">
        <v>2007</v>
      </c>
      <c r="K73" s="903">
        <f t="shared" si="31"/>
        <v>0.1740097060853261</v>
      </c>
      <c r="L73" s="1994"/>
      <c r="Y73" s="2104">
        <f t="shared" si="32"/>
        <v>0.1740097060853261</v>
      </c>
      <c r="AC73" s="2093">
        <v>2007</v>
      </c>
      <c r="AD73" s="2105">
        <v>9.446505754379075</v>
      </c>
      <c r="AE73" s="2105"/>
      <c r="AF73" s="1611">
        <v>10.996054426330467</v>
      </c>
      <c r="AG73" s="1611"/>
      <c r="AX73" s="268">
        <v>1.1187</v>
      </c>
      <c r="AY73" s="2093">
        <v>2007</v>
      </c>
      <c r="AZ73" s="2106">
        <v>9.446505754379075</v>
      </c>
      <c r="BA73" s="2105"/>
      <c r="BB73" s="2107">
        <v>13.587224630705832</v>
      </c>
      <c r="BC73" s="2106"/>
      <c r="BU73" s="559">
        <v>2007</v>
      </c>
      <c r="BV73" s="2108">
        <v>21311.5</v>
      </c>
      <c r="BW73" s="2109"/>
      <c r="BX73" s="2110">
        <v>16031.7398</v>
      </c>
      <c r="BY73" s="2109"/>
      <c r="CO73" s="2093">
        <v>2007</v>
      </c>
      <c r="CP73" s="2111">
        <v>15526.11</v>
      </c>
      <c r="CQ73" s="2109"/>
      <c r="CR73" s="2110">
        <v>33247.5132</v>
      </c>
      <c r="CS73" s="611"/>
      <c r="CT73" s="903">
        <f t="shared" si="33"/>
        <v>0.4669856030014299</v>
      </c>
      <c r="CU73" s="2100">
        <f t="shared" si="34"/>
        <v>0.4669856030014299</v>
      </c>
      <c r="DK73" s="2112">
        <f t="shared" si="35"/>
        <v>0.4669856030014299</v>
      </c>
      <c r="DN73" s="31">
        <v>14</v>
      </c>
      <c r="DO73" s="2091">
        <v>12869</v>
      </c>
      <c r="DP73" s="583">
        <v>2008</v>
      </c>
      <c r="DQ73" s="216">
        <v>12.869</v>
      </c>
      <c r="DR73" s="75">
        <v>11.534400000000002</v>
      </c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</row>
    <row r="74" ht="18" customHeight="1" spans="2:134" x14ac:dyDescent="0.25">
      <c r="B74" s="622">
        <v>10976.3</v>
      </c>
      <c r="C74" s="2103">
        <v>2004</v>
      </c>
      <c r="D74" s="2122">
        <v>10976.3</v>
      </c>
      <c r="E74" s="2119">
        <v>7845.037</v>
      </c>
      <c r="F74" s="2120">
        <v>17027.166999999998</v>
      </c>
      <c r="G74" s="2121">
        <f t="shared" si="36"/>
        <v>0.18389806125704877</v>
      </c>
      <c r="H74" s="145"/>
      <c r="J74" s="2103">
        <v>2008</v>
      </c>
      <c r="K74" s="903">
        <f t="shared" si="31"/>
        <v>0.1377101234752192</v>
      </c>
      <c r="L74" s="1994"/>
      <c r="Y74" s="2104">
        <f t="shared" si="32"/>
        <v>0.1377101234752192</v>
      </c>
      <c r="AC74" s="2093">
        <v>2008</v>
      </c>
      <c r="AD74" s="2105">
        <v>10.701001718560617</v>
      </c>
      <c r="AE74" s="2105"/>
      <c r="AF74" s="1611">
        <v>12.382630991276981</v>
      </c>
      <c r="AG74" s="1611"/>
      <c r="AX74" s="268">
        <v>1.1328</v>
      </c>
      <c r="AY74" s="2093">
        <v>2008</v>
      </c>
      <c r="AZ74" s="2106">
        <v>10.701001718560617</v>
      </c>
      <c r="BA74" s="2105"/>
      <c r="BB74" s="2107">
        <v>16.03475716499792</v>
      </c>
      <c r="BC74" s="2106"/>
      <c r="BU74" s="559">
        <v>2008</v>
      </c>
      <c r="BV74" s="2108">
        <v>25244</v>
      </c>
      <c r="BW74" s="2109"/>
      <c r="BX74" s="2110">
        <v>19966.9547</v>
      </c>
      <c r="BY74" s="2109"/>
      <c r="CO74" s="2093">
        <v>2008</v>
      </c>
      <c r="CP74" s="2111">
        <v>19559.76</v>
      </c>
      <c r="CQ74" s="2109"/>
      <c r="CR74" s="2110">
        <v>41276.8492</v>
      </c>
      <c r="CS74" s="611"/>
      <c r="CT74" s="903">
        <f t="shared" si="33"/>
        <v>0.47386756448454886</v>
      </c>
      <c r="CU74" s="2100">
        <f t="shared" si="34"/>
        <v>0.47386756448454886</v>
      </c>
      <c r="DK74" s="2112">
        <f t="shared" si="35"/>
        <v>0.47386756448454886</v>
      </c>
      <c r="DN74" s="31">
        <v>15</v>
      </c>
      <c r="DO74" s="2091">
        <v>12975.9</v>
      </c>
      <c r="DP74" s="583">
        <v>2009</v>
      </c>
      <c r="DQ74" s="216">
        <v>12.9759</v>
      </c>
      <c r="DR74" s="75">
        <v>13.826899999999998</v>
      </c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</row>
    <row r="75" ht="18" customHeight="1" spans="2:134" x14ac:dyDescent="0.25">
      <c r="B75" s="622">
        <v>13819</v>
      </c>
      <c r="C75" s="2103">
        <v>2005</v>
      </c>
      <c r="D75" s="2122">
        <v>13819</v>
      </c>
      <c r="E75" s="2119">
        <v>9439.827</v>
      </c>
      <c r="F75" s="2120">
        <v>21609.765799999997</v>
      </c>
      <c r="G75" s="2121">
        <f t="shared" si="36"/>
        <v>0.20264786951092276</v>
      </c>
      <c r="H75" s="145"/>
      <c r="J75" s="2103">
        <v>2009</v>
      </c>
      <c r="K75" s="903">
        <f t="shared" si="31"/>
        <v>0.21351385469365744</v>
      </c>
      <c r="L75" s="1994"/>
      <c r="Y75" s="2104">
        <f t="shared" si="32"/>
        <v>0.21351385469365744</v>
      </c>
      <c r="AC75" s="2093">
        <v>2009</v>
      </c>
      <c r="AD75" s="2105">
        <v>11.642689869793951</v>
      </c>
      <c r="AE75" s="2105"/>
      <c r="AF75" s="1611">
        <v>13.714036448863869</v>
      </c>
      <c r="AG75" s="1611"/>
      <c r="AX75" s="268">
        <v>1.088</v>
      </c>
      <c r="AY75" s="2093">
        <v>2009</v>
      </c>
      <c r="AZ75" s="2106">
        <v>11.642689869793951</v>
      </c>
      <c r="BA75" s="2105"/>
      <c r="BB75" s="2107">
        <v>16.368494611949213</v>
      </c>
      <c r="BC75" s="2106"/>
      <c r="BU75" s="559">
        <v>2009</v>
      </c>
      <c r="BV75" s="2108">
        <v>28697.5</v>
      </c>
      <c r="BW75" s="2109"/>
      <c r="BX75" s="2110">
        <v>20986.036</v>
      </c>
      <c r="BY75" s="2109"/>
      <c r="CO75" s="2093">
        <v>2009</v>
      </c>
      <c r="CP75" s="2111">
        <v>20411.61</v>
      </c>
      <c r="CQ75" s="2109"/>
      <c r="CR75" s="2110">
        <v>38807.219</v>
      </c>
      <c r="CS75" s="611"/>
      <c r="CT75" s="903">
        <f t="shared" si="33"/>
        <v>0.5259745615886571</v>
      </c>
      <c r="CU75" s="2100">
        <f t="shared" si="34"/>
        <v>0.5259745615886571</v>
      </c>
      <c r="DK75" s="2112">
        <f t="shared" si="35"/>
        <v>0.5259745615886571</v>
      </c>
      <c r="DN75" s="31">
        <v>16</v>
      </c>
      <c r="DO75" s="2091">
        <v>15267.6</v>
      </c>
      <c r="DP75" s="583">
        <v>2010</v>
      </c>
      <c r="DQ75" s="216">
        <v>15.2676</v>
      </c>
      <c r="DR75" s="75">
        <v>16.3232</v>
      </c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</row>
    <row r="76" ht="18" customHeight="1" spans="2:134" x14ac:dyDescent="0.25">
      <c r="B76" s="622">
        <v>17290.1</v>
      </c>
      <c r="C76" s="2103">
        <v>2006</v>
      </c>
      <c r="D76" s="2122">
        <v>17290.1</v>
      </c>
      <c r="E76" s="2119">
        <v>11985.905</v>
      </c>
      <c r="F76" s="2120">
        <v>26917.2037</v>
      </c>
      <c r="G76" s="2121">
        <f t="shared" si="36"/>
        <v>0.19705594455935252</v>
      </c>
      <c r="H76" s="145"/>
      <c r="J76" s="2103">
        <v>2010</v>
      </c>
      <c r="K76" s="903">
        <f t="shared" si="31"/>
        <v>0.20520344296820808</v>
      </c>
      <c r="L76" s="1994"/>
      <c r="Y76" s="2104">
        <f t="shared" si="32"/>
        <v>0.20520344296820808</v>
      </c>
      <c r="AC76" s="2093">
        <v>2010</v>
      </c>
      <c r="AD76" s="2105">
        <v>12.664918040361862</v>
      </c>
      <c r="AE76" s="2105"/>
      <c r="AF76" s="1611">
        <v>14.629133800462956</v>
      </c>
      <c r="AG76" s="1611"/>
      <c r="AX76" s="268">
        <v>1.0878</v>
      </c>
      <c r="AY76" s="2093">
        <v>2010</v>
      </c>
      <c r="AZ76" s="2106">
        <v>12.664918040361862</v>
      </c>
      <c r="BA76" s="2105"/>
      <c r="BB76" s="2107">
        <v>18.69136533556666</v>
      </c>
      <c r="BC76" s="2106"/>
      <c r="BU76" s="559">
        <v>2010</v>
      </c>
      <c r="BV76" s="2108">
        <v>32498.3</v>
      </c>
      <c r="BW76" s="2109"/>
      <c r="BX76" s="2110">
        <v>23617.623</v>
      </c>
      <c r="BY76" s="2109"/>
      <c r="CO76" s="2093">
        <v>2010</v>
      </c>
      <c r="CP76" s="2108">
        <v>22995.63</v>
      </c>
      <c r="CQ76" s="2109"/>
      <c r="CR76" s="2110">
        <v>46308.541</v>
      </c>
      <c r="CS76" s="611"/>
      <c r="CT76" s="903">
        <f t="shared" si="33"/>
        <v>0.49657427125592235</v>
      </c>
      <c r="CU76" s="2100">
        <f t="shared" si="34"/>
        <v>0.49657427125592235</v>
      </c>
      <c r="DK76" s="2112">
        <f t="shared" si="35"/>
        <v>0.49657427125592235</v>
      </c>
      <c r="DN76" s="31">
        <v>17</v>
      </c>
      <c r="DO76" s="2091">
        <v>20011.9</v>
      </c>
      <c r="DP76" s="583">
        <v>2011</v>
      </c>
      <c r="DQ76" s="216">
        <v>20.0119</v>
      </c>
      <c r="DR76" s="75">
        <v>19.023300000000003</v>
      </c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</row>
    <row r="77" ht="18" customHeight="1" spans="2:134" x14ac:dyDescent="0.25">
      <c r="B77" s="622">
        <v>21311.5</v>
      </c>
      <c r="C77" s="2103">
        <v>2007</v>
      </c>
      <c r="D77" s="2122">
        <v>21311.5</v>
      </c>
      <c r="E77" s="2119">
        <v>15526.11</v>
      </c>
      <c r="F77" s="2120">
        <v>33247.5132</v>
      </c>
      <c r="G77" s="2121">
        <f t="shared" si="36"/>
        <v>0.1740097060853261</v>
      </c>
      <c r="H77" s="145"/>
      <c r="J77" s="2103">
        <v>2011</v>
      </c>
      <c r="K77" s="903">
        <f t="shared" si="31"/>
        <v>0.1536435680802861</v>
      </c>
      <c r="L77" s="1994"/>
      <c r="Y77" s="2104">
        <f t="shared" si="32"/>
        <v>0.1536435680802861</v>
      </c>
      <c r="AC77" s="2093">
        <v>2011</v>
      </c>
      <c r="AD77" s="2105">
        <v>13.437478040823935</v>
      </c>
      <c r="AE77" s="2105"/>
      <c r="AF77" s="1611">
        <v>17.36421630879255</v>
      </c>
      <c r="AG77" s="1611"/>
      <c r="AX77" s="268">
        <v>1.061</v>
      </c>
      <c r="AY77" s="2093">
        <v>2011</v>
      </c>
      <c r="AZ77" s="2106">
        <v>13.437478040823935</v>
      </c>
      <c r="BA77" s="2105"/>
      <c r="BB77" s="2107">
        <v>23.32851881806769</v>
      </c>
      <c r="BC77" s="2106"/>
      <c r="BS77" s="682">
        <v>0.147</v>
      </c>
      <c r="BU77" s="559">
        <v>2011</v>
      </c>
      <c r="BV77" s="2108">
        <v>35648.7</v>
      </c>
      <c r="BW77" s="2109"/>
      <c r="BX77" s="2110">
        <v>29939.4635</v>
      </c>
      <c r="BY77" s="2109"/>
      <c r="CO77" s="2093">
        <v>2011</v>
      </c>
      <c r="CP77" s="2108">
        <v>26386.6754</v>
      </c>
      <c r="CQ77" s="2109"/>
      <c r="CR77" s="2110">
        <v>60282.5404</v>
      </c>
      <c r="CS77" s="611"/>
      <c r="CT77" s="903">
        <f t="shared" si="33"/>
        <v>0.4377167124164529</v>
      </c>
      <c r="CU77" s="2100">
        <f t="shared" si="34"/>
        <v>0.4377167124164529</v>
      </c>
      <c r="DK77" s="2112">
        <f t="shared" si="35"/>
        <v>0.4377167124164529</v>
      </c>
      <c r="DN77" s="31">
        <v>18</v>
      </c>
      <c r="DO77" s="2091">
        <v>24204.8</v>
      </c>
      <c r="DP77" s="583">
        <v>2012</v>
      </c>
      <c r="DQ77" s="216">
        <v>24.2048</v>
      </c>
      <c r="DR77" s="75">
        <v>21.9272</v>
      </c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</row>
    <row r="78" ht="18" customHeight="1" spans="2:134" x14ac:dyDescent="0.25">
      <c r="B78" s="622">
        <v>25244</v>
      </c>
      <c r="C78" s="2103">
        <v>2008</v>
      </c>
      <c r="D78" s="2122">
        <v>25244</v>
      </c>
      <c r="E78" s="2119">
        <v>19559.76</v>
      </c>
      <c r="F78" s="2120">
        <v>41276.8492</v>
      </c>
      <c r="G78" s="2121">
        <f t="shared" si="36"/>
        <v>0.1377101234752192</v>
      </c>
      <c r="H78" s="2124"/>
      <c r="J78" s="2103">
        <v>2012</v>
      </c>
      <c r="K78" s="903">
        <f t="shared" si="31"/>
        <v>0.14234574174369477</v>
      </c>
      <c r="L78" s="1994"/>
      <c r="Y78" s="2104">
        <f t="shared" si="32"/>
        <v>0.14234574174369477</v>
      </c>
      <c r="AC78" s="2093">
        <v>2012</v>
      </c>
      <c r="AD78" s="2105">
        <v>14.321664095910151</v>
      </c>
      <c r="AE78" s="2105"/>
      <c r="AF78" s="1611">
        <v>18.5401251106608</v>
      </c>
      <c r="AG78" s="1611"/>
      <c r="AX78" s="268">
        <v>1.0658</v>
      </c>
      <c r="AY78" s="2093">
        <v>2012</v>
      </c>
      <c r="AZ78" s="2106">
        <v>14.321664095910151</v>
      </c>
      <c r="BA78" s="2105"/>
      <c r="BB78" s="2107">
        <v>25.448132013167307</v>
      </c>
      <c r="BC78" s="2106"/>
      <c r="BS78" s="908">
        <v>80412.5</v>
      </c>
      <c r="BU78" s="559">
        <v>2012</v>
      </c>
      <c r="BV78" s="2108">
        <v>39904</v>
      </c>
      <c r="BW78" s="2109"/>
      <c r="BX78" s="2110">
        <v>34492.3617</v>
      </c>
      <c r="BY78" s="2109"/>
      <c r="CO78" s="2093">
        <v>2012</v>
      </c>
      <c r="CP78" s="2108">
        <v>30201.1615</v>
      </c>
      <c r="CQ78" s="2109"/>
      <c r="CR78" s="2110">
        <v>68163.88309999999</v>
      </c>
      <c r="CS78" s="611"/>
      <c r="CT78" s="903">
        <f t="shared" si="33"/>
        <v>0.4430669164738357</v>
      </c>
      <c r="CU78" s="2100">
        <f t="shared" si="34"/>
        <v>0.4430669164738357</v>
      </c>
      <c r="DK78" s="2112">
        <f t="shared" si="35"/>
        <v>0.4430669164738357</v>
      </c>
      <c r="DN78" s="31">
        <v>19</v>
      </c>
      <c r="DO78" s="2091">
        <v>27164.6</v>
      </c>
      <c r="DP78" s="583">
        <v>2013</v>
      </c>
      <c r="DQ78" s="216">
        <v>27.1646</v>
      </c>
      <c r="DR78" s="75">
        <v>25.034900000000007</v>
      </c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</row>
    <row r="79" ht="18.5" customHeight="1" spans="2:134" x14ac:dyDescent="0.25">
      <c r="B79" s="622">
        <v>28697.5</v>
      </c>
      <c r="C79" s="2103">
        <v>2009</v>
      </c>
      <c r="D79" s="2122">
        <v>28697.5</v>
      </c>
      <c r="E79" s="2119">
        <v>20411.61</v>
      </c>
      <c r="F79" s="2120">
        <v>38807.270899999996</v>
      </c>
      <c r="G79" s="2121">
        <f t="shared" si="36"/>
        <v>0.21351385469365744</v>
      </c>
      <c r="H79" s="2124"/>
      <c r="J79" s="2103">
        <v>2013</v>
      </c>
      <c r="K79" s="903">
        <f t="shared" si="31"/>
        <v>0.14846355147847173</v>
      </c>
      <c r="L79" s="1994"/>
      <c r="Y79" s="2104">
        <f t="shared" si="32"/>
        <v>0.14846355147847173</v>
      </c>
      <c r="AC79" s="2093">
        <v>2013</v>
      </c>
      <c r="AD79" s="2105">
        <v>15.245411430096356</v>
      </c>
      <c r="AE79" s="2105"/>
      <c r="AF79" s="1611">
        <v>19.653563919076568</v>
      </c>
      <c r="AG79" s="1611"/>
      <c r="AX79" s="268">
        <v>1.0645</v>
      </c>
      <c r="AY79" s="2093">
        <v>2013</v>
      </c>
      <c r="AZ79" s="2106">
        <v>15.245411430096356</v>
      </c>
      <c r="BA79" s="2105"/>
      <c r="BB79" s="2107">
        <v>26.82470761987901</v>
      </c>
      <c r="BC79" s="2106"/>
      <c r="BS79" s="682">
        <f>BS77*BS78</f>
        <v>11820.637499999999</v>
      </c>
      <c r="BU79" s="559">
        <v>2013</v>
      </c>
      <c r="BV79" s="2108">
        <v>44650</v>
      </c>
      <c r="BW79" s="2109"/>
      <c r="BX79" s="2110">
        <v>38465.140799999994</v>
      </c>
      <c r="BY79" s="2111"/>
      <c r="CO79" s="2093">
        <v>2013</v>
      </c>
      <c r="CP79" s="2108">
        <v>33792.2822</v>
      </c>
      <c r="CQ79" s="2109"/>
      <c r="CR79" s="2110">
        <v>73133.8951</v>
      </c>
      <c r="CS79" s="611"/>
      <c r="CT79" s="903">
        <f t="shared" si="33"/>
        <v>0.46206047351633545</v>
      </c>
      <c r="CU79" s="2100">
        <f t="shared" si="34"/>
        <v>0.46206047351633545</v>
      </c>
      <c r="DK79" s="2112">
        <f t="shared" si="35"/>
        <v>0.46206047351633545</v>
      </c>
      <c r="DN79" s="31">
        <v>20</v>
      </c>
      <c r="DO79" s="2091">
        <v>31155.6</v>
      </c>
      <c r="DP79" s="583">
        <v>2014</v>
      </c>
      <c r="DQ79" s="216">
        <v>31.1556</v>
      </c>
      <c r="DR79" s="75">
        <v>28.346400000000006</v>
      </c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</row>
    <row r="80" ht="18" customHeight="1" spans="2:134" x14ac:dyDescent="0.25">
      <c r="B80" s="622">
        <v>32498.3</v>
      </c>
      <c r="C80" s="2103">
        <v>2010</v>
      </c>
      <c r="D80" s="2122">
        <v>32498.3</v>
      </c>
      <c r="E80" s="2119">
        <v>22995.63</v>
      </c>
      <c r="F80" s="2120">
        <v>46308.53100000001</v>
      </c>
      <c r="G80" s="2121">
        <f t="shared" si="36"/>
        <v>0.20520344296820808</v>
      </c>
      <c r="H80" s="2124"/>
      <c r="J80" s="2103">
        <v>2014</v>
      </c>
      <c r="K80" s="903">
        <f t="shared" si="31"/>
        <v>0.13269422449340992</v>
      </c>
      <c r="L80" s="1994"/>
      <c r="Y80" s="2104">
        <f t="shared" si="32"/>
        <v>0.13269422449340992</v>
      </c>
      <c r="AB80" s="2125">
        <f t="array" ref="AB80:AB96">TRANSPOSE(СЧЁТ!AH15:AX15)</f>
        <v>1.136</v>
      </c>
      <c r="AC80" s="2093">
        <v>2014</v>
      </c>
      <c r="AD80" s="2105">
        <v>17.31878738458946</v>
      </c>
      <c r="AE80" s="2105"/>
      <c r="AF80" s="1611">
        <v>21.01627695270109</v>
      </c>
      <c r="AG80" s="2126">
        <f t="array" ref="AG80:AG96">TRANSPOSE(СЧЁТ!AH18:AX18)</f>
        <v>21.01627695270109</v>
      </c>
      <c r="AX80" s="268">
        <v>1.136</v>
      </c>
      <c r="AY80" s="2093">
        <v>2014</v>
      </c>
      <c r="AZ80" s="2106">
        <v>17.31878738458946</v>
      </c>
      <c r="BA80" s="2105"/>
      <c r="BB80" s="2107">
        <v>28.78517263207585</v>
      </c>
      <c r="BC80" s="2106"/>
      <c r="BU80" s="559">
        <v>2014</v>
      </c>
      <c r="BV80" s="2108">
        <v>47921</v>
      </c>
      <c r="BW80" s="2111" t="e">
        <f t="array" ref="BW80:BW96">TRANSPOSE(СЧЁТ!#REF!)</f>
        <v>#REF!</v>
      </c>
      <c r="BX80" s="2110">
        <v>41954.83</v>
      </c>
      <c r="BY80" s="2111">
        <f t="array" ref="BY80:BY96">TRANSPOSE(СЧЁТ!AH121:AX121)</f>
        <v>0</v>
      </c>
      <c r="CO80" s="2093">
        <v>2014</v>
      </c>
      <c r="CP80" s="2108">
        <v>37430.46</v>
      </c>
      <c r="CQ80" s="2109"/>
      <c r="CR80" s="2110">
        <v>79058.48</v>
      </c>
      <c r="CS80" s="611"/>
      <c r="CT80" s="903">
        <f t="shared" si="33"/>
        <v>0.47345281619378465</v>
      </c>
      <c r="CU80" s="2100">
        <f t="shared" si="34"/>
        <v>0.47345281619378465</v>
      </c>
      <c r="DK80" s="2112">
        <f t="shared" si="35"/>
        <v>0.47345281619378465</v>
      </c>
      <c r="DN80" s="31">
        <v>21</v>
      </c>
      <c r="DO80" s="2091">
        <v>31615.7</v>
      </c>
      <c r="DP80" s="583">
        <v>2015</v>
      </c>
      <c r="DQ80" s="216">
        <v>31.6157</v>
      </c>
      <c r="DR80" s="75">
        <v>31.8617</v>
      </c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</row>
    <row r="81" ht="18" customHeight="1" spans="2:134" x14ac:dyDescent="0.25">
      <c r="B81" s="622">
        <v>35648.7</v>
      </c>
      <c r="C81" s="2103">
        <v>2011</v>
      </c>
      <c r="D81" s="2122">
        <v>35648.7</v>
      </c>
      <c r="E81" s="2127">
        <v>26386.6754</v>
      </c>
      <c r="F81" s="2120">
        <v>60282.540400000005</v>
      </c>
      <c r="G81" s="2121">
        <f t="shared" si="36"/>
        <v>0.1536435680802861</v>
      </c>
      <c r="H81" s="2124"/>
      <c r="J81" s="2103">
        <v>2015</v>
      </c>
      <c r="K81" s="903">
        <f t="shared" si="31"/>
        <v>0.18991154595999712</v>
      </c>
      <c r="L81" s="1994"/>
      <c r="Y81" s="2104">
        <f t="shared" si="32"/>
        <v>0.18991154595999712</v>
      </c>
      <c r="AB81" s="2128">
        <v>1.129</v>
      </c>
      <c r="AC81" s="2093">
        <v>2015</v>
      </c>
      <c r="AD81" s="2105">
        <f>AD80*AB81</f>
        <v>19.5529109572015</v>
      </c>
      <c r="AE81" s="2105"/>
      <c r="AF81" s="1611">
        <v>23.908625308988828</v>
      </c>
      <c r="AG81" s="2129">
        <v>23.908625308988828</v>
      </c>
      <c r="AX81" s="268">
        <v>1.129</v>
      </c>
      <c r="AY81" s="2093">
        <v>2015</v>
      </c>
      <c r="AZ81" s="2105">
        <f>AZ80*AX81</f>
        <v>19.5529109572015</v>
      </c>
      <c r="BA81" s="2106">
        <f t="array" ref="BA81:BA96">TRANSPOSE(СЧЁТ!AI14:AX14)</f>
        <v>19.5529109572015</v>
      </c>
      <c r="BB81" s="2107">
        <v>30.966851255246702</v>
      </c>
      <c r="BC81" s="2106" t="e">
        <f t="array" ref="BC81:BC96">TRANSPOSE(СЧЁТ!#REF!)</f>
        <v>#REF!</v>
      </c>
      <c r="BS81" s="908">
        <v>36547</v>
      </c>
      <c r="BT81">
        <f>BS81+BS79</f>
        <v>48367.6375</v>
      </c>
      <c r="BU81" s="559">
        <v>2015</v>
      </c>
      <c r="BV81" s="2108">
        <v>53526</v>
      </c>
      <c r="BW81" s="2111" t="e">
        <v>#REF!</v>
      </c>
      <c r="BX81" s="2108">
        <v>43242.32</v>
      </c>
      <c r="BY81" s="2111">
        <v>0</v>
      </c>
      <c r="CO81" s="2093">
        <v>2015</v>
      </c>
      <c r="CP81" s="2108">
        <v>36547.4</v>
      </c>
      <c r="CQ81" s="2130" t="e">
        <f t="array" ref="CQ81:CQ96">TRANSPOSE(СЧЁТ!#REF!)</f>
        <v>#REF!</v>
      </c>
      <c r="CR81" s="2110">
        <v>83094.3</v>
      </c>
      <c r="CS81" s="2130" t="e">
        <f t="array" ref="CS81:CS96">TRANSPOSE(СЧЁТ!#REF!)</f>
        <v>#REF!</v>
      </c>
      <c r="CT81" s="903">
        <f t="shared" si="33"/>
        <v>0.4398304095467439</v>
      </c>
      <c r="CU81" s="2100" t="e">
        <f>CQ81/CS81</f>
        <v>#REF!</v>
      </c>
      <c r="DK81" s="2112">
        <f>CT81</f>
        <v>0.4398304095467439</v>
      </c>
      <c r="DN81" s="31">
        <v>22</v>
      </c>
      <c r="DO81" s="2091">
        <v>35179.7</v>
      </c>
      <c r="DP81" s="583">
        <v>2016</v>
      </c>
      <c r="DQ81" s="216">
        <v>35.1797</v>
      </c>
      <c r="DR81" s="75">
        <v>35.5808</v>
      </c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</row>
    <row r="82" ht="18" customHeight="1" spans="2:134" x14ac:dyDescent="0.25">
      <c r="B82" s="622">
        <v>39623.4</v>
      </c>
      <c r="C82" s="2103">
        <v>2012</v>
      </c>
      <c r="D82" s="2122">
        <v>39904</v>
      </c>
      <c r="E82" s="2127">
        <v>30201.1615</v>
      </c>
      <c r="F82" s="2120">
        <v>68163.8831</v>
      </c>
      <c r="G82" s="2121">
        <f t="shared" si="36"/>
        <v>0.14234574174369477</v>
      </c>
      <c r="H82" s="2124"/>
      <c r="J82" s="2103">
        <v>2016</v>
      </c>
      <c r="K82" s="1986"/>
      <c r="L82" s="607">
        <f>0.19</f>
        <v>0.19</v>
      </c>
      <c r="Y82" s="2104">
        <f t="shared" ref="Y82:Y96" si="37">L82</f>
        <v>0.19</v>
      </c>
      <c r="AB82" s="2128">
        <v>1.0539</v>
      </c>
      <c r="AC82" s="2093">
        <v>2016</v>
      </c>
      <c r="AD82" s="2105">
        <f t="shared" ref="AD82:AD96" si="38">AD81*AB82</f>
        <v>20.60681285779466</v>
      </c>
      <c r="AE82" s="2105"/>
      <c r="AF82" s="1611"/>
      <c r="AG82" s="2129">
        <v>25.541020349632802</v>
      </c>
      <c r="AW82" s="2131" t="e">
        <f>AZ82/AZ81</f>
        <v>#REF!</v>
      </c>
      <c r="AX82" s="123" t="e">
        <f>НАСТРОЙКА!#REF!</f>
        <v>#REF!</v>
      </c>
      <c r="AY82" s="2093">
        <v>2016</v>
      </c>
      <c r="AZ82" s="2132" t="e">
        <f>AZ81+0.5934*(BC82-BC81)</f>
        <v>#REF!</v>
      </c>
      <c r="BA82" s="2106">
        <v>20.60681285779466</v>
      </c>
      <c r="BB82" s="2107"/>
      <c r="BC82" s="2106" t="e">
        <v>#REF!</v>
      </c>
      <c r="BU82" s="559">
        <v>2016</v>
      </c>
      <c r="BV82" s="2108">
        <v>54102</v>
      </c>
      <c r="BW82" s="2111" t="e">
        <v>#REF!</v>
      </c>
      <c r="BX82" s="2110">
        <v>45317.05</v>
      </c>
      <c r="BY82" s="2111">
        <v>0</v>
      </c>
      <c r="CO82" s="2093">
        <v>2016</v>
      </c>
      <c r="CP82" s="604"/>
      <c r="CQ82" s="2130" t="e">
        <v>#REF!</v>
      </c>
      <c r="CR82" s="611"/>
      <c r="CS82" s="2130" t="e">
        <v>#REF!</v>
      </c>
      <c r="CT82" s="2100" t="e">
        <f>CQ82/CS82</f>
        <v>#REF!</v>
      </c>
      <c r="CU82" s="2100" t="e">
        <f t="shared" ref="CU82:CU96" si="39">CQ82/CS82</f>
        <v>#REF!</v>
      </c>
      <c r="DK82" s="2112" t="e">
        <f t="shared" ref="DK82:DK96" si="40">CT82</f>
        <v>#REF!</v>
      </c>
      <c r="DN82" s="31">
        <v>23</v>
      </c>
      <c r="DO82" s="2091">
        <v>38418</v>
      </c>
      <c r="DP82" s="583">
        <v>2017</v>
      </c>
      <c r="DQ82" s="216">
        <v>38.418</v>
      </c>
      <c r="DR82" s="75">
        <v>39.5037</v>
      </c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</row>
    <row r="83" ht="18" customHeight="1" spans="3:134" x14ac:dyDescent="0.25">
      <c r="C83" s="2103">
        <v>2013</v>
      </c>
      <c r="D83" s="2122">
        <v>44650</v>
      </c>
      <c r="E83" s="2127">
        <v>33792.2822</v>
      </c>
      <c r="F83" s="2120">
        <v>73133.89509999998</v>
      </c>
      <c r="G83" s="2121">
        <f t="shared" si="36"/>
        <v>0.14846355147847173</v>
      </c>
      <c r="H83" s="2124"/>
      <c r="J83" s="2103">
        <v>2017</v>
      </c>
      <c r="K83" s="1986"/>
      <c r="L83" s="607">
        <f>0.19</f>
        <v>0.19</v>
      </c>
      <c r="Y83" s="2104">
        <f t="shared" si="37"/>
        <v>0.19</v>
      </c>
      <c r="AB83" s="2128">
        <v>1.0251</v>
      </c>
      <c r="AC83" s="2093">
        <v>2017</v>
      </c>
      <c r="AD83" s="2105">
        <f t="shared" si="38"/>
        <v>21.124043860525305</v>
      </c>
      <c r="AE83" s="2105"/>
      <c r="AF83" s="1611"/>
      <c r="AG83" s="2129">
        <v>26.262932750374507</v>
      </c>
      <c r="AW83" s="2131" t="e">
        <f t="shared" ref="AW83:AW96" si="41">AZ83/AZ82</f>
        <v>#REF!</v>
      </c>
      <c r="AX83" s="123" t="e">
        <f>НАСТРОЙКА!#REF!</f>
        <v>#REF!</v>
      </c>
      <c r="AY83" s="2093">
        <v>2017</v>
      </c>
      <c r="AZ83" s="2133" t="e">
        <f t="shared" ref="AZ83:AZ96" si="42">AZ82+0.5934*(BC83-BC82)</f>
        <v>#REF!</v>
      </c>
      <c r="BA83" s="2106">
        <v>21.124043860525305</v>
      </c>
      <c r="BB83" s="2107"/>
      <c r="BC83" s="2106" t="e">
        <v>#REF!</v>
      </c>
      <c r="BU83" s="559">
        <v>2017</v>
      </c>
      <c r="BV83" s="604"/>
      <c r="BW83" s="2111" t="e">
        <v>#REF!</v>
      </c>
      <c r="BX83" s="611"/>
      <c r="BY83" s="2111">
        <v>0</v>
      </c>
      <c r="CO83" s="2093">
        <v>2017</v>
      </c>
      <c r="CP83" s="604"/>
      <c r="CQ83" s="2130" t="e">
        <v>#REF!</v>
      </c>
      <c r="CR83" s="611"/>
      <c r="CS83" s="2130" t="e">
        <v>#REF!</v>
      </c>
      <c r="CT83" s="2100" t="e">
        <f t="shared" ref="CT83:CT96" si="43">CQ83/CS83</f>
        <v>#REF!</v>
      </c>
      <c r="CU83" s="2100" t="e">
        <f t="shared" si="39"/>
        <v>#REF!</v>
      </c>
      <c r="DK83" s="2112" t="e">
        <f t="shared" si="40"/>
        <v>#REF!</v>
      </c>
      <c r="DN83" s="31">
        <v>24</v>
      </c>
      <c r="DO83" s="2091">
        <v>42442.2</v>
      </c>
      <c r="DP83" s="583">
        <v>2018</v>
      </c>
      <c r="DQ83" s="216">
        <v>42.4422</v>
      </c>
      <c r="DR83" s="75">
        <v>43.6304</v>
      </c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</row>
    <row r="84" ht="18" customHeight="1" spans="3:134" x14ac:dyDescent="0.25">
      <c r="C84" s="2103">
        <v>2014</v>
      </c>
      <c r="D84" s="2122">
        <v>47921</v>
      </c>
      <c r="E84" s="2134">
        <v>37430.46</v>
      </c>
      <c r="F84" s="2120">
        <v>79058</v>
      </c>
      <c r="G84" s="2121">
        <f t="shared" si="36"/>
        <v>0.13269422449340992</v>
      </c>
      <c r="H84" s="2124"/>
      <c r="J84" s="2103">
        <v>2018</v>
      </c>
      <c r="K84" s="1986"/>
      <c r="L84" s="607">
        <f>L83</f>
        <v>0.19</v>
      </c>
      <c r="Y84" s="2104">
        <f t="shared" si="37"/>
        <v>0.19</v>
      </c>
      <c r="AB84" s="2128">
        <v>1.0426</v>
      </c>
      <c r="AC84" s="2093">
        <v>2018</v>
      </c>
      <c r="AD84" s="2105">
        <f t="shared" si="38"/>
        <v>22.02392812898368</v>
      </c>
      <c r="AE84" s="2105"/>
      <c r="AF84" s="1611"/>
      <c r="AG84" s="2129">
        <v>27.120680464307846</v>
      </c>
      <c r="AW84" s="2131" t="e">
        <f t="shared" si="41"/>
        <v>#REF!</v>
      </c>
      <c r="AX84" s="123" t="e">
        <f>НАСТРОЙКА!#REF!</f>
        <v>#REF!</v>
      </c>
      <c r="AY84" s="2093">
        <v>2018</v>
      </c>
      <c r="AZ84" s="2133" t="e">
        <f t="shared" si="42"/>
        <v>#REF!</v>
      </c>
      <c r="BA84" s="2106">
        <v>22.02392812898368</v>
      </c>
      <c r="BB84" s="2107"/>
      <c r="BC84" s="2106" t="e">
        <v>#REF!</v>
      </c>
      <c r="BU84" s="559">
        <v>2018</v>
      </c>
      <c r="BV84" s="604"/>
      <c r="BW84" s="2111" t="e">
        <v>#REF!</v>
      </c>
      <c r="BX84" s="611"/>
      <c r="BY84" s="2111">
        <v>0</v>
      </c>
      <c r="CO84" s="2093">
        <v>2018</v>
      </c>
      <c r="CP84" s="604"/>
      <c r="CQ84" s="2130" t="e">
        <v>#REF!</v>
      </c>
      <c r="CR84" s="611"/>
      <c r="CS84" s="2130" t="e">
        <v>#REF!</v>
      </c>
      <c r="CT84" s="2100" t="e">
        <f t="shared" si="43"/>
        <v>#REF!</v>
      </c>
      <c r="CU84" s="2100" t="e">
        <f t="shared" si="39"/>
        <v>#REF!</v>
      </c>
      <c r="DK84" s="2112" t="e">
        <f t="shared" si="40"/>
        <v>#REF!</v>
      </c>
      <c r="DN84" s="31">
        <v>25</v>
      </c>
      <c r="DO84" s="2091">
        <v>47109.3</v>
      </c>
      <c r="DP84" s="583">
        <v>2019</v>
      </c>
      <c r="DQ84" s="216">
        <v>47.109300000000005</v>
      </c>
      <c r="DR84" s="75">
        <v>47.96090000000001</v>
      </c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</row>
    <row r="85" ht="18" customHeight="1" spans="3:134" x14ac:dyDescent="0.25">
      <c r="C85" s="1952">
        <v>2015</v>
      </c>
      <c r="D85" s="2122">
        <v>53526</v>
      </c>
      <c r="E85" s="2135">
        <v>37745.49</v>
      </c>
      <c r="F85" s="2136">
        <v>83094</v>
      </c>
      <c r="G85" s="2121">
        <f t="shared" si="36"/>
        <v>0.18991154595999712</v>
      </c>
      <c r="H85" s="2137"/>
      <c r="J85" s="2103">
        <v>2019</v>
      </c>
      <c r="K85" s="1986"/>
      <c r="L85" s="607">
        <f t="shared" ref="L85:L96" si="44">L84</f>
        <v>0.19</v>
      </c>
      <c r="Y85" s="2104">
        <f t="shared" si="37"/>
        <v>0.19</v>
      </c>
      <c r="AB85" s="2128">
        <v>1.0304</v>
      </c>
      <c r="AC85" s="2093">
        <v>2019</v>
      </c>
      <c r="AD85" s="2105">
        <f t="shared" si="38"/>
        <v>22.693455544104783</v>
      </c>
      <c r="AE85" s="2105"/>
      <c r="AF85" s="1611"/>
      <c r="AG85" s="2129">
        <v>28.12440071334408</v>
      </c>
      <c r="AW85" s="2131" t="e">
        <f t="shared" si="41"/>
        <v>#REF!</v>
      </c>
      <c r="AX85" s="123" t="e">
        <f>НАСТРОЙКА!#REF!</f>
        <v>#REF!</v>
      </c>
      <c r="AY85" s="2093">
        <v>2019</v>
      </c>
      <c r="AZ85" s="2133" t="e">
        <f t="shared" si="42"/>
        <v>#REF!</v>
      </c>
      <c r="BA85" s="2106">
        <v>22.693455544104783</v>
      </c>
      <c r="BB85" s="2107"/>
      <c r="BC85" s="2106" t="e">
        <v>#REF!</v>
      </c>
      <c r="BU85" s="559">
        <v>2019</v>
      </c>
      <c r="BV85" s="604"/>
      <c r="BW85" s="2111" t="e">
        <v>#REF!</v>
      </c>
      <c r="BX85" s="611"/>
      <c r="BY85" s="2111">
        <v>0</v>
      </c>
      <c r="CO85" s="2093">
        <v>2019</v>
      </c>
      <c r="CP85" s="604"/>
      <c r="CQ85" s="2130" t="e">
        <v>#REF!</v>
      </c>
      <c r="CR85" s="611"/>
      <c r="CS85" s="2130" t="e">
        <v>#REF!</v>
      </c>
      <c r="CT85" s="2100" t="e">
        <f t="shared" si="43"/>
        <v>#REF!</v>
      </c>
      <c r="CU85" s="2100" t="e">
        <f t="shared" si="39"/>
        <v>#REF!</v>
      </c>
      <c r="DK85" s="2112" t="e">
        <f t="shared" si="40"/>
        <v>#REF!</v>
      </c>
      <c r="DN85" s="31">
        <v>26</v>
      </c>
      <c r="DO85" s="31"/>
      <c r="DP85" s="583">
        <v>2020</v>
      </c>
      <c r="DQ85" s="605"/>
      <c r="DR85" s="75">
        <v>52.495200000000004</v>
      </c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</row>
    <row r="86" ht="17.5" customHeight="1" spans="10:134" x14ac:dyDescent="0.25">
      <c r="J86" s="2103">
        <v>2020</v>
      </c>
      <c r="K86" s="1986"/>
      <c r="L86" s="607">
        <f t="shared" si="44"/>
        <v>0.19</v>
      </c>
      <c r="Y86" s="2104">
        <f t="shared" si="37"/>
        <v>0.19</v>
      </c>
      <c r="AB86" s="2128">
        <v>1.0491</v>
      </c>
      <c r="AC86" s="2093">
        <v>2020</v>
      </c>
      <c r="AD86" s="2105">
        <f t="shared" si="38"/>
        <v>23.807704211320324</v>
      </c>
      <c r="AE86" s="2105"/>
      <c r="AF86" s="1611"/>
      <c r="AG86" s="2129">
        <v>28.998911158369268</v>
      </c>
      <c r="AW86" s="2131" t="e">
        <f t="shared" si="41"/>
        <v>#REF!</v>
      </c>
      <c r="AX86" s="123" t="e">
        <f>НАСТРОЙКА!#REF!</f>
        <v>#REF!</v>
      </c>
      <c r="AY86" s="2093">
        <v>2020</v>
      </c>
      <c r="AZ86" s="2133" t="e">
        <f t="shared" si="42"/>
        <v>#REF!</v>
      </c>
      <c r="BA86" s="2106">
        <v>23.807704211320324</v>
      </c>
      <c r="BB86" s="2107"/>
      <c r="BC86" s="2106" t="e">
        <v>#REF!</v>
      </c>
      <c r="BU86" s="559">
        <v>2020</v>
      </c>
      <c r="BV86" s="604"/>
      <c r="BW86" s="2111" t="e">
        <v>#REF!</v>
      </c>
      <c r="BX86" s="611"/>
      <c r="BY86" s="2111">
        <v>0</v>
      </c>
      <c r="CO86" s="2093">
        <v>2020</v>
      </c>
      <c r="CP86" s="604"/>
      <c r="CQ86" s="2130" t="e">
        <v>#REF!</v>
      </c>
      <c r="CR86" s="611"/>
      <c r="CS86" s="2130" t="e">
        <v>#REF!</v>
      </c>
      <c r="CT86" s="2100" t="e">
        <f t="shared" si="43"/>
        <v>#REF!</v>
      </c>
      <c r="CU86" s="2100" t="e">
        <f t="shared" si="39"/>
        <v>#REF!</v>
      </c>
      <c r="DK86" s="2112" t="e">
        <f t="shared" si="40"/>
        <v>#REF!</v>
      </c>
      <c r="DN86" s="31">
        <v>27</v>
      </c>
      <c r="DO86" s="31"/>
      <c r="DP86" s="583">
        <v>2021</v>
      </c>
      <c r="DQ86" s="605"/>
      <c r="DR86" s="75">
        <v>57.2333</v>
      </c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</row>
    <row r="87" ht="17.5" customHeight="1" spans="10:134" x14ac:dyDescent="0.25">
      <c r="J87" s="2103">
        <v>2021</v>
      </c>
      <c r="K87" s="1986"/>
      <c r="L87" s="607">
        <f t="shared" si="44"/>
        <v>0.19</v>
      </c>
      <c r="Y87" s="2104">
        <f t="shared" si="37"/>
        <v>0.19</v>
      </c>
      <c r="AB87" s="2128">
        <v>1.05</v>
      </c>
      <c r="AC87" s="2093">
        <v>2021</v>
      </c>
      <c r="AD87" s="2105">
        <f t="shared" si="38"/>
        <v>24.99808942188634</v>
      </c>
      <c r="AE87" s="2105"/>
      <c r="AF87" s="1611"/>
      <c r="AG87" s="2129">
        <v>31.029391716287734</v>
      </c>
      <c r="AW87" s="2131" t="e">
        <f t="shared" si="41"/>
        <v>#REF!</v>
      </c>
      <c r="AX87" s="123" t="e">
        <f>НАСТРОЙКА!#REF!</f>
        <v>#REF!</v>
      </c>
      <c r="AY87" s="2093">
        <v>2021</v>
      </c>
      <c r="AZ87" s="2133" t="e">
        <f t="shared" si="42"/>
        <v>#REF!</v>
      </c>
      <c r="BA87" s="2106">
        <v>24.99808942188634</v>
      </c>
      <c r="BB87" s="2107"/>
      <c r="BC87" s="2106" t="e">
        <v>#REF!</v>
      </c>
      <c r="BU87" s="559">
        <v>2021</v>
      </c>
      <c r="BV87" s="604"/>
      <c r="BW87" s="2111" t="e">
        <v>#REF!</v>
      </c>
      <c r="BX87" s="611"/>
      <c r="BY87" s="2111">
        <v>0</v>
      </c>
      <c r="CO87" s="2093">
        <v>2021</v>
      </c>
      <c r="CP87" s="604"/>
      <c r="CQ87" s="2130" t="e">
        <v>#REF!</v>
      </c>
      <c r="CR87" s="611"/>
      <c r="CS87" s="2130" t="e">
        <v>#REF!</v>
      </c>
      <c r="CT87" s="2100" t="e">
        <f t="shared" si="43"/>
        <v>#REF!</v>
      </c>
      <c r="CU87" s="2100" t="e">
        <f t="shared" si="39"/>
        <v>#REF!</v>
      </c>
      <c r="DK87" s="2112" t="e">
        <f t="shared" si="40"/>
        <v>#REF!</v>
      </c>
      <c r="DN87" s="31">
        <v>28</v>
      </c>
      <c r="DO87" s="31"/>
      <c r="DP87" s="583">
        <v>2022</v>
      </c>
      <c r="DQ87" s="605"/>
      <c r="DR87" s="75">
        <v>62.175200000000004</v>
      </c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</row>
    <row r="88" ht="17.5" customHeight="1" spans="10:134" x14ac:dyDescent="0.25">
      <c r="J88" s="2103">
        <v>2022</v>
      </c>
      <c r="K88" s="1986"/>
      <c r="L88" s="607">
        <f t="shared" si="44"/>
        <v>0.19</v>
      </c>
      <c r="Y88" s="2104">
        <f t="shared" si="37"/>
        <v>0.19</v>
      </c>
      <c r="AB88" s="2128">
        <v>1.05</v>
      </c>
      <c r="AC88" s="2093">
        <v>2022</v>
      </c>
      <c r="AD88" s="2105">
        <f t="shared" si="38"/>
        <v>26.24799389298066</v>
      </c>
      <c r="AE88" s="2105"/>
      <c r="AF88" s="1611"/>
      <c r="AG88" s="2129">
        <v>32.60489630210212</v>
      </c>
      <c r="AW88" s="2131" t="e">
        <f t="shared" si="41"/>
        <v>#REF!</v>
      </c>
      <c r="AX88" s="123" t="e">
        <f>НАСТРОЙКА!#REF!</f>
        <v>#REF!</v>
      </c>
      <c r="AY88" s="2093">
        <v>2022</v>
      </c>
      <c r="AZ88" s="2133" t="e">
        <f t="shared" si="42"/>
        <v>#REF!</v>
      </c>
      <c r="BA88" s="2106">
        <v>26.24799389298066</v>
      </c>
      <c r="BB88" s="2107"/>
      <c r="BC88" s="2106" t="e">
        <v>#REF!</v>
      </c>
      <c r="BU88" s="559">
        <v>2022</v>
      </c>
      <c r="BV88" s="604"/>
      <c r="BW88" s="2111" t="e">
        <v>#REF!</v>
      </c>
      <c r="BX88" s="611"/>
      <c r="BY88" s="2111">
        <v>0</v>
      </c>
      <c r="CO88" s="2093">
        <v>2022</v>
      </c>
      <c r="CP88" s="604"/>
      <c r="CQ88" s="2130" t="e">
        <v>#REF!</v>
      </c>
      <c r="CR88" s="611"/>
      <c r="CS88" s="2130" t="e">
        <v>#REF!</v>
      </c>
      <c r="CT88" s="2100" t="e">
        <f t="shared" si="43"/>
        <v>#REF!</v>
      </c>
      <c r="CU88" s="2100" t="e">
        <f t="shared" si="39"/>
        <v>#REF!</v>
      </c>
      <c r="DK88" s="2112" t="e">
        <f t="shared" si="40"/>
        <v>#REF!</v>
      </c>
      <c r="DN88" s="31">
        <v>29</v>
      </c>
      <c r="DO88" s="31"/>
      <c r="DP88" s="583">
        <v>2023</v>
      </c>
      <c r="DQ88" s="605"/>
      <c r="DR88" s="75">
        <v>67.3209</v>
      </c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</row>
    <row r="89" ht="17.5" customHeight="1" spans="10:134" x14ac:dyDescent="0.25">
      <c r="J89" s="2103">
        <v>2023</v>
      </c>
      <c r="K89" s="1986"/>
      <c r="L89" s="607">
        <f t="shared" si="44"/>
        <v>0.19</v>
      </c>
      <c r="Y89" s="2104">
        <f t="shared" si="37"/>
        <v>0.19</v>
      </c>
      <c r="AB89" s="2128">
        <v>1.05</v>
      </c>
      <c r="AC89" s="2093">
        <v>2023</v>
      </c>
      <c r="AD89" s="2105">
        <f t="shared" si="38"/>
        <v>27.560393587629694</v>
      </c>
      <c r="AE89" s="2105"/>
      <c r="AF89" s="1611"/>
      <c r="AG89" s="2129">
        <v>34.259176117207225</v>
      </c>
      <c r="AW89" s="2131" t="e">
        <f t="shared" si="41"/>
        <v>#REF!</v>
      </c>
      <c r="AX89" s="123" t="e">
        <f>НАСТРОЙКА!#REF!</f>
        <v>#REF!</v>
      </c>
      <c r="AY89" s="2093">
        <v>2023</v>
      </c>
      <c r="AZ89" s="2133" t="e">
        <f t="shared" si="42"/>
        <v>#REF!</v>
      </c>
      <c r="BA89" s="2106">
        <v>27.560393587629694</v>
      </c>
      <c r="BB89" s="2107"/>
      <c r="BC89" s="2106" t="e">
        <v>#REF!</v>
      </c>
      <c r="BU89" s="559">
        <v>2023</v>
      </c>
      <c r="BV89" s="604"/>
      <c r="BW89" s="2111" t="e">
        <v>#REF!</v>
      </c>
      <c r="BX89" s="611"/>
      <c r="BY89" s="2111">
        <v>0</v>
      </c>
      <c r="CO89" s="2093">
        <v>2023</v>
      </c>
      <c r="CP89" s="604"/>
      <c r="CQ89" s="2130" t="e">
        <v>#REF!</v>
      </c>
      <c r="CR89" s="611"/>
      <c r="CS89" s="2130" t="e">
        <v>#REF!</v>
      </c>
      <c r="CT89" s="2100" t="e">
        <f t="shared" si="43"/>
        <v>#REF!</v>
      </c>
      <c r="CU89" s="2100" t="e">
        <f t="shared" si="39"/>
        <v>#REF!</v>
      </c>
      <c r="DK89" s="2112" t="e">
        <f t="shared" si="40"/>
        <v>#REF!</v>
      </c>
      <c r="DN89" s="31">
        <v>30</v>
      </c>
      <c r="DO89" s="31"/>
      <c r="DP89" s="609">
        <v>2024</v>
      </c>
      <c r="DQ89" s="605"/>
      <c r="DR89" s="75">
        <v>72.6704</v>
      </c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</row>
    <row r="90" ht="17.5" customHeight="1" spans="10:134" x14ac:dyDescent="0.25">
      <c r="J90" s="2103">
        <v>2024</v>
      </c>
      <c r="K90" s="1986"/>
      <c r="L90" s="607">
        <f t="shared" si="44"/>
        <v>0.19</v>
      </c>
      <c r="Y90" s="2104">
        <f t="shared" si="37"/>
        <v>0.19</v>
      </c>
      <c r="AB90" s="2128">
        <v>1.05</v>
      </c>
      <c r="AC90" s="2093">
        <v>2024</v>
      </c>
      <c r="AD90" s="2105">
        <f t="shared" si="38"/>
        <v>28.938413267011178</v>
      </c>
      <c r="AE90" s="2105"/>
      <c r="AF90" s="1611"/>
      <c r="AG90" s="2129">
        <v>35.99616992306759</v>
      </c>
      <c r="AW90" s="2131" t="e">
        <f t="shared" si="41"/>
        <v>#REF!</v>
      </c>
      <c r="AX90" s="123" t="e">
        <f>НАСТРОЙКА!#REF!</f>
        <v>#REF!</v>
      </c>
      <c r="AY90" s="2093">
        <v>2024</v>
      </c>
      <c r="AZ90" s="2133" t="e">
        <f t="shared" si="42"/>
        <v>#REF!</v>
      </c>
      <c r="BA90" s="2106">
        <v>28.938413267011178</v>
      </c>
      <c r="BB90" s="2107"/>
      <c r="BC90" s="2106" t="e">
        <v>#REF!</v>
      </c>
      <c r="BU90" s="559">
        <v>2024</v>
      </c>
      <c r="BV90" s="604"/>
      <c r="BW90" s="2111" t="e">
        <v>#REF!</v>
      </c>
      <c r="BX90" s="611"/>
      <c r="BY90" s="2111">
        <v>0</v>
      </c>
      <c r="CO90" s="2093">
        <v>2024</v>
      </c>
      <c r="CP90" s="604"/>
      <c r="CQ90" s="2130" t="e">
        <v>#REF!</v>
      </c>
      <c r="CR90" s="611"/>
      <c r="CS90" s="2130" t="e">
        <v>#REF!</v>
      </c>
      <c r="CT90" s="2100" t="e">
        <f t="shared" si="43"/>
        <v>#REF!</v>
      </c>
      <c r="CU90" s="2100" t="e">
        <f t="shared" si="39"/>
        <v>#REF!</v>
      </c>
      <c r="DK90" s="2112" t="e">
        <f t="shared" si="40"/>
        <v>#REF!</v>
      </c>
      <c r="DN90" s="31">
        <v>31</v>
      </c>
      <c r="DO90" s="31"/>
      <c r="DP90" s="583">
        <v>2025</v>
      </c>
      <c r="DQ90" s="605"/>
      <c r="DR90" s="75">
        <v>78.22370000000001</v>
      </c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</row>
    <row r="91" ht="17.5" customHeight="1" spans="10:134" x14ac:dyDescent="0.25">
      <c r="J91" s="2138">
        <v>2025</v>
      </c>
      <c r="K91" s="1986"/>
      <c r="L91" s="607">
        <f t="shared" si="44"/>
        <v>0.19</v>
      </c>
      <c r="Y91" s="2104">
        <f t="shared" si="37"/>
        <v>0.19</v>
      </c>
      <c r="AB91" s="2128">
        <v>1.05</v>
      </c>
      <c r="AC91" s="2093">
        <v>2025</v>
      </c>
      <c r="AD91" s="2105">
        <f t="shared" si="38"/>
        <v>30.38533393036174</v>
      </c>
      <c r="AE91" s="2105"/>
      <c r="AF91" s="1611"/>
      <c r="AG91" s="2129">
        <v>37.82001341922097</v>
      </c>
      <c r="AW91" s="2131" t="e">
        <f t="shared" si="41"/>
        <v>#REF!</v>
      </c>
      <c r="AX91" s="123" t="e">
        <f>НАСТРОЙКА!#REF!</f>
        <v>#REF!</v>
      </c>
      <c r="AY91" s="2093">
        <v>2025</v>
      </c>
      <c r="AZ91" s="2133" t="e">
        <f t="shared" si="42"/>
        <v>#REF!</v>
      </c>
      <c r="BA91" s="2106">
        <v>30.38533393036174</v>
      </c>
      <c r="BB91" s="2107"/>
      <c r="BC91" s="2106" t="e">
        <v>#REF!</v>
      </c>
      <c r="BU91" s="559">
        <v>2025</v>
      </c>
      <c r="BV91" s="604"/>
      <c r="BW91" s="2111" t="e">
        <v>#REF!</v>
      </c>
      <c r="BX91" s="611"/>
      <c r="BY91" s="2111">
        <v>0</v>
      </c>
      <c r="CO91" s="2093">
        <v>2025</v>
      </c>
      <c r="CP91" s="604"/>
      <c r="CQ91" s="2130" t="e">
        <v>#REF!</v>
      </c>
      <c r="CR91" s="611"/>
      <c r="CS91" s="2130" t="e">
        <v>#REF!</v>
      </c>
      <c r="CT91" s="2100" t="e">
        <f t="shared" si="43"/>
        <v>#REF!</v>
      </c>
      <c r="CU91" s="2100" t="e">
        <f t="shared" si="39"/>
        <v>#REF!</v>
      </c>
      <c r="DK91" s="2112" t="e">
        <f t="shared" si="40"/>
        <v>#REF!</v>
      </c>
      <c r="DN91" s="31">
        <v>32</v>
      </c>
      <c r="DO91" s="31"/>
      <c r="DP91" s="609">
        <v>2026</v>
      </c>
      <c r="DQ91" s="605"/>
      <c r="DR91" s="75">
        <v>83.98080000000002</v>
      </c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</row>
    <row r="92" ht="17.5" customHeight="1" spans="10:134" x14ac:dyDescent="0.25">
      <c r="J92" s="2138">
        <v>2026</v>
      </c>
      <c r="K92" s="1986"/>
      <c r="L92" s="607">
        <f t="shared" si="44"/>
        <v>0.19</v>
      </c>
      <c r="Y92" s="2104">
        <f t="shared" si="37"/>
        <v>0.19</v>
      </c>
      <c r="AB92" s="2128">
        <v>1.05</v>
      </c>
      <c r="AC92" s="2093">
        <v>2026</v>
      </c>
      <c r="AD92" s="2105">
        <f t="shared" si="38"/>
        <v>31.904600626879827</v>
      </c>
      <c r="AE92" s="2105"/>
      <c r="AF92" s="1611"/>
      <c r="AG92" s="2129">
        <v>39.735049090182024</v>
      </c>
      <c r="AW92" s="2131" t="e">
        <f t="shared" si="41"/>
        <v>#REF!</v>
      </c>
      <c r="AX92" s="123" t="e">
        <f>НАСТРОЙКА!#REF!</f>
        <v>#REF!</v>
      </c>
      <c r="AY92" s="2093">
        <v>2026</v>
      </c>
      <c r="AZ92" s="2133" t="e">
        <f t="shared" si="42"/>
        <v>#REF!</v>
      </c>
      <c r="BA92" s="2106">
        <v>31.904600626879827</v>
      </c>
      <c r="BB92" s="2107"/>
      <c r="BC92" s="2106" t="e">
        <v>#REF!</v>
      </c>
      <c r="BU92" s="559">
        <v>2026</v>
      </c>
      <c r="BV92" s="604"/>
      <c r="BW92" s="2111" t="e">
        <v>#REF!</v>
      </c>
      <c r="BX92" s="611"/>
      <c r="BY92" s="2111">
        <v>0</v>
      </c>
      <c r="CO92" s="2093">
        <v>2026</v>
      </c>
      <c r="CP92" s="604"/>
      <c r="CQ92" s="2130" t="e">
        <v>#REF!</v>
      </c>
      <c r="CR92" s="611"/>
      <c r="CS92" s="2130" t="e">
        <v>#REF!</v>
      </c>
      <c r="CT92" s="2100" t="e">
        <f t="shared" si="43"/>
        <v>#REF!</v>
      </c>
      <c r="CU92" s="2100" t="e">
        <f t="shared" si="39"/>
        <v>#REF!</v>
      </c>
      <c r="DK92" s="2112" t="e">
        <f t="shared" si="40"/>
        <v>#REF!</v>
      </c>
      <c r="DN92" s="31">
        <v>33</v>
      </c>
      <c r="DO92" s="31"/>
      <c r="DP92" s="583">
        <v>2027</v>
      </c>
      <c r="DQ92" s="605"/>
      <c r="DR92" s="75">
        <v>89.94170000000003</v>
      </c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</row>
    <row r="93" ht="17.5" customHeight="1" spans="10:134" x14ac:dyDescent="0.25">
      <c r="J93" s="2103">
        <v>2027</v>
      </c>
      <c r="K93" s="1986"/>
      <c r="L93" s="607">
        <f t="shared" si="44"/>
        <v>0.19</v>
      </c>
      <c r="Y93" s="2104">
        <f t="shared" si="37"/>
        <v>0.19</v>
      </c>
      <c r="AB93" s="2128">
        <v>1.05</v>
      </c>
      <c r="AC93" s="2093">
        <v>2027</v>
      </c>
      <c r="AD93" s="2105">
        <f t="shared" si="38"/>
        <v>33.49983065822382</v>
      </c>
      <c r="AE93" s="2105"/>
      <c r="AF93" s="1611"/>
      <c r="AG93" s="2129">
        <v>41.74583654469112</v>
      </c>
      <c r="AW93" s="2131" t="e">
        <f t="shared" si="41"/>
        <v>#REF!</v>
      </c>
      <c r="AX93" s="123" t="e">
        <f>НАСТРОЙКА!#REF!</f>
        <v>#REF!</v>
      </c>
      <c r="AY93" s="2093">
        <v>2027</v>
      </c>
      <c r="AZ93" s="2133" t="e">
        <f t="shared" si="42"/>
        <v>#REF!</v>
      </c>
      <c r="BA93" s="2106">
        <v>33.49983065822382</v>
      </c>
      <c r="BB93" s="2107"/>
      <c r="BC93" s="2106" t="e">
        <v>#REF!</v>
      </c>
      <c r="BU93" s="559">
        <v>2027</v>
      </c>
      <c r="BV93" s="604"/>
      <c r="BW93" s="2111" t="e">
        <v>#REF!</v>
      </c>
      <c r="BX93" s="611"/>
      <c r="BY93" s="2111">
        <v>0</v>
      </c>
      <c r="CO93" s="2093">
        <v>2027</v>
      </c>
      <c r="CP93" s="604"/>
      <c r="CQ93" s="2130" t="e">
        <v>#REF!</v>
      </c>
      <c r="CR93" s="611"/>
      <c r="CS93" s="2130" t="e">
        <v>#REF!</v>
      </c>
      <c r="CT93" s="2100" t="e">
        <f t="shared" si="43"/>
        <v>#REF!</v>
      </c>
      <c r="CU93" s="2100" t="e">
        <f t="shared" si="39"/>
        <v>#REF!</v>
      </c>
      <c r="DK93" s="2112" t="e">
        <f t="shared" si="40"/>
        <v>#REF!</v>
      </c>
      <c r="DN93" s="31">
        <v>34</v>
      </c>
      <c r="DO93" s="31"/>
      <c r="DP93" s="609">
        <v>2028</v>
      </c>
      <c r="DQ93" s="605"/>
      <c r="DR93" s="75">
        <v>96.10640000000001</v>
      </c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</row>
    <row r="94" ht="17.5" customHeight="1" spans="10:134" x14ac:dyDescent="0.25">
      <c r="J94" s="2103">
        <v>2028</v>
      </c>
      <c r="K94" s="1986"/>
      <c r="L94" s="607">
        <f t="shared" si="44"/>
        <v>0.19</v>
      </c>
      <c r="Y94" s="2104">
        <f t="shared" si="37"/>
        <v>0.19</v>
      </c>
      <c r="AB94" s="2128">
        <v>1.05</v>
      </c>
      <c r="AC94" s="2093">
        <v>2028</v>
      </c>
      <c r="AD94" s="2105">
        <f t="shared" si="38"/>
        <v>35.174822191135014</v>
      </c>
      <c r="AE94" s="2105"/>
      <c r="AF94" s="1611"/>
      <c r="AG94" s="2129">
        <v>43.85716337192569</v>
      </c>
      <c r="AW94" s="2131" t="e">
        <f t="shared" si="41"/>
        <v>#REF!</v>
      </c>
      <c r="AX94" s="123" t="e">
        <f>НАСТРОЙКА!#REF!</f>
        <v>#REF!</v>
      </c>
      <c r="AY94" s="2093">
        <v>2028</v>
      </c>
      <c r="AZ94" s="2133" t="e">
        <f t="shared" si="42"/>
        <v>#REF!</v>
      </c>
      <c r="BA94" s="2106">
        <v>35.174822191135014</v>
      </c>
      <c r="BB94" s="2107"/>
      <c r="BC94" s="2106" t="e">
        <v>#REF!</v>
      </c>
      <c r="BU94" s="559">
        <v>2028</v>
      </c>
      <c r="BV94" s="604"/>
      <c r="BW94" s="2111" t="e">
        <v>#REF!</v>
      </c>
      <c r="BX94" s="611"/>
      <c r="BY94" s="2111">
        <v>0</v>
      </c>
      <c r="CO94" s="2093">
        <v>2028</v>
      </c>
      <c r="CP94" s="604"/>
      <c r="CQ94" s="2130" t="e">
        <v>#REF!</v>
      </c>
      <c r="CR94" s="611"/>
      <c r="CS94" s="2130" t="e">
        <v>#REF!</v>
      </c>
      <c r="CT94" s="2100" t="e">
        <f t="shared" si="43"/>
        <v>#REF!</v>
      </c>
      <c r="CU94" s="2100" t="e">
        <f t="shared" si="39"/>
        <v>#REF!</v>
      </c>
      <c r="DK94" s="2112" t="e">
        <f t="shared" si="40"/>
        <v>#REF!</v>
      </c>
      <c r="DN94" s="31">
        <v>35</v>
      </c>
      <c r="DO94" s="31"/>
      <c r="DP94" s="583">
        <v>2029</v>
      </c>
      <c r="DQ94" s="605"/>
      <c r="DR94" s="75">
        <v>102.47489999999999</v>
      </c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</row>
    <row r="95" ht="17.5" customHeight="1" spans="10:134" x14ac:dyDescent="0.25">
      <c r="J95" s="2103">
        <v>2029</v>
      </c>
      <c r="K95" s="1986"/>
      <c r="L95" s="607">
        <f t="shared" si="44"/>
        <v>0.19</v>
      </c>
      <c r="Y95" s="2104">
        <f t="shared" si="37"/>
        <v>0.19</v>
      </c>
      <c r="AB95" s="2128">
        <v>1.05</v>
      </c>
      <c r="AC95" s="2093">
        <v>2029</v>
      </c>
      <c r="AD95" s="2105">
        <f t="shared" si="38"/>
        <v>36.933563300691766</v>
      </c>
      <c r="AE95" s="2105"/>
      <c r="AF95" s="1611"/>
      <c r="AG95" s="2129">
        <v>46.07405654052197</v>
      </c>
      <c r="AW95" s="2131" t="e">
        <f t="shared" si="41"/>
        <v>#REF!</v>
      </c>
      <c r="AX95" s="123" t="e">
        <f>НАСТРОЙКА!#REF!</f>
        <v>#REF!</v>
      </c>
      <c r="AY95" s="2093">
        <v>2029</v>
      </c>
      <c r="AZ95" s="2133" t="e">
        <f t="shared" si="42"/>
        <v>#REF!</v>
      </c>
      <c r="BA95" s="2106">
        <v>36.933563300691766</v>
      </c>
      <c r="BB95" s="2107"/>
      <c r="BC95" s="2106" t="e">
        <v>#REF!</v>
      </c>
      <c r="BU95" s="559">
        <v>2029</v>
      </c>
      <c r="BV95" s="604"/>
      <c r="BW95" s="2111" t="e">
        <v>#REF!</v>
      </c>
      <c r="BX95" s="611"/>
      <c r="BY95" s="2111">
        <v>0</v>
      </c>
      <c r="CO95" s="2093">
        <v>2029</v>
      </c>
      <c r="CP95" s="604"/>
      <c r="CQ95" s="2130" t="e">
        <v>#REF!</v>
      </c>
      <c r="CR95" s="611"/>
      <c r="CS95" s="2130" t="e">
        <v>#REF!</v>
      </c>
      <c r="CT95" s="2100" t="e">
        <f t="shared" si="43"/>
        <v>#REF!</v>
      </c>
      <c r="CU95" s="2100" t="e">
        <f t="shared" si="39"/>
        <v>#REF!</v>
      </c>
      <c r="DK95" s="2112" t="e">
        <f t="shared" si="40"/>
        <v>#REF!</v>
      </c>
      <c r="DN95" s="31">
        <v>36</v>
      </c>
      <c r="DO95" s="31"/>
      <c r="DP95" s="618">
        <v>2030</v>
      </c>
      <c r="DQ95" s="615"/>
      <c r="DR95" s="36">
        <v>109.0472</v>
      </c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</row>
    <row r="96" ht="18" customHeight="1" spans="10:115" x14ac:dyDescent="0.25">
      <c r="J96" s="1952">
        <v>2030</v>
      </c>
      <c r="K96" s="2010"/>
      <c r="L96" s="963">
        <f t="shared" si="44"/>
        <v>0.19</v>
      </c>
      <c r="Y96" s="2139">
        <f t="shared" si="37"/>
        <v>0.19</v>
      </c>
      <c r="AB96" s="2140">
        <v>1.05</v>
      </c>
      <c r="AC96" s="2141">
        <v>2030</v>
      </c>
      <c r="AD96" s="2142">
        <f t="shared" si="38"/>
        <v>38.780241465726355</v>
      </c>
      <c r="AE96" s="2142"/>
      <c r="AF96" s="1402"/>
      <c r="AG96" s="2143">
        <v>48.40179436754807</v>
      </c>
      <c r="AW96" s="2131" t="e">
        <f t="shared" si="41"/>
        <v>#REF!</v>
      </c>
      <c r="AX96" s="123" t="e">
        <f>НАСТРОЙКА!#REF!</f>
        <v>#REF!</v>
      </c>
      <c r="AY96" s="2087">
        <v>2030</v>
      </c>
      <c r="AZ96" s="2144" t="e">
        <f t="shared" si="42"/>
        <v>#REF!</v>
      </c>
      <c r="BA96" s="2145">
        <v>38.780241465726355</v>
      </c>
      <c r="BB96" s="2145"/>
      <c r="BC96" s="2145" t="e">
        <v>#REF!</v>
      </c>
      <c r="BU96" s="960">
        <v>2030</v>
      </c>
      <c r="BV96" s="2146"/>
      <c r="BW96" s="2147" t="e">
        <v>#REF!</v>
      </c>
      <c r="BX96" s="616"/>
      <c r="BY96" s="2147">
        <v>0</v>
      </c>
      <c r="CO96" s="2093">
        <v>2030</v>
      </c>
      <c r="CP96" s="2146"/>
      <c r="CQ96" s="2148" t="e">
        <v>#REF!</v>
      </c>
      <c r="CR96" s="630"/>
      <c r="CS96" s="2148" t="e">
        <v>#REF!</v>
      </c>
      <c r="CT96" s="2100" t="e">
        <f t="shared" si="43"/>
        <v>#REF!</v>
      </c>
      <c r="CU96" s="2100" t="e">
        <f t="shared" si="39"/>
        <v>#REF!</v>
      </c>
      <c r="DK96" s="2112" t="e">
        <f t="shared" si="40"/>
        <v>#REF!</v>
      </c>
    </row>
    <row r="99" ht="15" customHeight="1" x14ac:dyDescent="0.25"/>
    <row r="100" ht="16.25" customHeight="1" spans="75:99" x14ac:dyDescent="0.25">
      <c r="BW100" s="2073" t="s">
        <v>974</v>
      </c>
      <c r="BX100" s="2076" t="s">
        <v>699</v>
      </c>
      <c r="CN100" s="2149" t="s">
        <v>1476</v>
      </c>
      <c r="CT100" s="2073" t="s">
        <v>974</v>
      </c>
      <c r="CU100" s="2076" t="s">
        <v>619</v>
      </c>
    </row>
    <row r="101" ht="18.5" customHeight="1" spans="45:117" x14ac:dyDescent="0.25">
      <c r="AS101" s="2073" t="s">
        <v>974</v>
      </c>
      <c r="AT101" s="2076" t="s">
        <v>815</v>
      </c>
      <c r="BV101" s="1161" t="s">
        <v>520</v>
      </c>
      <c r="BW101" s="2150" t="s">
        <v>975</v>
      </c>
      <c r="BX101" s="2150" t="s">
        <v>975</v>
      </c>
      <c r="CN101" s="2085" t="str">
        <f>BW101</f>
        <v>   kRU</v>
      </c>
      <c r="CS101" s="1161" t="s">
        <v>520</v>
      </c>
      <c r="CT101" s="2150" t="s">
        <v>1910</v>
      </c>
      <c r="CU101" s="2083" t="s">
        <v>1910</v>
      </c>
      <c r="DM101" s="2151" t="s">
        <v>520</v>
      </c>
    </row>
    <row r="102" ht="15.5" customHeight="1" spans="44:117" x14ac:dyDescent="0.25">
      <c r="AR102" s="1161" t="s">
        <v>520</v>
      </c>
      <c r="AS102" s="2150" t="s">
        <v>975</v>
      </c>
      <c r="AT102" s="2150" t="s">
        <v>975</v>
      </c>
      <c r="BV102" s="1168">
        <v>43188</v>
      </c>
      <c r="BW102" s="843" t="s">
        <v>840</v>
      </c>
      <c r="BX102" s="843" t="s">
        <v>840</v>
      </c>
      <c r="CN102" s="843" t="s">
        <v>840</v>
      </c>
      <c r="CS102" s="1168">
        <v>43188</v>
      </c>
      <c r="CT102" s="843" t="s">
        <v>840</v>
      </c>
      <c r="CU102" s="843" t="s">
        <v>840</v>
      </c>
      <c r="DM102" s="2152">
        <v>43676</v>
      </c>
    </row>
    <row r="103" ht="17.5" customHeight="1" spans="44:117" x14ac:dyDescent="0.25">
      <c r="AR103" s="2153">
        <v>42458</v>
      </c>
      <c r="AS103" s="843" t="s">
        <v>840</v>
      </c>
      <c r="AT103" s="843" t="s">
        <v>840</v>
      </c>
      <c r="BV103" s="2081">
        <v>1995</v>
      </c>
      <c r="BW103" s="2097">
        <v>1</v>
      </c>
      <c r="BX103" s="922"/>
      <c r="CN103" s="2112">
        <f t="shared" ref="CN103:CN123" si="45">BW103</f>
        <v>1</v>
      </c>
      <c r="CS103" s="828">
        <v>1995</v>
      </c>
      <c r="CT103" s="2097">
        <v>0.4535250411807066</v>
      </c>
      <c r="CU103" s="922">
        <v>0.4535250411807066</v>
      </c>
      <c r="DM103" s="828">
        <v>1995</v>
      </c>
    </row>
    <row r="104" ht="18" customHeight="1" spans="3:117" x14ac:dyDescent="0.25">
      <c r="C104" s="2154" t="s">
        <v>1914</v>
      </c>
      <c r="AR104" s="2081">
        <v>2014</v>
      </c>
      <c r="AS104" s="2097"/>
      <c r="AT104" s="922"/>
      <c r="BV104" s="2103">
        <v>1996</v>
      </c>
      <c r="BW104" s="2155">
        <v>1.3191577216179184</v>
      </c>
      <c r="BX104" s="607"/>
      <c r="CN104" s="2112">
        <f t="shared" si="45"/>
        <v>1.3191577216179184</v>
      </c>
      <c r="CS104" s="559">
        <v>1996</v>
      </c>
      <c r="CT104" s="2156">
        <v>0.5093272063723475</v>
      </c>
      <c r="CU104" s="607">
        <v>0.5093272063723475</v>
      </c>
      <c r="DM104" s="559">
        <v>1996</v>
      </c>
    </row>
    <row r="105" ht="15" customHeight="1" spans="3:117" x14ac:dyDescent="0.25">
      <c r="C105" s="2157" t="s">
        <v>1915</v>
      </c>
      <c r="D105" s="2158" t="s">
        <v>1916</v>
      </c>
      <c r="E105" s="2158" t="s">
        <v>1915</v>
      </c>
      <c r="F105" s="2158" t="s">
        <v>1917</v>
      </c>
      <c r="AR105" s="2103">
        <v>1996</v>
      </c>
      <c r="AS105" s="2155"/>
      <c r="AT105" s="607"/>
      <c r="BV105" s="2103">
        <v>1997</v>
      </c>
      <c r="BW105" s="2155">
        <v>1.465619370714605</v>
      </c>
      <c r="BX105" s="607"/>
      <c r="CN105" s="2112">
        <f t="shared" si="45"/>
        <v>1.465619370714605</v>
      </c>
      <c r="CS105" s="559">
        <v>1997</v>
      </c>
      <c r="CT105" s="2156">
        <v>0.5135082027481847</v>
      </c>
      <c r="CU105" s="607">
        <v>0.5135082027481848</v>
      </c>
      <c r="DM105" s="559">
        <v>1997</v>
      </c>
    </row>
    <row r="106" ht="18" customHeight="1" spans="3:117" x14ac:dyDescent="0.25">
      <c r="C106" s="2159">
        <v>1970</v>
      </c>
      <c r="D106" s="2160">
        <v>115.6</v>
      </c>
      <c r="E106" s="2160">
        <v>2000</v>
      </c>
      <c r="F106" s="2160">
        <v>3814.6</v>
      </c>
      <c r="AR106" s="2103">
        <v>1997</v>
      </c>
      <c r="AS106" s="2155"/>
      <c r="AT106" s="607"/>
      <c r="BV106" s="2103">
        <v>1998</v>
      </c>
      <c r="BW106" s="2155">
        <v>0.8571672725429934</v>
      </c>
      <c r="BX106" s="607"/>
      <c r="CN106" s="2112">
        <f t="shared" si="45"/>
        <v>0.8571672725429934</v>
      </c>
      <c r="CS106" s="559">
        <v>1998</v>
      </c>
      <c r="CT106" s="2156">
        <v>0.4803148770875094</v>
      </c>
      <c r="CU106" s="607">
        <v>0.48031487708750936</v>
      </c>
      <c r="DM106" s="559">
        <v>1998</v>
      </c>
    </row>
    <row r="107" ht="18" customHeight="1" spans="3:117" x14ac:dyDescent="0.25">
      <c r="C107" s="2159">
        <v>1980</v>
      </c>
      <c r="D107" s="2160">
        <v>201.8</v>
      </c>
      <c r="E107" s="2160">
        <v>2001</v>
      </c>
      <c r="F107" s="2160">
        <v>5325.8</v>
      </c>
      <c r="AR107" s="2103">
        <v>1998</v>
      </c>
      <c r="AS107" s="2155"/>
      <c r="AT107" s="607"/>
      <c r="BV107" s="2103">
        <v>1999</v>
      </c>
      <c r="BW107" s="2155">
        <v>0.8905613871995075</v>
      </c>
      <c r="BX107" s="607"/>
      <c r="CN107" s="2112">
        <f t="shared" si="45"/>
        <v>0.8905613871995075</v>
      </c>
      <c r="CS107" s="559">
        <v>1999</v>
      </c>
      <c r="CT107" s="2156">
        <v>0.40089418033286345</v>
      </c>
      <c r="CU107" s="607">
        <v>0.40089418033286356</v>
      </c>
      <c r="DM107" s="559">
        <v>1999</v>
      </c>
    </row>
    <row r="108" ht="18" customHeight="1" spans="3:117" x14ac:dyDescent="0.25">
      <c r="C108" s="2159">
        <v>1985</v>
      </c>
      <c r="D108" s="2160">
        <v>244.7</v>
      </c>
      <c r="E108" s="2160">
        <v>2002</v>
      </c>
      <c r="F108" s="2160">
        <v>6831</v>
      </c>
      <c r="AR108" s="2103">
        <v>1999</v>
      </c>
      <c r="AS108" s="2155"/>
      <c r="AT108" s="607"/>
      <c r="BM108" s="2161"/>
      <c r="BV108" s="2103">
        <v>2000</v>
      </c>
      <c r="BW108" s="2155">
        <v>1.0910735084339893</v>
      </c>
      <c r="BX108" s="607"/>
      <c r="CN108" s="2112">
        <f t="shared" si="45"/>
        <v>1.0910735084339893</v>
      </c>
      <c r="CS108" s="559">
        <v>2000</v>
      </c>
      <c r="CT108" s="2156">
        <v>0.40204928609604523</v>
      </c>
      <c r="CU108" s="607">
        <v>0.40204928609604523</v>
      </c>
      <c r="DM108" s="559">
        <v>2000</v>
      </c>
    </row>
    <row r="109" ht="21" customHeight="1" spans="3:117" x14ac:dyDescent="0.25">
      <c r="C109" s="2159">
        <v>1990</v>
      </c>
      <c r="D109" s="2160">
        <v>388.2</v>
      </c>
      <c r="E109" s="2160">
        <v>2003</v>
      </c>
      <c r="F109" s="2160">
        <v>8900.5</v>
      </c>
      <c r="AR109" s="2103">
        <v>2000</v>
      </c>
      <c r="AS109" s="2155"/>
      <c r="AT109" s="607"/>
      <c r="BV109" s="2103">
        <v>2001</v>
      </c>
      <c r="BW109" s="2155">
        <v>1.2043645968535897</v>
      </c>
      <c r="BX109" s="607"/>
      <c r="CN109" s="2112">
        <f t="shared" si="45"/>
        <v>1.2043645968535897</v>
      </c>
      <c r="CS109" s="559">
        <v>2001</v>
      </c>
      <c r="CT109" s="2156">
        <v>0.4302973620437072</v>
      </c>
      <c r="CU109" s="607">
        <v>0.4302973620437072</v>
      </c>
      <c r="DM109" s="559">
        <v>2001</v>
      </c>
    </row>
    <row r="110" ht="18" customHeight="1" spans="3:117" x14ac:dyDescent="0.25">
      <c r="C110" s="2159">
        <v>1991</v>
      </c>
      <c r="D110" s="2160">
        <v>830.5</v>
      </c>
      <c r="E110" s="2160">
        <v>2004</v>
      </c>
      <c r="F110" s="2160">
        <v>10976.3</v>
      </c>
      <c r="AR110" s="2103">
        <v>2001</v>
      </c>
      <c r="AS110" s="2155"/>
      <c r="AT110" s="607"/>
      <c r="BV110" s="2103">
        <v>2002</v>
      </c>
      <c r="BW110" s="2155">
        <v>1.3454454046567674</v>
      </c>
      <c r="BX110" s="607"/>
      <c r="CN110" s="2112">
        <f t="shared" si="45"/>
        <v>1.3454454046567674</v>
      </c>
      <c r="CS110" s="559">
        <v>2002</v>
      </c>
      <c r="CT110" s="2156">
        <v>0.4681553911363844</v>
      </c>
      <c r="CU110" s="607">
        <v>0.46815539113638444</v>
      </c>
      <c r="DM110" s="559">
        <v>2002</v>
      </c>
    </row>
    <row r="111" ht="18" customHeight="1" spans="3:117" x14ac:dyDescent="0.25">
      <c r="C111" s="2159">
        <v>1992</v>
      </c>
      <c r="D111" s="2160">
        <v>7099.9</v>
      </c>
      <c r="E111" s="2160">
        <v>2005</v>
      </c>
      <c r="F111" s="2160">
        <v>13819</v>
      </c>
      <c r="AR111" s="2103">
        <v>2002</v>
      </c>
      <c r="AS111" s="2155"/>
      <c r="AT111" s="607"/>
      <c r="BV111" s="2103">
        <v>2003</v>
      </c>
      <c r="BW111" s="2155">
        <v>1.4850279596592788</v>
      </c>
      <c r="BX111" s="607"/>
      <c r="CN111" s="2112">
        <f t="shared" si="45"/>
        <v>1.4850279596592788</v>
      </c>
      <c r="CS111" s="559">
        <v>2003</v>
      </c>
      <c r="CT111" s="2156">
        <v>0.4717798995677725</v>
      </c>
      <c r="CU111" s="607">
        <v>0.4717798995677725</v>
      </c>
      <c r="DM111" s="559">
        <v>2003</v>
      </c>
    </row>
    <row r="112" ht="18" customHeight="1" spans="3:117" x14ac:dyDescent="0.25">
      <c r="C112" s="2159">
        <v>1993</v>
      </c>
      <c r="D112" s="2160">
        <v>79949</v>
      </c>
      <c r="E112" s="2160">
        <v>2006</v>
      </c>
      <c r="F112" s="2160">
        <v>17290.1</v>
      </c>
      <c r="AR112" s="2103">
        <v>2003</v>
      </c>
      <c r="AS112" s="2155"/>
      <c r="AT112" s="607"/>
      <c r="BV112" s="2103">
        <v>2004</v>
      </c>
      <c r="BW112" s="2155">
        <v>1.6493886216432383</v>
      </c>
      <c r="BX112" s="607"/>
      <c r="CN112" s="2112">
        <f t="shared" si="45"/>
        <v>1.6493886216432383</v>
      </c>
      <c r="CS112" s="559">
        <v>2004</v>
      </c>
      <c r="CT112" s="2156">
        <v>0.46073648070756584</v>
      </c>
      <c r="CU112" s="607">
        <v>0.46073648070756584</v>
      </c>
      <c r="DM112" s="559">
        <v>2004</v>
      </c>
    </row>
    <row r="113" ht="18" customHeight="1" spans="3:117" x14ac:dyDescent="0.25">
      <c r="C113" s="2159">
        <v>1994</v>
      </c>
      <c r="D113" s="2160">
        <v>364834.1</v>
      </c>
      <c r="E113" s="2160">
        <v>2007</v>
      </c>
      <c r="F113" s="2160">
        <v>21311.5</v>
      </c>
      <c r="AR113" s="2103">
        <v>2004</v>
      </c>
      <c r="AS113" s="2155"/>
      <c r="AT113" s="607"/>
      <c r="BV113" s="2103">
        <v>2005</v>
      </c>
      <c r="BW113" s="2155">
        <v>1.7629074929087367</v>
      </c>
      <c r="BX113" s="607"/>
      <c r="CN113" s="2112">
        <f t="shared" si="45"/>
        <v>1.7629074929087367</v>
      </c>
      <c r="CS113" s="559">
        <v>2005</v>
      </c>
      <c r="CT113" s="2156">
        <v>0.43683152734584474</v>
      </c>
      <c r="CU113" s="607">
        <v>0.43683152734584474</v>
      </c>
      <c r="DM113" s="559">
        <v>2005</v>
      </c>
    </row>
    <row r="114" ht="18" customHeight="1" spans="3:117" x14ac:dyDescent="0.25">
      <c r="C114" s="2159">
        <v>1995</v>
      </c>
      <c r="D114" s="2160">
        <v>910921.6</v>
      </c>
      <c r="E114" s="2160">
        <v>2008</v>
      </c>
      <c r="F114" s="2160">
        <v>25244</v>
      </c>
      <c r="AR114" s="2103">
        <v>2005</v>
      </c>
      <c r="AS114" s="2155"/>
      <c r="AT114" s="607"/>
      <c r="BV114" s="2103">
        <v>2006</v>
      </c>
      <c r="BW114" s="2155">
        <v>2.0289294415498413</v>
      </c>
      <c r="BX114" s="607"/>
      <c r="CN114" s="2112">
        <f t="shared" si="45"/>
        <v>2.0289294415498413</v>
      </c>
      <c r="CS114" s="559">
        <v>2006</v>
      </c>
      <c r="CT114" s="2156">
        <v>0.44528789593400453</v>
      </c>
      <c r="CU114" s="607">
        <v>0.4452878959340046</v>
      </c>
      <c r="DM114" s="559">
        <v>2006</v>
      </c>
    </row>
    <row r="115" ht="18" customHeight="1" spans="3:117" x14ac:dyDescent="0.25">
      <c r="C115" s="2159">
        <v>1996</v>
      </c>
      <c r="D115" s="2160">
        <v>1357073.4</v>
      </c>
      <c r="E115" s="2160">
        <v>2009</v>
      </c>
      <c r="F115" s="2160">
        <v>28697.5</v>
      </c>
      <c r="AR115" s="2103">
        <v>2006</v>
      </c>
      <c r="AS115" s="2155"/>
      <c r="AT115" s="607"/>
      <c r="BV115" s="2103">
        <v>2007</v>
      </c>
      <c r="BW115" s="2155">
        <v>2.29618795817524</v>
      </c>
      <c r="BX115" s="607"/>
      <c r="CN115" s="2112">
        <f t="shared" si="45"/>
        <v>2.29618795817524</v>
      </c>
      <c r="CS115" s="559">
        <v>2007</v>
      </c>
      <c r="CT115" s="2156">
        <v>0.4669856030014299</v>
      </c>
      <c r="CU115" s="607">
        <v>0.4669856030014299</v>
      </c>
      <c r="DM115" s="559">
        <v>2007</v>
      </c>
    </row>
    <row r="116" ht="18" customHeight="1" spans="3:117" x14ac:dyDescent="0.25">
      <c r="C116" s="2159">
        <v>1997</v>
      </c>
      <c r="D116" s="2160">
        <v>1656405.1</v>
      </c>
      <c r="E116" s="2160">
        <v>2010</v>
      </c>
      <c r="F116" s="2160">
        <v>32498.3</v>
      </c>
      <c r="AR116" s="2103">
        <v>2007</v>
      </c>
      <c r="AS116" s="2155"/>
      <c r="AT116" s="607"/>
      <c r="BV116" s="2103">
        <v>2008</v>
      </c>
      <c r="BW116" s="2155">
        <v>2.5452330528232636</v>
      </c>
      <c r="BX116" s="607"/>
      <c r="CN116" s="2112">
        <f t="shared" si="45"/>
        <v>2.5452330528232636</v>
      </c>
      <c r="CS116" s="559">
        <v>2008</v>
      </c>
      <c r="CT116" s="2156">
        <v>0.47386756448454886</v>
      </c>
      <c r="CU116" s="607">
        <v>0.473867564484549</v>
      </c>
      <c r="DM116" s="559">
        <v>2008</v>
      </c>
    </row>
    <row r="117" ht="18" customHeight="1" spans="3:117" x14ac:dyDescent="0.25">
      <c r="C117" s="2159">
        <v>1998</v>
      </c>
      <c r="D117" s="2160">
        <v>1776032.4</v>
      </c>
      <c r="E117" s="2160">
        <v>2011</v>
      </c>
      <c r="F117" s="2160">
        <v>35648.7</v>
      </c>
      <c r="AR117" s="2103">
        <v>2008</v>
      </c>
      <c r="AS117" s="2155"/>
      <c r="AT117" s="607"/>
      <c r="BV117" s="2103">
        <v>2009</v>
      </c>
      <c r="BW117" s="2155">
        <v>2.497278933559335</v>
      </c>
      <c r="BX117" s="607"/>
      <c r="CN117" s="2112">
        <f t="shared" si="45"/>
        <v>2.497278933559335</v>
      </c>
      <c r="CS117" s="559">
        <v>2009</v>
      </c>
      <c r="CT117" s="2156">
        <v>0.5259738581617189</v>
      </c>
      <c r="CU117" s="607">
        <v>0.5259738581617189</v>
      </c>
      <c r="DM117" s="559">
        <v>2009</v>
      </c>
    </row>
    <row r="118" ht="18" customHeight="1" spans="3:117" x14ac:dyDescent="0.25">
      <c r="C118" s="2159">
        <v>1999</v>
      </c>
      <c r="D118" s="2160">
        <v>2908.1</v>
      </c>
      <c r="E118" s="2160" t="s">
        <v>1918</v>
      </c>
      <c r="F118" s="2160">
        <v>39623.4</v>
      </c>
      <c r="AR118" s="2103">
        <v>2009</v>
      </c>
      <c r="AS118" s="2155"/>
      <c r="AT118" s="607"/>
      <c r="BV118" s="2103">
        <v>2010</v>
      </c>
      <c r="BW118" s="2155">
        <v>2.5669743863224377</v>
      </c>
      <c r="BX118" s="607"/>
      <c r="CN118" s="2112">
        <f t="shared" si="45"/>
        <v>2.5669743863224377</v>
      </c>
      <c r="CS118" s="559">
        <v>2010</v>
      </c>
      <c r="CT118" s="2156">
        <v>0.49657437848762676</v>
      </c>
      <c r="CU118" s="607">
        <v>0.49657437848762676</v>
      </c>
      <c r="DM118" s="559">
        <v>2010</v>
      </c>
    </row>
    <row r="119" ht="17.5" customHeight="1" spans="3:117" x14ac:dyDescent="0.25">
      <c r="C119" s="2162" t="s">
        <v>1919</v>
      </c>
      <c r="AR119" s="2103">
        <v>2010</v>
      </c>
      <c r="AS119" s="2155"/>
      <c r="AT119" s="607"/>
      <c r="BV119" s="2103">
        <v>2011</v>
      </c>
      <c r="BW119" s="2155">
        <v>2.7400070660747096</v>
      </c>
      <c r="BX119" s="607"/>
      <c r="CN119" s="2112">
        <f t="shared" si="45"/>
        <v>2.7400070660747096</v>
      </c>
      <c r="CS119" s="559">
        <v>2011</v>
      </c>
      <c r="CT119" s="2156">
        <v>0.4377167124164528</v>
      </c>
      <c r="CU119" s="607">
        <v>0.4377167124164528</v>
      </c>
      <c r="DM119" s="559">
        <v>2011</v>
      </c>
    </row>
    <row r="120" ht="17.5" customHeight="1" spans="3:117" x14ac:dyDescent="0.25">
      <c r="C120" s="2163" t="s">
        <v>1920</v>
      </c>
      <c r="D120" s="31"/>
      <c r="E120" s="31"/>
      <c r="F120" s="31"/>
      <c r="G120" s="31"/>
      <c r="H120" s="31"/>
      <c r="AR120" s="2103">
        <v>2011</v>
      </c>
      <c r="AS120" s="2155"/>
      <c r="AT120" s="607"/>
      <c r="BV120" s="2103">
        <v>2012</v>
      </c>
      <c r="BW120" s="2155">
        <v>2.913614075190335</v>
      </c>
      <c r="BX120" s="607"/>
      <c r="CN120" s="2112">
        <f t="shared" si="45"/>
        <v>2.913614075190335</v>
      </c>
      <c r="CS120" s="559">
        <v>2012</v>
      </c>
      <c r="CT120" s="2156">
        <v>0.4430669164738356</v>
      </c>
      <c r="CU120" s="607">
        <v>0.4430669164738356</v>
      </c>
      <c r="DM120" s="559">
        <v>2012</v>
      </c>
    </row>
    <row r="121" ht="17.5" customHeight="1" spans="44:117" x14ac:dyDescent="0.25">
      <c r="AR121" s="2103">
        <v>2012</v>
      </c>
      <c r="AS121" s="2155"/>
      <c r="AT121" s="607"/>
      <c r="BV121" s="2103">
        <v>2013</v>
      </c>
      <c r="BW121" s="2155">
        <v>3.0676926627762775</v>
      </c>
      <c r="BX121" s="607"/>
      <c r="CN121" s="2112">
        <f t="shared" si="45"/>
        <v>3.0676926627762775</v>
      </c>
      <c r="CS121" s="559">
        <v>2013</v>
      </c>
      <c r="CT121" s="2156">
        <v>0.46206047351633556</v>
      </c>
      <c r="CU121" s="607">
        <v>0.46206047351633545</v>
      </c>
      <c r="DM121" s="559">
        <v>2013</v>
      </c>
    </row>
    <row r="122" ht="17.5" customHeight="1" spans="44:117" x14ac:dyDescent="0.25">
      <c r="AR122" s="2103">
        <v>2013</v>
      </c>
      <c r="AS122" s="2155"/>
      <c r="AT122" s="607"/>
      <c r="BV122" s="2103">
        <v>2014</v>
      </c>
      <c r="BW122" s="2155">
        <v>3.0404294602847233</v>
      </c>
      <c r="BX122" s="607"/>
      <c r="CN122" s="2112">
        <f t="shared" si="45"/>
        <v>3.0404294602847233</v>
      </c>
      <c r="CS122" s="559">
        <v>2014</v>
      </c>
      <c r="CT122" s="2156">
        <v>0.4720623435516454</v>
      </c>
      <c r="CU122" s="607">
        <v>0.4720623435516455</v>
      </c>
      <c r="DM122" s="559">
        <v>2014</v>
      </c>
    </row>
    <row r="123" ht="17.5" customHeight="1" spans="44:117" x14ac:dyDescent="0.25">
      <c r="AR123" s="2103">
        <v>2014</v>
      </c>
      <c r="AS123" s="2155"/>
      <c r="AT123" s="607"/>
      <c r="BV123" s="2103">
        <v>2015</v>
      </c>
      <c r="BW123" s="2155">
        <v>2.7139935535586104</v>
      </c>
      <c r="BX123" s="607">
        <f>BW123</f>
        <v>2.7139935535586104</v>
      </c>
      <c r="CN123" s="2112">
        <f t="shared" si="45"/>
        <v>2.7139935535586104</v>
      </c>
      <c r="CS123" s="559">
        <v>2015</v>
      </c>
      <c r="CT123" s="2156">
        <v>0.4576505333154339</v>
      </c>
      <c r="CU123" s="607">
        <v>0.4576505333154338</v>
      </c>
      <c r="DM123" s="559">
        <v>2015</v>
      </c>
    </row>
    <row r="124" ht="18" customHeight="1" spans="44:117" x14ac:dyDescent="0.25">
      <c r="AR124" s="2103">
        <v>2015</v>
      </c>
      <c r="AS124" s="2155"/>
      <c r="AT124" s="607"/>
      <c r="BV124" s="2103">
        <v>2016</v>
      </c>
      <c r="BW124" s="2109">
        <v>2.7539998517348616</v>
      </c>
      <c r="BX124" s="607">
        <f>BW124</f>
        <v>2.7539998517348616</v>
      </c>
      <c r="CN124" s="2112">
        <f>BX124</f>
        <v>2.7539998517348616</v>
      </c>
      <c r="CS124" s="559">
        <v>2016</v>
      </c>
      <c r="CT124" s="2164">
        <v>0.47393722978198793</v>
      </c>
      <c r="CU124" s="607">
        <v>0.473937229781988</v>
      </c>
      <c r="DM124" s="559">
        <v>2016</v>
      </c>
    </row>
    <row r="125" ht="18" customHeight="1" spans="44:117" x14ac:dyDescent="0.25">
      <c r="AR125" s="2103">
        <v>2016</v>
      </c>
      <c r="AS125" s="2109"/>
      <c r="AT125" s="607"/>
      <c r="BV125" s="2103">
        <v>2017</v>
      </c>
      <c r="BW125" s="2109"/>
      <c r="BX125" s="607">
        <f>BX124+0.6*(BX124-BX123)</f>
        <v>2.778003630640612</v>
      </c>
      <c r="CN125" s="2112">
        <f t="shared" ref="CN125:CN138" si="46">BX125</f>
        <v>2.778003630640612</v>
      </c>
      <c r="CS125" s="559">
        <v>2017</v>
      </c>
      <c r="CT125" s="2165"/>
      <c r="CU125" s="607">
        <v>0.46447718007044975</v>
      </c>
      <c r="DM125" s="559">
        <v>2017</v>
      </c>
    </row>
    <row r="126" ht="18" customHeight="1" spans="44:117" x14ac:dyDescent="0.25">
      <c r="AR126" s="2103">
        <v>2017</v>
      </c>
      <c r="AS126" s="2109"/>
      <c r="AT126" s="607"/>
      <c r="BV126" s="2103">
        <v>2018</v>
      </c>
      <c r="BW126" s="2109"/>
      <c r="BX126" s="607">
        <f t="shared" ref="BX126:BX138" si="47">BX125+0.6*(BX125-BX124)</f>
        <v>2.7924058979840627</v>
      </c>
      <c r="CN126" s="2112">
        <f t="shared" si="46"/>
        <v>2.7924058979840627</v>
      </c>
      <c r="CS126" s="559">
        <v>2018</v>
      </c>
      <c r="CT126" s="2165"/>
      <c r="CU126" s="607">
        <v>0.45746679902044296</v>
      </c>
      <c r="DM126" s="559">
        <v>2018</v>
      </c>
    </row>
    <row r="127" ht="18" customHeight="1" spans="44:117" x14ac:dyDescent="0.25">
      <c r="AR127" s="2103">
        <v>2018</v>
      </c>
      <c r="AS127" s="2109"/>
      <c r="AT127" s="607"/>
      <c r="BV127" s="2103">
        <v>2019</v>
      </c>
      <c r="BW127" s="2109"/>
      <c r="BX127" s="607">
        <f t="shared" si="47"/>
        <v>2.801047258390133</v>
      </c>
      <c r="CN127" s="2112">
        <f t="shared" si="46"/>
        <v>2.801047258390133</v>
      </c>
      <c r="CS127" s="559">
        <v>2019</v>
      </c>
      <c r="CT127" s="2165"/>
      <c r="CU127" s="607">
        <v>0.4515429658125385</v>
      </c>
      <c r="DM127" s="559">
        <v>2019</v>
      </c>
    </row>
    <row r="128" ht="18" customHeight="1" spans="44:117" x14ac:dyDescent="0.25">
      <c r="AR128" s="2103">
        <v>2019</v>
      </c>
      <c r="AS128" s="2109"/>
      <c r="AT128" s="607"/>
      <c r="BV128" s="2103">
        <v>2020</v>
      </c>
      <c r="BW128" s="2109"/>
      <c r="BX128" s="607">
        <f t="shared" si="47"/>
        <v>2.806232074633775</v>
      </c>
      <c r="CN128" s="2112">
        <f t="shared" si="46"/>
        <v>2.806232074633775</v>
      </c>
      <c r="CS128" s="559">
        <v>2020</v>
      </c>
      <c r="CT128" s="2165"/>
      <c r="CU128" s="607">
        <v>0.44640571628978615</v>
      </c>
      <c r="DM128" s="559">
        <v>2020</v>
      </c>
    </row>
    <row r="129" ht="18" customHeight="1" spans="44:117" x14ac:dyDescent="0.25">
      <c r="AR129" s="2103">
        <v>2020</v>
      </c>
      <c r="AS129" s="2109"/>
      <c r="AT129" s="607"/>
      <c r="BV129" s="2103">
        <v>2021</v>
      </c>
      <c r="BW129" s="2109"/>
      <c r="BX129" s="607">
        <f t="shared" si="47"/>
        <v>2.809342964379961</v>
      </c>
      <c r="CN129" s="2112">
        <f t="shared" si="46"/>
        <v>2.809342964379961</v>
      </c>
      <c r="CS129" s="559">
        <v>2021</v>
      </c>
      <c r="CT129" s="2165"/>
      <c r="CU129" s="607">
        <v>0.44227857975470125</v>
      </c>
      <c r="DM129" s="559">
        <v>2021</v>
      </c>
    </row>
    <row r="130" ht="18" customHeight="1" spans="44:117" x14ac:dyDescent="0.25">
      <c r="AR130" s="2103">
        <v>2021</v>
      </c>
      <c r="AS130" s="2109"/>
      <c r="AT130" s="607"/>
      <c r="BV130" s="2103">
        <v>2022</v>
      </c>
      <c r="BW130" s="2109"/>
      <c r="BX130" s="607">
        <f t="shared" si="47"/>
        <v>2.8112094982276723</v>
      </c>
      <c r="CN130" s="2112">
        <f t="shared" si="46"/>
        <v>2.8112094982276723</v>
      </c>
      <c r="CS130" s="559">
        <v>2022</v>
      </c>
      <c r="CT130" s="2165"/>
      <c r="CU130" s="607">
        <v>0.4389857556924877</v>
      </c>
      <c r="DM130" s="559">
        <v>2022</v>
      </c>
    </row>
    <row r="131" ht="18" customHeight="1" spans="44:117" x14ac:dyDescent="0.25">
      <c r="AR131" s="2103">
        <v>2022</v>
      </c>
      <c r="AS131" s="2109"/>
      <c r="AT131" s="607"/>
      <c r="BV131" s="2103">
        <v>2023</v>
      </c>
      <c r="BW131" s="2109"/>
      <c r="BX131" s="607">
        <f t="shared" si="47"/>
        <v>2.812329418536299</v>
      </c>
      <c r="CN131" s="2112">
        <f t="shared" si="46"/>
        <v>2.812329418536299</v>
      </c>
      <c r="CS131" s="559">
        <v>2023</v>
      </c>
      <c r="CT131" s="2165"/>
      <c r="CU131" s="607">
        <v>0.43642517109221907</v>
      </c>
      <c r="DM131" s="559">
        <v>2023</v>
      </c>
    </row>
    <row r="132" ht="18" customHeight="1" spans="44:117" x14ac:dyDescent="0.25">
      <c r="AR132" s="2103">
        <v>2023</v>
      </c>
      <c r="AS132" s="2109"/>
      <c r="AT132" s="607"/>
      <c r="BV132" s="2103">
        <v>2024</v>
      </c>
      <c r="BW132" s="2109"/>
      <c r="BX132" s="607">
        <f t="shared" si="47"/>
        <v>2.813001370721475</v>
      </c>
      <c r="CN132" s="2112">
        <f t="shared" si="46"/>
        <v>2.813001370721475</v>
      </c>
      <c r="CS132" s="559">
        <v>2024</v>
      </c>
      <c r="CT132" s="2165"/>
      <c r="CU132" s="607">
        <v>0.4345226298621083</v>
      </c>
      <c r="DM132" s="559">
        <v>2024</v>
      </c>
    </row>
    <row r="133" ht="18" customHeight="1" spans="44:117" x14ac:dyDescent="0.25">
      <c r="AR133" s="2103">
        <v>2024</v>
      </c>
      <c r="AS133" s="2109"/>
      <c r="AT133" s="607"/>
      <c r="BV133" s="2103">
        <v>2025</v>
      </c>
      <c r="BW133" s="2109"/>
      <c r="BX133" s="607">
        <f t="shared" si="47"/>
        <v>2.813404542032581</v>
      </c>
      <c r="CN133" s="2112">
        <f t="shared" si="46"/>
        <v>2.813404542032581</v>
      </c>
      <c r="CS133" s="559">
        <v>2025</v>
      </c>
      <c r="CT133" s="2165"/>
      <c r="CU133" s="607">
        <v>0.43302272061784747</v>
      </c>
      <c r="DM133" s="559">
        <v>2025</v>
      </c>
    </row>
    <row r="134" ht="18" customHeight="1" spans="44:117" x14ac:dyDescent="0.25">
      <c r="AR134" s="2103">
        <v>2025</v>
      </c>
      <c r="AS134" s="2109"/>
      <c r="AT134" s="607"/>
      <c r="BV134" s="2103">
        <v>2026</v>
      </c>
      <c r="BW134" s="2109"/>
      <c r="BX134" s="607">
        <f t="shared" si="47"/>
        <v>2.8136464448192444</v>
      </c>
      <c r="CN134" s="2112">
        <f t="shared" si="46"/>
        <v>2.8136464448192444</v>
      </c>
      <c r="CS134" s="559">
        <v>2026</v>
      </c>
      <c r="CT134" s="2165"/>
      <c r="CU134" s="607">
        <v>0.432121018532981</v>
      </c>
      <c r="DM134" s="559">
        <v>2026</v>
      </c>
    </row>
    <row r="135" ht="18" customHeight="1" spans="44:117" x14ac:dyDescent="0.25">
      <c r="AR135" s="2103">
        <v>2026</v>
      </c>
      <c r="AS135" s="2109"/>
      <c r="AT135" s="607"/>
      <c r="BV135" s="2103">
        <v>2027</v>
      </c>
      <c r="BW135" s="2109"/>
      <c r="BX135" s="607">
        <f t="shared" si="47"/>
        <v>2.8137915864912424</v>
      </c>
      <c r="CN135" s="2112">
        <f t="shared" si="46"/>
        <v>2.8137915864912424</v>
      </c>
      <c r="CS135" s="559">
        <v>2027</v>
      </c>
      <c r="CT135" s="2165"/>
      <c r="CU135" s="607">
        <v>0.431332798333388</v>
      </c>
      <c r="DM135" s="559">
        <v>2027</v>
      </c>
    </row>
    <row r="136" ht="18" customHeight="1" spans="44:117" x14ac:dyDescent="0.25">
      <c r="AR136" s="2103">
        <v>2027</v>
      </c>
      <c r="AS136" s="2109"/>
      <c r="AT136" s="607"/>
      <c r="BV136" s="2103">
        <v>2028</v>
      </c>
      <c r="BW136" s="2109"/>
      <c r="BX136" s="607">
        <f t="shared" si="47"/>
        <v>2.8138786714944413</v>
      </c>
      <c r="CN136" s="2112">
        <f t="shared" si="46"/>
        <v>2.8138786714944413</v>
      </c>
      <c r="CS136" s="559">
        <v>2028</v>
      </c>
      <c r="CT136" s="2165"/>
      <c r="CU136" s="607">
        <v>0.43072890171652023</v>
      </c>
      <c r="DM136" s="559">
        <v>2028</v>
      </c>
    </row>
    <row r="137" ht="18" customHeight="1" spans="44:117" x14ac:dyDescent="0.25">
      <c r="AR137" s="2103">
        <v>2028</v>
      </c>
      <c r="AS137" s="2109"/>
      <c r="AT137" s="607"/>
      <c r="BV137" s="2103">
        <v>2029</v>
      </c>
      <c r="BW137" s="2109"/>
      <c r="BX137" s="607">
        <f t="shared" si="47"/>
        <v>2.8139309224963607</v>
      </c>
      <c r="CN137" s="2112">
        <f t="shared" si="46"/>
        <v>2.8139309224963607</v>
      </c>
      <c r="CS137" s="559">
        <v>2029</v>
      </c>
      <c r="CT137" s="2165"/>
      <c r="CU137" s="607">
        <v>0.4302522811378696</v>
      </c>
      <c r="DM137" s="559">
        <v>2029</v>
      </c>
    </row>
    <row r="138" ht="18" customHeight="1" spans="44:117" x14ac:dyDescent="0.25">
      <c r="AR138" s="2103">
        <v>2029</v>
      </c>
      <c r="AS138" s="2109"/>
      <c r="AT138" s="607"/>
      <c r="BV138" s="1952">
        <v>2030</v>
      </c>
      <c r="BW138" s="616"/>
      <c r="BX138" s="2166">
        <f t="shared" si="47"/>
        <v>2.8139622730975122</v>
      </c>
      <c r="CN138" s="2167">
        <f t="shared" si="46"/>
        <v>2.8139622730975122</v>
      </c>
      <c r="CS138" s="960">
        <v>2030</v>
      </c>
      <c r="CT138" s="2168"/>
      <c r="CU138" s="2166">
        <v>0.4297594903151827</v>
      </c>
      <c r="DM138" s="960">
        <v>2030</v>
      </c>
    </row>
    <row r="139" ht="17.5" customHeight="1" spans="44:99" x14ac:dyDescent="0.25">
      <c r="AR139" s="1952">
        <v>2030</v>
      </c>
      <c r="AS139" s="616"/>
      <c r="AT139" s="607"/>
      <c r="CU139" s="164"/>
    </row>
    <row r="145" ht="20.5" customHeight="1" spans="43:47" x14ac:dyDescent="0.25">
      <c r="AQ145" s="1769" t="s">
        <v>1921</v>
      </c>
      <c r="AR145" s="1769"/>
      <c r="AS145" s="1769"/>
      <c r="AT145" s="1769"/>
      <c r="AU145" s="1769"/>
    </row>
    <row r="146" ht="16.25" customHeight="1" spans="40:67" x14ac:dyDescent="0.25">
      <c r="AN146" s="1429" t="s">
        <v>1922</v>
      </c>
      <c r="AO146" s="2169" t="s">
        <v>1923</v>
      </c>
      <c r="AP146" s="2169" t="s">
        <v>1924</v>
      </c>
      <c r="AQ146" s="2169" t="s">
        <v>1925</v>
      </c>
      <c r="AR146" s="2169" t="s">
        <v>1926</v>
      </c>
      <c r="AS146" s="2169" t="s">
        <v>1927</v>
      </c>
      <c r="AT146" s="2169" t="s">
        <v>1928</v>
      </c>
      <c r="AU146" s="2169" t="s">
        <v>1929</v>
      </c>
      <c r="AV146" s="2169" t="s">
        <v>1930</v>
      </c>
      <c r="AW146" s="2169" t="s">
        <v>1931</v>
      </c>
      <c r="AX146" s="2169" t="s">
        <v>1932</v>
      </c>
      <c r="AY146" s="2169" t="s">
        <v>1933</v>
      </c>
      <c r="AZ146" s="2170" t="s">
        <v>1915</v>
      </c>
      <c r="BC146" s="1429" t="s">
        <v>1922</v>
      </c>
      <c r="BD146" s="2169" t="s">
        <v>1923</v>
      </c>
      <c r="BE146" s="2169" t="s">
        <v>1924</v>
      </c>
      <c r="BF146" s="2169" t="s">
        <v>1925</v>
      </c>
      <c r="BG146" s="2169" t="s">
        <v>1926</v>
      </c>
      <c r="BH146" s="2169" t="s">
        <v>1927</v>
      </c>
      <c r="BI146" s="2169" t="s">
        <v>1928</v>
      </c>
      <c r="BJ146" s="2169" t="s">
        <v>1929</v>
      </c>
      <c r="BK146" s="2169" t="s">
        <v>1930</v>
      </c>
      <c r="BL146" s="2169" t="s">
        <v>1931</v>
      </c>
      <c r="BM146" s="2169" t="s">
        <v>1932</v>
      </c>
      <c r="BN146" s="2169" t="s">
        <v>1933</v>
      </c>
      <c r="BO146" s="2170" t="s">
        <v>1915</v>
      </c>
    </row>
    <row r="147" ht="18" customHeight="1" spans="39:54" x14ac:dyDescent="0.25">
      <c r="AM147" s="2171">
        <v>2019</v>
      </c>
      <c r="AN147" s="123">
        <v>1.01</v>
      </c>
      <c r="AO147" s="123">
        <v>0.44</v>
      </c>
      <c r="AP147" s="123">
        <v>0.32</v>
      </c>
      <c r="AQ147" s="123">
        <v>0.29</v>
      </c>
      <c r="AR147" s="123">
        <v>0.34</v>
      </c>
      <c r="AS147" s="123">
        <v>0.04</v>
      </c>
      <c r="AT147" s="123">
        <v>0.2</v>
      </c>
      <c r="AU147" s="123"/>
      <c r="AV147" s="123"/>
      <c r="AW147" s="123"/>
      <c r="AX147" s="123"/>
      <c r="AY147" s="123"/>
      <c r="AZ147" s="2171">
        <v>2.67</v>
      </c>
      <c r="BB147" s="2172">
        <v>2019</v>
      </c>
    </row>
    <row r="148" ht="17.5" customHeight="1" spans="39:67" x14ac:dyDescent="0.25">
      <c r="AM148" s="2173">
        <v>2018</v>
      </c>
      <c r="AN148" s="123">
        <v>0.31</v>
      </c>
      <c r="AO148" s="123">
        <v>0.21</v>
      </c>
      <c r="AP148" s="123">
        <v>0.29</v>
      </c>
      <c r="AQ148" s="123">
        <v>0.38</v>
      </c>
      <c r="AR148" s="123">
        <v>0.38</v>
      </c>
      <c r="AS148" s="123">
        <v>0.49</v>
      </c>
      <c r="AT148" s="123">
        <v>0.27</v>
      </c>
      <c r="AU148" s="123">
        <v>0.01</v>
      </c>
      <c r="AV148" s="123">
        <v>0.16</v>
      </c>
      <c r="AW148" s="123">
        <v>0.35</v>
      </c>
      <c r="AX148" s="123">
        <v>0.5</v>
      </c>
      <c r="AY148" s="123">
        <v>0.84</v>
      </c>
      <c r="AZ148" s="2173">
        <v>4.27</v>
      </c>
      <c r="BB148" s="2174">
        <v>2018</v>
      </c>
      <c r="BC148" s="2175">
        <f t="shared" ref="BC148:BC175" si="48">1+AN148/100</f>
        <v>1.0031</v>
      </c>
      <c r="BD148" s="2175">
        <f t="shared" ref="BD148:BD175" si="49">1+AO148/100</f>
        <v>1.0021</v>
      </c>
      <c r="BE148" s="2175">
        <f t="shared" ref="BE148:BE175" si="50">1+AP148/100</f>
        <v>1.0029</v>
      </c>
      <c r="BF148" s="2175">
        <f t="shared" ref="BF148:BF175" si="51">1+AQ148/100</f>
        <v>1.0038</v>
      </c>
      <c r="BG148" s="2175">
        <f t="shared" ref="BG148:BG175" si="52">1+AR148/100</f>
        <v>1.0038</v>
      </c>
      <c r="BH148" s="2175">
        <f t="shared" ref="BH148:BH175" si="53">1+AS148/100</f>
        <v>1.0049</v>
      </c>
      <c r="BI148" s="2175">
        <f t="shared" ref="BI148:BI175" si="54">1+AT148/100</f>
        <v>1.0027</v>
      </c>
      <c r="BJ148" s="2175">
        <f t="shared" ref="BJ148:BJ175" si="55">1+AU148/100</f>
        <v>1.0001</v>
      </c>
      <c r="BK148" s="2175">
        <f t="shared" ref="BK148:BK175" si="56">1+AV148/100</f>
        <v>1.0016</v>
      </c>
      <c r="BL148" s="2175">
        <f t="shared" ref="BL148:BL175" si="57">1+AW148/100</f>
        <v>1.0035</v>
      </c>
      <c r="BM148" s="2175">
        <f t="shared" ref="BM148:BM175" si="58">1+AX148/100</f>
        <v>1.005</v>
      </c>
      <c r="BN148" s="2176">
        <f t="shared" ref="BN148:BN175" si="59">1+AY148/100</f>
        <v>1.0084</v>
      </c>
      <c r="BO148" s="2177">
        <f t="shared" ref="BO148:BO175" si="60">PRODUCT(BC148:BN148)</f>
        <v>1.0426899472181514</v>
      </c>
    </row>
    <row r="149" ht="17.5" customHeight="1" spans="39:67" x14ac:dyDescent="0.25">
      <c r="AM149" s="2173">
        <v>2017</v>
      </c>
      <c r="AN149" s="123">
        <v>0.62</v>
      </c>
      <c r="AO149" s="123">
        <v>0.22</v>
      </c>
      <c r="AP149" s="123">
        <v>0.13</v>
      </c>
      <c r="AQ149" s="123">
        <v>0.33</v>
      </c>
      <c r="AR149" s="123">
        <v>0.37</v>
      </c>
      <c r="AS149" s="123">
        <v>0.61</v>
      </c>
      <c r="AT149" s="123">
        <v>0.07</v>
      </c>
      <c r="AU149" s="123">
        <v>-0.54</v>
      </c>
      <c r="AV149" s="123">
        <v>-0.15</v>
      </c>
      <c r="AW149" s="123">
        <v>0.2</v>
      </c>
      <c r="AX149" s="123">
        <v>0.22</v>
      </c>
      <c r="AY149" s="123">
        <v>0.42</v>
      </c>
      <c r="AZ149" s="2173">
        <v>2.52</v>
      </c>
      <c r="BB149" s="2174">
        <v>2017</v>
      </c>
      <c r="BC149" s="2131">
        <f t="shared" si="48"/>
        <v>1.0062</v>
      </c>
      <c r="BD149" s="2131">
        <f t="shared" si="49"/>
        <v>1.0022</v>
      </c>
      <c r="BE149" s="2131">
        <f t="shared" si="50"/>
        <v>1.0013</v>
      </c>
      <c r="BF149" s="2131">
        <f t="shared" si="51"/>
        <v>1.0033</v>
      </c>
      <c r="BG149" s="2131">
        <f t="shared" si="52"/>
        <v>1.0037</v>
      </c>
      <c r="BH149" s="2131">
        <f t="shared" si="53"/>
        <v>1.0061</v>
      </c>
      <c r="BI149" s="2131">
        <f t="shared" si="54"/>
        <v>1.0007</v>
      </c>
      <c r="BJ149" s="2131">
        <f t="shared" si="55"/>
        <v>0.9946</v>
      </c>
      <c r="BK149" s="2131">
        <f t="shared" si="56"/>
        <v>0.9985</v>
      </c>
      <c r="BL149" s="2131">
        <f t="shared" si="57"/>
        <v>1.002</v>
      </c>
      <c r="BM149" s="2131">
        <f t="shared" si="58"/>
        <v>1.0022</v>
      </c>
      <c r="BN149" s="2178">
        <f t="shared" si="59"/>
        <v>1.0042</v>
      </c>
      <c r="BO149" s="2177">
        <f t="shared" si="60"/>
        <v>1.0252306324663158</v>
      </c>
    </row>
    <row r="150" ht="17.5" customHeight="1" spans="39:67" x14ac:dyDescent="0.25">
      <c r="AM150" s="2173">
        <v>2016</v>
      </c>
      <c r="AN150" s="123">
        <v>0.96</v>
      </c>
      <c r="AO150" s="123">
        <v>0.63</v>
      </c>
      <c r="AP150" s="123">
        <v>0.46</v>
      </c>
      <c r="AQ150" s="123">
        <v>0.44</v>
      </c>
      <c r="AR150" s="123">
        <v>0.41</v>
      </c>
      <c r="AS150" s="123">
        <v>0.36</v>
      </c>
      <c r="AT150" s="123">
        <v>0.54</v>
      </c>
      <c r="AU150" s="123">
        <v>0.01</v>
      </c>
      <c r="AV150" s="123">
        <v>0.17</v>
      </c>
      <c r="AW150" s="123">
        <v>0.43</v>
      </c>
      <c r="AX150" s="123">
        <v>0.44</v>
      </c>
      <c r="AY150" s="123">
        <v>0.4</v>
      </c>
      <c r="AZ150" s="2173">
        <v>5.38</v>
      </c>
      <c r="BB150" s="2174">
        <v>2016</v>
      </c>
      <c r="BC150" s="2131">
        <f t="shared" si="48"/>
        <v>1.0096</v>
      </c>
      <c r="BD150" s="2131">
        <f t="shared" si="49"/>
        <v>1.0063</v>
      </c>
      <c r="BE150" s="2131">
        <f t="shared" si="50"/>
        <v>1.0046</v>
      </c>
      <c r="BF150" s="2131">
        <f t="shared" si="51"/>
        <v>1.0044</v>
      </c>
      <c r="BG150" s="2131">
        <f t="shared" si="52"/>
        <v>1.0041</v>
      </c>
      <c r="BH150" s="2131">
        <f t="shared" si="53"/>
        <v>1.0036</v>
      </c>
      <c r="BI150" s="2131">
        <f t="shared" si="54"/>
        <v>1.0054</v>
      </c>
      <c r="BJ150" s="2131">
        <f t="shared" si="55"/>
        <v>1.0001</v>
      </c>
      <c r="BK150" s="2131">
        <f t="shared" si="56"/>
        <v>1.0017</v>
      </c>
      <c r="BL150" s="2131">
        <f t="shared" si="57"/>
        <v>1.0043</v>
      </c>
      <c r="BM150" s="2131">
        <f t="shared" si="58"/>
        <v>1.0044</v>
      </c>
      <c r="BN150" s="2178">
        <f t="shared" si="59"/>
        <v>1.004</v>
      </c>
      <c r="BO150" s="2177">
        <f t="shared" si="60"/>
        <v>1.0537514219067174</v>
      </c>
    </row>
    <row r="151" ht="17.5" customHeight="1" spans="39:67" x14ac:dyDescent="0.25">
      <c r="AM151" s="2173">
        <v>2015</v>
      </c>
      <c r="AN151" s="123">
        <v>3.85</v>
      </c>
      <c r="AO151" s="123">
        <v>2.22</v>
      </c>
      <c r="AP151" s="123">
        <v>1.21</v>
      </c>
      <c r="AQ151" s="123">
        <v>0.46</v>
      </c>
      <c r="AR151" s="123">
        <v>0.35</v>
      </c>
      <c r="AS151" s="123">
        <v>0.19</v>
      </c>
      <c r="AT151" s="123">
        <v>0.8</v>
      </c>
      <c r="AU151" s="123">
        <v>0.35</v>
      </c>
      <c r="AV151" s="123">
        <v>0.57</v>
      </c>
      <c r="AW151" s="123">
        <v>0.74</v>
      </c>
      <c r="AX151" s="123">
        <v>0.75</v>
      </c>
      <c r="AY151" s="123">
        <v>0.77</v>
      </c>
      <c r="AZ151" s="2173">
        <v>12.91</v>
      </c>
      <c r="BB151" s="2174">
        <v>2015</v>
      </c>
      <c r="BC151" s="2131">
        <f t="shared" si="48"/>
        <v>1.0385</v>
      </c>
      <c r="BD151" s="2131">
        <f t="shared" si="49"/>
        <v>1.0222</v>
      </c>
      <c r="BE151" s="2131">
        <f t="shared" si="50"/>
        <v>1.0121</v>
      </c>
      <c r="BF151" s="2131">
        <f t="shared" si="51"/>
        <v>1.0046</v>
      </c>
      <c r="BG151" s="2131">
        <f t="shared" si="52"/>
        <v>1.0035</v>
      </c>
      <c r="BH151" s="2131">
        <f t="shared" si="53"/>
        <v>1.0019</v>
      </c>
      <c r="BI151" s="2131">
        <f t="shared" si="54"/>
        <v>1.008</v>
      </c>
      <c r="BJ151" s="2131">
        <f t="shared" si="55"/>
        <v>1.0035</v>
      </c>
      <c r="BK151" s="2131">
        <f t="shared" si="56"/>
        <v>1.0057</v>
      </c>
      <c r="BL151" s="2131">
        <f t="shared" si="57"/>
        <v>1.0074</v>
      </c>
      <c r="BM151" s="2131">
        <f t="shared" si="58"/>
        <v>1.0075</v>
      </c>
      <c r="BN151" s="2178">
        <f t="shared" si="59"/>
        <v>1.0077</v>
      </c>
      <c r="BO151" s="2177">
        <f t="shared" si="60"/>
        <v>1.1290816482202872</v>
      </c>
    </row>
    <row r="152" ht="17.5" customHeight="1" spans="39:67" x14ac:dyDescent="0.25">
      <c r="AM152" s="2173">
        <v>2014</v>
      </c>
      <c r="AN152" s="123">
        <v>0.59</v>
      </c>
      <c r="AO152" s="123">
        <v>0.7</v>
      </c>
      <c r="AP152" s="123">
        <v>1.02</v>
      </c>
      <c r="AQ152" s="123">
        <v>0.9</v>
      </c>
      <c r="AR152" s="123">
        <v>0.9</v>
      </c>
      <c r="AS152" s="123">
        <v>0.62</v>
      </c>
      <c r="AT152" s="123">
        <v>0.49</v>
      </c>
      <c r="AU152" s="123">
        <v>0.24</v>
      </c>
      <c r="AV152" s="123">
        <v>0.65</v>
      </c>
      <c r="AW152" s="123">
        <v>0.82</v>
      </c>
      <c r="AX152" s="123">
        <v>1.28</v>
      </c>
      <c r="AY152" s="123">
        <v>2.62</v>
      </c>
      <c r="AZ152" s="2173">
        <v>11.36</v>
      </c>
      <c r="BB152" s="2174">
        <v>2014</v>
      </c>
      <c r="BC152" s="2131">
        <f t="shared" si="48"/>
        <v>1.0059</v>
      </c>
      <c r="BD152" s="2131">
        <f t="shared" si="49"/>
        <v>1.007</v>
      </c>
      <c r="BE152" s="2131">
        <f t="shared" si="50"/>
        <v>1.0102</v>
      </c>
      <c r="BF152" s="2131">
        <f t="shared" si="51"/>
        <v>1.009</v>
      </c>
      <c r="BG152" s="2131">
        <f t="shared" si="52"/>
        <v>1.009</v>
      </c>
      <c r="BH152" s="2131">
        <f t="shared" si="53"/>
        <v>1.0062</v>
      </c>
      <c r="BI152" s="2131">
        <f t="shared" si="54"/>
        <v>1.0049</v>
      </c>
      <c r="BJ152" s="2131">
        <f t="shared" si="55"/>
        <v>1.0024</v>
      </c>
      <c r="BK152" s="2131">
        <f t="shared" si="56"/>
        <v>1.0065</v>
      </c>
      <c r="BL152" s="2131">
        <f t="shared" si="57"/>
        <v>1.0082</v>
      </c>
      <c r="BM152" s="2131">
        <f t="shared" si="58"/>
        <v>1.0128</v>
      </c>
      <c r="BN152" s="2178">
        <f t="shared" si="59"/>
        <v>1.0262</v>
      </c>
      <c r="BO152" s="2177">
        <f t="shared" si="60"/>
        <v>1.1136234510331722</v>
      </c>
    </row>
    <row r="153" ht="17.5" customHeight="1" spans="39:67" x14ac:dyDescent="0.25">
      <c r="AM153" s="2173">
        <v>2013</v>
      </c>
      <c r="AN153" s="123">
        <v>0.97</v>
      </c>
      <c r="AO153" s="123">
        <v>0.56</v>
      </c>
      <c r="AP153" s="123">
        <v>0.34</v>
      </c>
      <c r="AQ153" s="123">
        <v>0.51</v>
      </c>
      <c r="AR153" s="123">
        <v>0.66</v>
      </c>
      <c r="AS153" s="123">
        <v>0.42</v>
      </c>
      <c r="AT153" s="123">
        <v>0.82</v>
      </c>
      <c r="AU153" s="123">
        <v>0.14</v>
      </c>
      <c r="AV153" s="123">
        <v>0.21</v>
      </c>
      <c r="AW153" s="123">
        <v>0.57</v>
      </c>
      <c r="AX153" s="123">
        <v>0.56</v>
      </c>
      <c r="AY153" s="123">
        <v>0.51</v>
      </c>
      <c r="AZ153" s="2173">
        <v>6.45</v>
      </c>
      <c r="BB153" s="2174">
        <v>2013</v>
      </c>
      <c r="BC153" s="2131">
        <f t="shared" si="48"/>
        <v>1.0097</v>
      </c>
      <c r="BD153" s="2131">
        <f t="shared" si="49"/>
        <v>1.0056</v>
      </c>
      <c r="BE153" s="2131">
        <f t="shared" si="50"/>
        <v>1.0034</v>
      </c>
      <c r="BF153" s="2131">
        <f t="shared" si="51"/>
        <v>1.0051</v>
      </c>
      <c r="BG153" s="2131">
        <f t="shared" si="52"/>
        <v>1.0066</v>
      </c>
      <c r="BH153" s="2131">
        <f t="shared" si="53"/>
        <v>1.0042</v>
      </c>
      <c r="BI153" s="2131">
        <f t="shared" si="54"/>
        <v>1.0082</v>
      </c>
      <c r="BJ153" s="2131">
        <f t="shared" si="55"/>
        <v>1.0014</v>
      </c>
      <c r="BK153" s="2131">
        <f t="shared" si="56"/>
        <v>1.0021</v>
      </c>
      <c r="BL153" s="2131">
        <f t="shared" si="57"/>
        <v>1.0057</v>
      </c>
      <c r="BM153" s="2131">
        <f t="shared" si="58"/>
        <v>1.0056</v>
      </c>
      <c r="BN153" s="2178">
        <f t="shared" si="59"/>
        <v>1.0051</v>
      </c>
      <c r="BO153" s="2177">
        <f t="shared" si="60"/>
        <v>1.0645019560618585</v>
      </c>
    </row>
    <row r="154" ht="17.5" customHeight="1" spans="39:67" x14ac:dyDescent="0.25">
      <c r="AM154" s="2173">
        <v>2012</v>
      </c>
      <c r="AN154" s="123">
        <v>0.5</v>
      </c>
      <c r="AO154" s="123">
        <v>0.37</v>
      </c>
      <c r="AP154" s="123">
        <v>0.58</v>
      </c>
      <c r="AQ154" s="123">
        <v>0.31</v>
      </c>
      <c r="AR154" s="123">
        <v>0.52</v>
      </c>
      <c r="AS154" s="123">
        <v>0.89</v>
      </c>
      <c r="AT154" s="123">
        <v>1.23</v>
      </c>
      <c r="AU154" s="123">
        <v>0.1</v>
      </c>
      <c r="AV154" s="123">
        <v>0.55</v>
      </c>
      <c r="AW154" s="123">
        <v>0.46</v>
      </c>
      <c r="AX154" s="123">
        <v>0.34</v>
      </c>
      <c r="AY154" s="123">
        <v>0.54</v>
      </c>
      <c r="AZ154" s="2173">
        <v>6.58</v>
      </c>
      <c r="BB154" s="2174">
        <v>2012</v>
      </c>
      <c r="BC154" s="2131">
        <f t="shared" si="48"/>
        <v>1.005</v>
      </c>
      <c r="BD154" s="2131">
        <f t="shared" si="49"/>
        <v>1.0037</v>
      </c>
      <c r="BE154" s="2131">
        <f t="shared" si="50"/>
        <v>1.0058</v>
      </c>
      <c r="BF154" s="2131">
        <f t="shared" si="51"/>
        <v>1.0031</v>
      </c>
      <c r="BG154" s="2131">
        <f t="shared" si="52"/>
        <v>1.0052</v>
      </c>
      <c r="BH154" s="2131">
        <f t="shared" si="53"/>
        <v>1.0089</v>
      </c>
      <c r="BI154" s="2131">
        <f t="shared" si="54"/>
        <v>1.0123</v>
      </c>
      <c r="BJ154" s="2131">
        <f t="shared" si="55"/>
        <v>1.001</v>
      </c>
      <c r="BK154" s="2131">
        <f t="shared" si="56"/>
        <v>1.0055</v>
      </c>
      <c r="BL154" s="2131">
        <f t="shared" si="57"/>
        <v>1.0046</v>
      </c>
      <c r="BM154" s="2131">
        <f t="shared" si="58"/>
        <v>1.0034</v>
      </c>
      <c r="BN154" s="2178">
        <f t="shared" si="59"/>
        <v>1.0054</v>
      </c>
      <c r="BO154" s="2177">
        <f t="shared" si="60"/>
        <v>1.0657565003833114</v>
      </c>
    </row>
    <row r="155" ht="17.5" customHeight="1" spans="39:67" x14ac:dyDescent="0.25">
      <c r="AM155" s="2173">
        <v>2011</v>
      </c>
      <c r="AN155" s="123">
        <v>2.37</v>
      </c>
      <c r="AO155" s="123">
        <v>0.78</v>
      </c>
      <c r="AP155" s="123">
        <v>0.62</v>
      </c>
      <c r="AQ155" s="123">
        <v>0.43</v>
      </c>
      <c r="AR155" s="123">
        <v>0.48</v>
      </c>
      <c r="AS155" s="123">
        <v>0.23</v>
      </c>
      <c r="AT155" s="123">
        <v>-0.01</v>
      </c>
      <c r="AU155" s="123">
        <v>-0.24</v>
      </c>
      <c r="AV155" s="123">
        <v>-0.04</v>
      </c>
      <c r="AW155" s="123">
        <v>0.48</v>
      </c>
      <c r="AX155" s="123">
        <v>0.42</v>
      </c>
      <c r="AY155" s="123">
        <v>0.44</v>
      </c>
      <c r="AZ155" s="2173">
        <v>6.1</v>
      </c>
      <c r="BB155" s="2174">
        <v>2011</v>
      </c>
      <c r="BC155" s="2131">
        <f t="shared" si="48"/>
        <v>1.0237</v>
      </c>
      <c r="BD155" s="2131">
        <f t="shared" si="49"/>
        <v>1.0078</v>
      </c>
      <c r="BE155" s="2131">
        <f t="shared" si="50"/>
        <v>1.0062</v>
      </c>
      <c r="BF155" s="2131">
        <f t="shared" si="51"/>
        <v>1.0043</v>
      </c>
      <c r="BG155" s="2131">
        <f t="shared" si="52"/>
        <v>1.0048</v>
      </c>
      <c r="BH155" s="2131">
        <f t="shared" si="53"/>
        <v>1.0023</v>
      </c>
      <c r="BI155" s="2131">
        <f t="shared" si="54"/>
        <v>0.9999</v>
      </c>
      <c r="BJ155" s="2131">
        <f t="shared" si="55"/>
        <v>0.9976</v>
      </c>
      <c r="BK155" s="2131">
        <f t="shared" si="56"/>
        <v>0.9996</v>
      </c>
      <c r="BL155" s="2131">
        <f t="shared" si="57"/>
        <v>1.0048</v>
      </c>
      <c r="BM155" s="2131">
        <f t="shared" si="58"/>
        <v>1.0042</v>
      </c>
      <c r="BN155" s="2178">
        <f t="shared" si="59"/>
        <v>1.0044</v>
      </c>
      <c r="BO155" s="2177">
        <f t="shared" si="60"/>
        <v>1.0610063754221557</v>
      </c>
    </row>
    <row r="156" ht="17.5" customHeight="1" spans="39:67" x14ac:dyDescent="0.25">
      <c r="AM156" s="2173">
        <v>2010</v>
      </c>
      <c r="AN156" s="123">
        <v>1.64</v>
      </c>
      <c r="AO156" s="123">
        <v>0.86</v>
      </c>
      <c r="AP156" s="123">
        <v>0.63</v>
      </c>
      <c r="AQ156" s="123">
        <v>0.29</v>
      </c>
      <c r="AR156" s="123">
        <v>0.5</v>
      </c>
      <c r="AS156" s="123">
        <v>0.39</v>
      </c>
      <c r="AT156" s="123">
        <v>0.36</v>
      </c>
      <c r="AU156" s="123">
        <v>0.55</v>
      </c>
      <c r="AV156" s="123">
        <v>0.84</v>
      </c>
      <c r="AW156" s="123">
        <v>0.5</v>
      </c>
      <c r="AX156" s="123">
        <v>0.81</v>
      </c>
      <c r="AY156" s="123">
        <v>1.08</v>
      </c>
      <c r="AZ156" s="2173">
        <v>8.78</v>
      </c>
      <c r="BB156" s="2174">
        <v>2010</v>
      </c>
      <c r="BC156" s="2131">
        <f t="shared" si="48"/>
        <v>1.0164</v>
      </c>
      <c r="BD156" s="2131">
        <f t="shared" si="49"/>
        <v>1.0086</v>
      </c>
      <c r="BE156" s="2131">
        <f t="shared" si="50"/>
        <v>1.0063</v>
      </c>
      <c r="BF156" s="2131">
        <f t="shared" si="51"/>
        <v>1.0029</v>
      </c>
      <c r="BG156" s="2131">
        <f t="shared" si="52"/>
        <v>1.005</v>
      </c>
      <c r="BH156" s="2131">
        <f t="shared" si="53"/>
        <v>1.0039</v>
      </c>
      <c r="BI156" s="2131">
        <f t="shared" si="54"/>
        <v>1.0036</v>
      </c>
      <c r="BJ156" s="2131">
        <f t="shared" si="55"/>
        <v>1.0055</v>
      </c>
      <c r="BK156" s="2131">
        <f t="shared" si="56"/>
        <v>1.0084</v>
      </c>
      <c r="BL156" s="2131">
        <f t="shared" si="57"/>
        <v>1.005</v>
      </c>
      <c r="BM156" s="2131">
        <f t="shared" si="58"/>
        <v>1.0081</v>
      </c>
      <c r="BN156" s="2178">
        <f t="shared" si="59"/>
        <v>1.0108</v>
      </c>
      <c r="BO156" s="2177">
        <f t="shared" si="60"/>
        <v>1.087766587220012</v>
      </c>
    </row>
    <row r="157" ht="17.5" customHeight="1" spans="39:67" x14ac:dyDescent="0.25">
      <c r="AM157" s="2173">
        <v>2009</v>
      </c>
      <c r="AN157" s="123">
        <v>2.37</v>
      </c>
      <c r="AO157" s="123">
        <v>1.65</v>
      </c>
      <c r="AP157" s="123">
        <v>1.31</v>
      </c>
      <c r="AQ157" s="123">
        <v>0.69</v>
      </c>
      <c r="AR157" s="123">
        <v>0.57</v>
      </c>
      <c r="AS157" s="123">
        <v>0.6</v>
      </c>
      <c r="AT157" s="123">
        <v>0.63</v>
      </c>
      <c r="AU157" s="123">
        <v>0</v>
      </c>
      <c r="AV157" s="123">
        <v>-0.03</v>
      </c>
      <c r="AW157" s="123">
        <v>0</v>
      </c>
      <c r="AX157" s="123">
        <v>0.29</v>
      </c>
      <c r="AY157" s="123">
        <v>0.41</v>
      </c>
      <c r="AZ157" s="2173">
        <v>8.8</v>
      </c>
      <c r="BB157" s="2174">
        <v>2009</v>
      </c>
      <c r="BC157" s="2131">
        <f t="shared" si="48"/>
        <v>1.0237</v>
      </c>
      <c r="BD157" s="2131">
        <f t="shared" si="49"/>
        <v>1.0165</v>
      </c>
      <c r="BE157" s="2131">
        <f t="shared" si="50"/>
        <v>1.0131000000000001</v>
      </c>
      <c r="BF157" s="2131">
        <f t="shared" si="51"/>
        <v>1.0069</v>
      </c>
      <c r="BG157" s="2131">
        <f t="shared" si="52"/>
        <v>1.0057</v>
      </c>
      <c r="BH157" s="2131">
        <f t="shared" si="53"/>
        <v>1.006</v>
      </c>
      <c r="BI157" s="2131">
        <f t="shared" si="54"/>
        <v>1.0063</v>
      </c>
      <c r="BJ157" s="2131">
        <f t="shared" si="55"/>
        <v>1</v>
      </c>
      <c r="BK157" s="2131">
        <f t="shared" si="56"/>
        <v>0.9997</v>
      </c>
      <c r="BL157" s="2131">
        <f t="shared" si="57"/>
        <v>1</v>
      </c>
      <c r="BM157" s="2131">
        <f t="shared" si="58"/>
        <v>1.0029</v>
      </c>
      <c r="BN157" s="2178">
        <f t="shared" si="59"/>
        <v>1.0041</v>
      </c>
      <c r="BO157" s="2177">
        <f t="shared" si="60"/>
        <v>1.0879700409423458</v>
      </c>
    </row>
    <row r="158" ht="17.5" customHeight="1" spans="39:67" x14ac:dyDescent="0.25">
      <c r="AM158" s="2173">
        <v>2008</v>
      </c>
      <c r="AN158" s="123">
        <v>2.31</v>
      </c>
      <c r="AO158" s="123">
        <v>1.2</v>
      </c>
      <c r="AP158" s="123">
        <v>1.2</v>
      </c>
      <c r="AQ158" s="123">
        <v>1.42</v>
      </c>
      <c r="AR158" s="123">
        <v>1.35</v>
      </c>
      <c r="AS158" s="123">
        <v>0.97</v>
      </c>
      <c r="AT158" s="123">
        <v>0.51</v>
      </c>
      <c r="AU158" s="123">
        <v>0.36</v>
      </c>
      <c r="AV158" s="123">
        <v>0.8</v>
      </c>
      <c r="AW158" s="123">
        <v>0.91</v>
      </c>
      <c r="AX158" s="123">
        <v>0.83</v>
      </c>
      <c r="AY158" s="123">
        <v>0.69</v>
      </c>
      <c r="AZ158" s="2173">
        <v>13.28</v>
      </c>
      <c r="BB158" s="2174">
        <v>2008</v>
      </c>
      <c r="BC158" s="2131">
        <f t="shared" si="48"/>
        <v>1.0231</v>
      </c>
      <c r="BD158" s="2131">
        <f t="shared" si="49"/>
        <v>1.012</v>
      </c>
      <c r="BE158" s="2131">
        <f t="shared" si="50"/>
        <v>1.012</v>
      </c>
      <c r="BF158" s="2131">
        <f t="shared" si="51"/>
        <v>1.0142</v>
      </c>
      <c r="BG158" s="2131">
        <f t="shared" si="52"/>
        <v>1.0135</v>
      </c>
      <c r="BH158" s="2131">
        <f t="shared" si="53"/>
        <v>1.0097</v>
      </c>
      <c r="BI158" s="2131">
        <f t="shared" si="54"/>
        <v>1.0051</v>
      </c>
      <c r="BJ158" s="2131">
        <f t="shared" si="55"/>
        <v>1.0036</v>
      </c>
      <c r="BK158" s="2131">
        <f t="shared" si="56"/>
        <v>1.008</v>
      </c>
      <c r="BL158" s="2131">
        <f t="shared" si="57"/>
        <v>1.0091</v>
      </c>
      <c r="BM158" s="2131">
        <f t="shared" si="58"/>
        <v>1.0083</v>
      </c>
      <c r="BN158" s="2178">
        <f t="shared" si="59"/>
        <v>1.0069</v>
      </c>
      <c r="BO158" s="2177">
        <f t="shared" si="60"/>
        <v>1.1328165809664892</v>
      </c>
    </row>
    <row r="159" ht="17.5" customHeight="1" spans="39:67" x14ac:dyDescent="0.25">
      <c r="AM159" s="2173">
        <v>2007</v>
      </c>
      <c r="AN159" s="123">
        <v>1.68</v>
      </c>
      <c r="AO159" s="123">
        <v>1.11</v>
      </c>
      <c r="AP159" s="123">
        <v>0.59</v>
      </c>
      <c r="AQ159" s="123">
        <v>0.57</v>
      </c>
      <c r="AR159" s="123">
        <v>0.63</v>
      </c>
      <c r="AS159" s="123">
        <v>0.95</v>
      </c>
      <c r="AT159" s="123">
        <v>0.87</v>
      </c>
      <c r="AU159" s="123">
        <v>0.09</v>
      </c>
      <c r="AV159" s="123">
        <v>0.79</v>
      </c>
      <c r="AW159" s="123">
        <v>1.64</v>
      </c>
      <c r="AX159" s="123">
        <v>1.23</v>
      </c>
      <c r="AY159" s="123">
        <v>1.13</v>
      </c>
      <c r="AZ159" s="2173">
        <v>11.87</v>
      </c>
      <c r="BB159" s="2174">
        <v>2007</v>
      </c>
      <c r="BC159" s="2131">
        <f t="shared" si="48"/>
        <v>1.0168</v>
      </c>
      <c r="BD159" s="2131">
        <f t="shared" si="49"/>
        <v>1.0111</v>
      </c>
      <c r="BE159" s="2131">
        <f t="shared" si="50"/>
        <v>1.0059</v>
      </c>
      <c r="BF159" s="2131">
        <f t="shared" si="51"/>
        <v>1.0057</v>
      </c>
      <c r="BG159" s="2131">
        <f t="shared" si="52"/>
        <v>1.0063</v>
      </c>
      <c r="BH159" s="2131">
        <f t="shared" si="53"/>
        <v>1.0095</v>
      </c>
      <c r="BI159" s="2131">
        <f t="shared" si="54"/>
        <v>1.0087</v>
      </c>
      <c r="BJ159" s="2131">
        <f t="shared" si="55"/>
        <v>1.0009</v>
      </c>
      <c r="BK159" s="2131">
        <f t="shared" si="56"/>
        <v>1.0079</v>
      </c>
      <c r="BL159" s="2131">
        <f t="shared" si="57"/>
        <v>1.0164</v>
      </c>
      <c r="BM159" s="2131">
        <f t="shared" si="58"/>
        <v>1.0123</v>
      </c>
      <c r="BN159" s="2178">
        <f t="shared" si="59"/>
        <v>1.0113</v>
      </c>
      <c r="BO159" s="2177">
        <f t="shared" si="60"/>
        <v>1.1186925810350277</v>
      </c>
    </row>
    <row r="160" ht="17.5" customHeight="1" spans="39:67" x14ac:dyDescent="0.25">
      <c r="AM160" s="2173">
        <v>2006</v>
      </c>
      <c r="AN160" s="123">
        <v>2.43</v>
      </c>
      <c r="AO160" s="123">
        <v>1.66</v>
      </c>
      <c r="AP160" s="123">
        <v>0.82</v>
      </c>
      <c r="AQ160" s="123">
        <v>0.35</v>
      </c>
      <c r="AR160" s="123">
        <v>0.48</v>
      </c>
      <c r="AS160" s="123">
        <v>0.28</v>
      </c>
      <c r="AT160" s="123">
        <v>0.67</v>
      </c>
      <c r="AU160" s="123">
        <v>0.19</v>
      </c>
      <c r="AV160" s="123">
        <v>0.09</v>
      </c>
      <c r="AW160" s="123">
        <v>0.28</v>
      </c>
      <c r="AX160" s="123">
        <v>0.63</v>
      </c>
      <c r="AY160" s="123">
        <v>0.79</v>
      </c>
      <c r="AZ160" s="2173">
        <v>9</v>
      </c>
      <c r="BB160" s="2174">
        <v>2006</v>
      </c>
      <c r="BC160" s="2131">
        <f t="shared" si="48"/>
        <v>1.0243</v>
      </c>
      <c r="BD160" s="2131">
        <f t="shared" si="49"/>
        <v>1.0166</v>
      </c>
      <c r="BE160" s="2131">
        <f t="shared" si="50"/>
        <v>1.0082</v>
      </c>
      <c r="BF160" s="2131">
        <f t="shared" si="51"/>
        <v>1.0035</v>
      </c>
      <c r="BG160" s="2131">
        <f t="shared" si="52"/>
        <v>1.0048</v>
      </c>
      <c r="BH160" s="2131">
        <f t="shared" si="53"/>
        <v>1.0028</v>
      </c>
      <c r="BI160" s="2131">
        <f t="shared" si="54"/>
        <v>1.0067</v>
      </c>
      <c r="BJ160" s="2131">
        <f t="shared" si="55"/>
        <v>1.0019</v>
      </c>
      <c r="BK160" s="2131">
        <f t="shared" si="56"/>
        <v>1.0009</v>
      </c>
      <c r="BL160" s="2131">
        <f t="shared" si="57"/>
        <v>1.0028</v>
      </c>
      <c r="BM160" s="2131">
        <f t="shared" si="58"/>
        <v>1.0063</v>
      </c>
      <c r="BN160" s="2178">
        <f t="shared" si="59"/>
        <v>1.0079</v>
      </c>
      <c r="BO160" s="2177">
        <f t="shared" si="60"/>
        <v>1.089957784159877</v>
      </c>
    </row>
    <row r="161" ht="17.5" customHeight="1" spans="39:67" x14ac:dyDescent="0.25">
      <c r="AM161" s="2173">
        <v>2005</v>
      </c>
      <c r="AN161" s="123">
        <v>2.62</v>
      </c>
      <c r="AO161" s="123">
        <v>1.23</v>
      </c>
      <c r="AP161" s="123">
        <v>1.34</v>
      </c>
      <c r="AQ161" s="123">
        <v>1.12</v>
      </c>
      <c r="AR161" s="123">
        <v>0.8</v>
      </c>
      <c r="AS161" s="123">
        <v>0.64</v>
      </c>
      <c r="AT161" s="123">
        <v>0.46</v>
      </c>
      <c r="AU161" s="123">
        <v>-0.14</v>
      </c>
      <c r="AV161" s="123">
        <v>0.25</v>
      </c>
      <c r="AW161" s="123">
        <v>0.55</v>
      </c>
      <c r="AX161" s="123">
        <v>0.74</v>
      </c>
      <c r="AY161" s="123">
        <v>0.82</v>
      </c>
      <c r="AZ161" s="2173">
        <v>10.91</v>
      </c>
      <c r="BB161" s="2174">
        <v>2005</v>
      </c>
      <c r="BC161" s="2131">
        <f t="shared" si="48"/>
        <v>1.0262</v>
      </c>
      <c r="BD161" s="2131">
        <f t="shared" si="49"/>
        <v>1.0123</v>
      </c>
      <c r="BE161" s="2131">
        <f t="shared" si="50"/>
        <v>1.0134</v>
      </c>
      <c r="BF161" s="2131">
        <f t="shared" si="51"/>
        <v>1.0112</v>
      </c>
      <c r="BG161" s="2131">
        <f t="shared" si="52"/>
        <v>1.008</v>
      </c>
      <c r="BH161" s="2131">
        <f t="shared" si="53"/>
        <v>1.0064</v>
      </c>
      <c r="BI161" s="2131">
        <f t="shared" si="54"/>
        <v>1.0046</v>
      </c>
      <c r="BJ161" s="2131">
        <f t="shared" si="55"/>
        <v>0.9986</v>
      </c>
      <c r="BK161" s="2131">
        <f t="shared" si="56"/>
        <v>1.0025</v>
      </c>
      <c r="BL161" s="2131">
        <f t="shared" si="57"/>
        <v>1.0055</v>
      </c>
      <c r="BM161" s="2131">
        <f t="shared" si="58"/>
        <v>1.0074</v>
      </c>
      <c r="BN161" s="2178">
        <f t="shared" si="59"/>
        <v>1.0082</v>
      </c>
      <c r="BO161" s="2177">
        <f t="shared" si="60"/>
        <v>1.1091497857839778</v>
      </c>
    </row>
    <row r="162" ht="17.5" customHeight="1" spans="39:67" x14ac:dyDescent="0.25">
      <c r="AM162" s="2173">
        <v>2004</v>
      </c>
      <c r="AN162" s="123">
        <v>1.75</v>
      </c>
      <c r="AO162" s="123">
        <v>0.99</v>
      </c>
      <c r="AP162" s="123">
        <v>0.75</v>
      </c>
      <c r="AQ162" s="123">
        <v>0.99</v>
      </c>
      <c r="AR162" s="123">
        <v>0.74</v>
      </c>
      <c r="AS162" s="123">
        <v>0.78</v>
      </c>
      <c r="AT162" s="123">
        <v>0.92</v>
      </c>
      <c r="AU162" s="123">
        <v>0.42</v>
      </c>
      <c r="AV162" s="123">
        <v>0.43</v>
      </c>
      <c r="AW162" s="123">
        <v>1.14</v>
      </c>
      <c r="AX162" s="123">
        <v>1.11</v>
      </c>
      <c r="AY162" s="123">
        <v>1.14</v>
      </c>
      <c r="AZ162" s="2173">
        <v>11.74</v>
      </c>
      <c r="BB162" s="2174">
        <v>2004</v>
      </c>
      <c r="BC162" s="2131">
        <f t="shared" si="48"/>
        <v>1.0175</v>
      </c>
      <c r="BD162" s="2131">
        <f t="shared" si="49"/>
        <v>1.0099</v>
      </c>
      <c r="BE162" s="2131">
        <f t="shared" si="50"/>
        <v>1.0075</v>
      </c>
      <c r="BF162" s="2131">
        <f t="shared" si="51"/>
        <v>1.0099</v>
      </c>
      <c r="BG162" s="2131">
        <f t="shared" si="52"/>
        <v>1.0074</v>
      </c>
      <c r="BH162" s="2131">
        <f t="shared" si="53"/>
        <v>1.0078</v>
      </c>
      <c r="BI162" s="2131">
        <f t="shared" si="54"/>
        <v>1.0092</v>
      </c>
      <c r="BJ162" s="2131">
        <f t="shared" si="55"/>
        <v>1.0042</v>
      </c>
      <c r="BK162" s="2131">
        <f t="shared" si="56"/>
        <v>1.0043</v>
      </c>
      <c r="BL162" s="2131">
        <f t="shared" si="57"/>
        <v>1.0114</v>
      </c>
      <c r="BM162" s="2131">
        <f t="shared" si="58"/>
        <v>1.0111</v>
      </c>
      <c r="BN162" s="2178">
        <f t="shared" si="59"/>
        <v>1.0114</v>
      </c>
      <c r="BO162" s="2177">
        <f t="shared" si="60"/>
        <v>1.1174123016226714</v>
      </c>
    </row>
    <row r="163" ht="17.5" customHeight="1" spans="39:67" x14ac:dyDescent="0.25">
      <c r="AM163" s="2173">
        <v>2003</v>
      </c>
      <c r="AN163" s="123">
        <v>2.4</v>
      </c>
      <c r="AO163" s="123">
        <v>1.63</v>
      </c>
      <c r="AP163" s="123">
        <v>1.05</v>
      </c>
      <c r="AQ163" s="123">
        <v>1.02</v>
      </c>
      <c r="AR163" s="123">
        <v>0.8</v>
      </c>
      <c r="AS163" s="123">
        <v>0.8</v>
      </c>
      <c r="AT163" s="123">
        <v>0.71</v>
      </c>
      <c r="AU163" s="123">
        <v>-0.41</v>
      </c>
      <c r="AV163" s="123">
        <v>0.34</v>
      </c>
      <c r="AW163" s="123">
        <v>1</v>
      </c>
      <c r="AX163" s="123">
        <v>0.96</v>
      </c>
      <c r="AY163" s="123">
        <v>1.1</v>
      </c>
      <c r="AZ163" s="2173">
        <v>11.99</v>
      </c>
      <c r="BB163" s="2174">
        <v>2003</v>
      </c>
      <c r="BC163" s="2131">
        <f t="shared" si="48"/>
        <v>1.024</v>
      </c>
      <c r="BD163" s="2131">
        <f t="shared" si="49"/>
        <v>1.0163</v>
      </c>
      <c r="BE163" s="2131">
        <f t="shared" si="50"/>
        <v>1.0105</v>
      </c>
      <c r="BF163" s="2131">
        <f t="shared" si="51"/>
        <v>1.0102</v>
      </c>
      <c r="BG163" s="2131">
        <f t="shared" si="52"/>
        <v>1.008</v>
      </c>
      <c r="BH163" s="2131">
        <f t="shared" si="53"/>
        <v>1.008</v>
      </c>
      <c r="BI163" s="2131">
        <f t="shared" si="54"/>
        <v>1.0071</v>
      </c>
      <c r="BJ163" s="2131">
        <f t="shared" si="55"/>
        <v>0.9959</v>
      </c>
      <c r="BK163" s="2131">
        <f t="shared" si="56"/>
        <v>1.0034</v>
      </c>
      <c r="BL163" s="2131">
        <f t="shared" si="57"/>
        <v>1.01</v>
      </c>
      <c r="BM163" s="2131">
        <f t="shared" si="58"/>
        <v>1.0096</v>
      </c>
      <c r="BN163" s="2178">
        <f t="shared" si="59"/>
        <v>1.011</v>
      </c>
      <c r="BO163" s="2177">
        <f t="shared" si="60"/>
        <v>1.1198785460301688</v>
      </c>
    </row>
    <row r="164" ht="17.5" customHeight="1" spans="39:67" x14ac:dyDescent="0.25">
      <c r="AM164" s="2173">
        <v>2002</v>
      </c>
      <c r="AN164" s="123">
        <v>3.09</v>
      </c>
      <c r="AO164" s="123">
        <v>1.16</v>
      </c>
      <c r="AP164" s="123">
        <v>1.08</v>
      </c>
      <c r="AQ164" s="123">
        <v>1.16</v>
      </c>
      <c r="AR164" s="123">
        <v>1.69</v>
      </c>
      <c r="AS164" s="123">
        <v>0.53</v>
      </c>
      <c r="AT164" s="123">
        <v>0.72</v>
      </c>
      <c r="AU164" s="123">
        <v>0.09</v>
      </c>
      <c r="AV164" s="123">
        <v>0.4</v>
      </c>
      <c r="AW164" s="123">
        <v>1.07</v>
      </c>
      <c r="AX164" s="123">
        <v>1.61</v>
      </c>
      <c r="AY164" s="123">
        <v>1.54</v>
      </c>
      <c r="AZ164" s="2173">
        <v>15.06</v>
      </c>
      <c r="BB164" s="2174">
        <v>2002</v>
      </c>
      <c r="BC164" s="2131">
        <f t="shared" si="48"/>
        <v>1.0309</v>
      </c>
      <c r="BD164" s="2131">
        <f t="shared" si="49"/>
        <v>1.0116</v>
      </c>
      <c r="BE164" s="2131">
        <f t="shared" si="50"/>
        <v>1.0108</v>
      </c>
      <c r="BF164" s="2131">
        <f t="shared" si="51"/>
        <v>1.0116</v>
      </c>
      <c r="BG164" s="2131">
        <f t="shared" si="52"/>
        <v>1.0169</v>
      </c>
      <c r="BH164" s="2131">
        <f t="shared" si="53"/>
        <v>1.0053</v>
      </c>
      <c r="BI164" s="2131">
        <f t="shared" si="54"/>
        <v>1.0072</v>
      </c>
      <c r="BJ164" s="2131">
        <f t="shared" si="55"/>
        <v>1.0009</v>
      </c>
      <c r="BK164" s="2131">
        <f t="shared" si="56"/>
        <v>1.004</v>
      </c>
      <c r="BL164" s="2131">
        <f t="shared" si="57"/>
        <v>1.0107</v>
      </c>
      <c r="BM164" s="2131">
        <f t="shared" si="58"/>
        <v>1.0161</v>
      </c>
      <c r="BN164" s="2178">
        <f t="shared" si="59"/>
        <v>1.0154</v>
      </c>
      <c r="BO164" s="2177">
        <f t="shared" si="60"/>
        <v>1.1505601801216834</v>
      </c>
    </row>
    <row r="165" ht="17.5" customHeight="1" spans="39:67" x14ac:dyDescent="0.25">
      <c r="AM165" s="2173">
        <v>2001</v>
      </c>
      <c r="AN165" s="123">
        <v>2.8</v>
      </c>
      <c r="AO165" s="123">
        <v>2.3</v>
      </c>
      <c r="AP165" s="123">
        <v>1.9</v>
      </c>
      <c r="AQ165" s="123">
        <v>1.8</v>
      </c>
      <c r="AR165" s="123">
        <v>1.8</v>
      </c>
      <c r="AS165" s="123">
        <v>1.6</v>
      </c>
      <c r="AT165" s="123">
        <v>0.5</v>
      </c>
      <c r="AU165" s="123">
        <v>0</v>
      </c>
      <c r="AV165" s="123">
        <v>0.6</v>
      </c>
      <c r="AW165" s="123">
        <v>1.1</v>
      </c>
      <c r="AX165" s="123">
        <v>1.4</v>
      </c>
      <c r="AY165" s="123">
        <v>1.6</v>
      </c>
      <c r="AZ165" s="2173">
        <v>18.8</v>
      </c>
      <c r="BB165" s="2174">
        <v>2001</v>
      </c>
      <c r="BC165" s="2131">
        <f t="shared" si="48"/>
        <v>1.028</v>
      </c>
      <c r="BD165" s="2131">
        <f t="shared" si="49"/>
        <v>1.023</v>
      </c>
      <c r="BE165" s="2131">
        <f t="shared" si="50"/>
        <v>1.019</v>
      </c>
      <c r="BF165" s="2131">
        <f t="shared" si="51"/>
        <v>1.018</v>
      </c>
      <c r="BG165" s="2131">
        <f t="shared" si="52"/>
        <v>1.018</v>
      </c>
      <c r="BH165" s="2131">
        <f t="shared" si="53"/>
        <v>1.016</v>
      </c>
      <c r="BI165" s="2131">
        <f t="shared" si="54"/>
        <v>1.005</v>
      </c>
      <c r="BJ165" s="2131">
        <f t="shared" si="55"/>
        <v>1</v>
      </c>
      <c r="BK165" s="2131">
        <f t="shared" si="56"/>
        <v>1.006</v>
      </c>
      <c r="BL165" s="2131">
        <f t="shared" si="57"/>
        <v>1.011</v>
      </c>
      <c r="BM165" s="2131">
        <f t="shared" si="58"/>
        <v>1.014</v>
      </c>
      <c r="BN165" s="2178">
        <f t="shared" si="59"/>
        <v>1.016</v>
      </c>
      <c r="BO165" s="2177">
        <f t="shared" si="60"/>
        <v>1.1881712985067243</v>
      </c>
    </row>
    <row r="166" ht="17.5" customHeight="1" spans="39:67" x14ac:dyDescent="0.25">
      <c r="AM166" s="2173">
        <v>2000</v>
      </c>
      <c r="AN166" s="123">
        <v>2.3</v>
      </c>
      <c r="AO166" s="123">
        <v>1</v>
      </c>
      <c r="AP166" s="123">
        <v>0.6</v>
      </c>
      <c r="AQ166" s="123">
        <v>0.9</v>
      </c>
      <c r="AR166" s="123">
        <v>1.8</v>
      </c>
      <c r="AS166" s="123">
        <v>2.6</v>
      </c>
      <c r="AT166" s="123">
        <v>1.8</v>
      </c>
      <c r="AU166" s="123">
        <v>1</v>
      </c>
      <c r="AV166" s="123">
        <v>1.3</v>
      </c>
      <c r="AW166" s="123">
        <v>2.1</v>
      </c>
      <c r="AX166" s="123">
        <v>1.5</v>
      </c>
      <c r="AY166" s="123">
        <v>1.6</v>
      </c>
      <c r="AZ166" s="2173">
        <v>20.1</v>
      </c>
      <c r="BB166" s="2174">
        <v>2000</v>
      </c>
      <c r="BC166" s="2131">
        <f t="shared" si="48"/>
        <v>1.023</v>
      </c>
      <c r="BD166" s="2131">
        <f t="shared" si="49"/>
        <v>1.01</v>
      </c>
      <c r="BE166" s="2131">
        <f t="shared" si="50"/>
        <v>1.006</v>
      </c>
      <c r="BF166" s="2131">
        <f t="shared" si="51"/>
        <v>1.009</v>
      </c>
      <c r="BG166" s="2131">
        <f t="shared" si="52"/>
        <v>1.018</v>
      </c>
      <c r="BH166" s="2131">
        <f t="shared" si="53"/>
        <v>1.026</v>
      </c>
      <c r="BI166" s="2131">
        <f t="shared" si="54"/>
        <v>1.018</v>
      </c>
      <c r="BJ166" s="2131">
        <f t="shared" si="55"/>
        <v>1.01</v>
      </c>
      <c r="BK166" s="2131">
        <f t="shared" si="56"/>
        <v>1.013</v>
      </c>
      <c r="BL166" s="2131">
        <f t="shared" si="57"/>
        <v>1.021</v>
      </c>
      <c r="BM166" s="2131">
        <f t="shared" si="58"/>
        <v>1.015</v>
      </c>
      <c r="BN166" s="2178">
        <f t="shared" si="59"/>
        <v>1.016</v>
      </c>
      <c r="BO166" s="2177">
        <f t="shared" si="60"/>
        <v>1.201283142376299</v>
      </c>
    </row>
    <row r="167" ht="17.5" customHeight="1" spans="39:67" x14ac:dyDescent="0.25">
      <c r="AM167" s="2173">
        <v>1999</v>
      </c>
      <c r="AN167" s="123">
        <v>8.4</v>
      </c>
      <c r="AO167" s="123">
        <v>4.1</v>
      </c>
      <c r="AP167" s="123">
        <v>2.8</v>
      </c>
      <c r="AQ167" s="123">
        <v>3</v>
      </c>
      <c r="AR167" s="123">
        <v>2.2</v>
      </c>
      <c r="AS167" s="123">
        <v>1.9</v>
      </c>
      <c r="AT167" s="123">
        <v>2.8</v>
      </c>
      <c r="AU167" s="123">
        <v>1.2</v>
      </c>
      <c r="AV167" s="123">
        <v>1.5</v>
      </c>
      <c r="AW167" s="123">
        <v>1.4</v>
      </c>
      <c r="AX167" s="123">
        <v>1.2</v>
      </c>
      <c r="AY167" s="123">
        <v>1.3</v>
      </c>
      <c r="AZ167" s="2173">
        <v>36.6</v>
      </c>
      <c r="BB167" s="2174">
        <v>1999</v>
      </c>
      <c r="BC167" s="2131">
        <f t="shared" si="48"/>
        <v>1.084</v>
      </c>
      <c r="BD167" s="2131">
        <f t="shared" si="49"/>
        <v>1.041</v>
      </c>
      <c r="BE167" s="2131">
        <f t="shared" si="50"/>
        <v>1.028</v>
      </c>
      <c r="BF167" s="2131">
        <f t="shared" si="51"/>
        <v>1.03</v>
      </c>
      <c r="BG167" s="2131">
        <f t="shared" si="52"/>
        <v>1.022</v>
      </c>
      <c r="BH167" s="2131">
        <f t="shared" si="53"/>
        <v>1.019</v>
      </c>
      <c r="BI167" s="2131">
        <f t="shared" si="54"/>
        <v>1.028</v>
      </c>
      <c r="BJ167" s="2131">
        <f t="shared" si="55"/>
        <v>1.012</v>
      </c>
      <c r="BK167" s="2131">
        <f t="shared" si="56"/>
        <v>1.015</v>
      </c>
      <c r="BL167" s="2131">
        <f t="shared" si="57"/>
        <v>1.014</v>
      </c>
      <c r="BM167" s="2131">
        <f t="shared" si="58"/>
        <v>1.012</v>
      </c>
      <c r="BN167" s="2178">
        <f t="shared" si="59"/>
        <v>1.013</v>
      </c>
      <c r="BO167" s="2177">
        <f t="shared" si="60"/>
        <v>1.365850019373064</v>
      </c>
    </row>
    <row r="168" ht="17.5" customHeight="1" spans="39:67" x14ac:dyDescent="0.25">
      <c r="AM168" s="2173">
        <v>1998</v>
      </c>
      <c r="AN168" s="123">
        <v>1.5</v>
      </c>
      <c r="AO168" s="123">
        <v>0.9</v>
      </c>
      <c r="AP168" s="123">
        <v>0.6</v>
      </c>
      <c r="AQ168" s="123">
        <v>0.4</v>
      </c>
      <c r="AR168" s="123">
        <v>0.5</v>
      </c>
      <c r="AS168" s="123">
        <v>0.1</v>
      </c>
      <c r="AT168" s="123">
        <v>0.2</v>
      </c>
      <c r="AU168" s="123">
        <v>3.7</v>
      </c>
      <c r="AV168" s="123">
        <v>38.4</v>
      </c>
      <c r="AW168" s="123">
        <v>4.5</v>
      </c>
      <c r="AX168" s="123">
        <v>5.7</v>
      </c>
      <c r="AY168" s="123">
        <v>11.6</v>
      </c>
      <c r="AZ168" s="2173">
        <v>84.5</v>
      </c>
      <c r="BB168" s="2174">
        <v>1998</v>
      </c>
      <c r="BC168" s="2131">
        <f t="shared" si="48"/>
        <v>1.015</v>
      </c>
      <c r="BD168" s="2131">
        <f t="shared" si="49"/>
        <v>1.009</v>
      </c>
      <c r="BE168" s="2131">
        <f t="shared" si="50"/>
        <v>1.006</v>
      </c>
      <c r="BF168" s="2131">
        <f t="shared" si="51"/>
        <v>1.004</v>
      </c>
      <c r="BG168" s="2131">
        <f t="shared" si="52"/>
        <v>1.005</v>
      </c>
      <c r="BH168" s="2131">
        <f t="shared" si="53"/>
        <v>1.001</v>
      </c>
      <c r="BI168" s="2131">
        <f t="shared" si="54"/>
        <v>1.002</v>
      </c>
      <c r="BJ168" s="2131">
        <f t="shared" si="55"/>
        <v>1.037</v>
      </c>
      <c r="BK168" s="2131">
        <f t="shared" si="56"/>
        <v>1.384</v>
      </c>
      <c r="BL168" s="2131">
        <f t="shared" si="57"/>
        <v>1.045</v>
      </c>
      <c r="BM168" s="2131">
        <f t="shared" si="58"/>
        <v>1.057</v>
      </c>
      <c r="BN168" s="2178">
        <f t="shared" si="59"/>
        <v>1.116</v>
      </c>
      <c r="BO168" s="2177">
        <f t="shared" si="60"/>
        <v>1.844705665784435</v>
      </c>
    </row>
    <row r="169" ht="17.5" customHeight="1" spans="39:67" x14ac:dyDescent="0.25">
      <c r="AM169" s="2173">
        <v>1997</v>
      </c>
      <c r="AN169" s="123">
        <v>2.3</v>
      </c>
      <c r="AO169" s="123">
        <v>1.5</v>
      </c>
      <c r="AP169" s="123">
        <v>1.4</v>
      </c>
      <c r="AQ169" s="123">
        <v>1</v>
      </c>
      <c r="AR169" s="123">
        <v>0.9</v>
      </c>
      <c r="AS169" s="123">
        <v>1.1</v>
      </c>
      <c r="AT169" s="123">
        <v>0.9</v>
      </c>
      <c r="AU169" s="123">
        <v>-0.1</v>
      </c>
      <c r="AV169" s="123">
        <v>-0.3</v>
      </c>
      <c r="AW169" s="123">
        <v>0.2</v>
      </c>
      <c r="AX169" s="123">
        <v>0.6</v>
      </c>
      <c r="AY169" s="123">
        <v>1</v>
      </c>
      <c r="AZ169" s="2173">
        <v>11</v>
      </c>
      <c r="BB169" s="2174">
        <v>1997</v>
      </c>
      <c r="BC169" s="2131">
        <f t="shared" si="48"/>
        <v>1.023</v>
      </c>
      <c r="BD169" s="2131">
        <f t="shared" si="49"/>
        <v>1.015</v>
      </c>
      <c r="BE169" s="2131">
        <f t="shared" si="50"/>
        <v>1.014</v>
      </c>
      <c r="BF169" s="2131">
        <f t="shared" si="51"/>
        <v>1.01</v>
      </c>
      <c r="BG169" s="2131">
        <f t="shared" si="52"/>
        <v>1.009</v>
      </c>
      <c r="BH169" s="2131">
        <f t="shared" si="53"/>
        <v>1.011</v>
      </c>
      <c r="BI169" s="2131">
        <f t="shared" si="54"/>
        <v>1.009</v>
      </c>
      <c r="BJ169" s="2131">
        <f t="shared" si="55"/>
        <v>0.999</v>
      </c>
      <c r="BK169" s="2131">
        <f t="shared" si="56"/>
        <v>0.997</v>
      </c>
      <c r="BL169" s="2131">
        <f t="shared" si="57"/>
        <v>1.002</v>
      </c>
      <c r="BM169" s="2131">
        <f t="shared" si="58"/>
        <v>1.006</v>
      </c>
      <c r="BN169" s="2178">
        <f t="shared" si="59"/>
        <v>1.01</v>
      </c>
      <c r="BO169" s="2177">
        <f t="shared" si="60"/>
        <v>1.1098958189373116</v>
      </c>
    </row>
    <row r="170" ht="17.5" customHeight="1" spans="39:67" x14ac:dyDescent="0.25">
      <c r="AM170" s="2173">
        <v>1996</v>
      </c>
      <c r="AN170" s="123">
        <v>4.1</v>
      </c>
      <c r="AO170" s="123">
        <v>2.8</v>
      </c>
      <c r="AP170" s="123">
        <v>2.8</v>
      </c>
      <c r="AQ170" s="123">
        <v>2.2</v>
      </c>
      <c r="AR170" s="123">
        <v>1.6</v>
      </c>
      <c r="AS170" s="123">
        <v>1.2</v>
      </c>
      <c r="AT170" s="123">
        <v>0.7</v>
      </c>
      <c r="AU170" s="123">
        <v>-0.2</v>
      </c>
      <c r="AV170" s="123">
        <v>0.3</v>
      </c>
      <c r="AW170" s="123">
        <v>1.2</v>
      </c>
      <c r="AX170" s="123">
        <v>1.9</v>
      </c>
      <c r="AY170" s="123">
        <v>1.4</v>
      </c>
      <c r="AZ170" s="2173">
        <v>21.8</v>
      </c>
      <c r="BB170" s="2174">
        <v>1996</v>
      </c>
      <c r="BC170" s="2131">
        <f t="shared" si="48"/>
        <v>1.041</v>
      </c>
      <c r="BD170" s="2131">
        <f t="shared" si="49"/>
        <v>1.028</v>
      </c>
      <c r="BE170" s="2131">
        <f t="shared" si="50"/>
        <v>1.028</v>
      </c>
      <c r="BF170" s="2131">
        <f t="shared" si="51"/>
        <v>1.022</v>
      </c>
      <c r="BG170" s="2131">
        <f t="shared" si="52"/>
        <v>1.016</v>
      </c>
      <c r="BH170" s="2131">
        <f t="shared" si="53"/>
        <v>1.012</v>
      </c>
      <c r="BI170" s="2131">
        <f t="shared" si="54"/>
        <v>1.007</v>
      </c>
      <c r="BJ170" s="2131">
        <f t="shared" si="55"/>
        <v>0.998</v>
      </c>
      <c r="BK170" s="2131">
        <f t="shared" si="56"/>
        <v>1.003</v>
      </c>
      <c r="BL170" s="2131">
        <f t="shared" si="57"/>
        <v>1.012</v>
      </c>
      <c r="BM170" s="2131">
        <f t="shared" si="58"/>
        <v>1.019</v>
      </c>
      <c r="BN170" s="2178">
        <f t="shared" si="59"/>
        <v>1.014</v>
      </c>
      <c r="BO170" s="2177">
        <f t="shared" si="60"/>
        <v>1.218472330298302</v>
      </c>
    </row>
    <row r="171" ht="17.5" customHeight="1" spans="39:67" x14ac:dyDescent="0.25">
      <c r="AM171" s="2173">
        <v>1995</v>
      </c>
      <c r="AN171" s="123">
        <v>17.8</v>
      </c>
      <c r="AO171" s="123">
        <v>11</v>
      </c>
      <c r="AP171" s="123">
        <v>8.9</v>
      </c>
      <c r="AQ171" s="123">
        <v>8.5</v>
      </c>
      <c r="AR171" s="123">
        <v>7.9</v>
      </c>
      <c r="AS171" s="123">
        <v>6.7</v>
      </c>
      <c r="AT171" s="123">
        <v>5.4</v>
      </c>
      <c r="AU171" s="123">
        <v>4.6</v>
      </c>
      <c r="AV171" s="123">
        <v>4.5</v>
      </c>
      <c r="AW171" s="123">
        <v>4.7</v>
      </c>
      <c r="AX171" s="123">
        <v>4.6</v>
      </c>
      <c r="AY171" s="123">
        <v>3.2</v>
      </c>
      <c r="AZ171" s="2173">
        <v>131.6</v>
      </c>
      <c r="BB171" s="2174">
        <v>1995</v>
      </c>
      <c r="BC171" s="2131">
        <f t="shared" si="48"/>
        <v>1.178</v>
      </c>
      <c r="BD171" s="2131">
        <f t="shared" si="49"/>
        <v>1.11</v>
      </c>
      <c r="BE171" s="2131">
        <f t="shared" si="50"/>
        <v>1.089</v>
      </c>
      <c r="BF171" s="2131">
        <f t="shared" si="51"/>
        <v>1.085</v>
      </c>
      <c r="BG171" s="2131">
        <f t="shared" si="52"/>
        <v>1.079</v>
      </c>
      <c r="BH171" s="2131">
        <f t="shared" si="53"/>
        <v>1.067</v>
      </c>
      <c r="BI171" s="2131">
        <f t="shared" si="54"/>
        <v>1.054</v>
      </c>
      <c r="BJ171" s="2131">
        <f t="shared" si="55"/>
        <v>1.046</v>
      </c>
      <c r="BK171" s="2131">
        <f t="shared" si="56"/>
        <v>1.045</v>
      </c>
      <c r="BL171" s="2131">
        <f t="shared" si="57"/>
        <v>1.047</v>
      </c>
      <c r="BM171" s="2131">
        <f t="shared" si="58"/>
        <v>1.046</v>
      </c>
      <c r="BN171" s="2178">
        <f t="shared" si="59"/>
        <v>1.032</v>
      </c>
      <c r="BO171" s="2177">
        <f t="shared" si="60"/>
        <v>2.3161058347036474</v>
      </c>
    </row>
    <row r="172" ht="17.5" customHeight="1" spans="39:67" x14ac:dyDescent="0.25">
      <c r="AM172" s="2173">
        <v>1994</v>
      </c>
      <c r="AN172" s="123">
        <v>17.9</v>
      </c>
      <c r="AO172" s="123">
        <v>10.8</v>
      </c>
      <c r="AP172" s="123">
        <v>7.4</v>
      </c>
      <c r="AQ172" s="123">
        <v>8.5</v>
      </c>
      <c r="AR172" s="123">
        <v>6.9</v>
      </c>
      <c r="AS172" s="123">
        <v>6</v>
      </c>
      <c r="AT172" s="123">
        <v>5.3</v>
      </c>
      <c r="AU172" s="123">
        <v>4.6</v>
      </c>
      <c r="AV172" s="123">
        <v>8</v>
      </c>
      <c r="AW172" s="123">
        <v>15</v>
      </c>
      <c r="AX172" s="123">
        <v>14.6</v>
      </c>
      <c r="AY172" s="123">
        <v>16.4</v>
      </c>
      <c r="AZ172" s="2173">
        <v>214.8</v>
      </c>
      <c r="BB172" s="2174">
        <v>1994</v>
      </c>
      <c r="BC172" s="2131">
        <f t="shared" si="48"/>
        <v>1.179</v>
      </c>
      <c r="BD172" s="2131">
        <f t="shared" si="49"/>
        <v>1.108</v>
      </c>
      <c r="BE172" s="2131">
        <f t="shared" si="50"/>
        <v>1.074</v>
      </c>
      <c r="BF172" s="2131">
        <f t="shared" si="51"/>
        <v>1.085</v>
      </c>
      <c r="BG172" s="2131">
        <f t="shared" si="52"/>
        <v>1.069</v>
      </c>
      <c r="BH172" s="2131">
        <f t="shared" si="53"/>
        <v>1.06</v>
      </c>
      <c r="BI172" s="2131">
        <f t="shared" si="54"/>
        <v>1.053</v>
      </c>
      <c r="BJ172" s="2131">
        <f t="shared" si="55"/>
        <v>1.046</v>
      </c>
      <c r="BK172" s="2131">
        <f t="shared" si="56"/>
        <v>1.08</v>
      </c>
      <c r="BL172" s="2131">
        <f t="shared" si="57"/>
        <v>1.15</v>
      </c>
      <c r="BM172" s="2131">
        <f t="shared" si="58"/>
        <v>1.146</v>
      </c>
      <c r="BN172" s="2178">
        <f t="shared" si="59"/>
        <v>1.164</v>
      </c>
      <c r="BO172" s="2177">
        <f t="shared" si="60"/>
        <v>3.147678770793861</v>
      </c>
    </row>
    <row r="173" ht="17.5" customHeight="1" spans="39:67" x14ac:dyDescent="0.25">
      <c r="AM173" s="2173">
        <v>1993</v>
      </c>
      <c r="AN173" s="123">
        <v>25.8</v>
      </c>
      <c r="AO173" s="123">
        <v>24.7</v>
      </c>
      <c r="AP173" s="123">
        <v>20.1</v>
      </c>
      <c r="AQ173" s="123">
        <v>18.7</v>
      </c>
      <c r="AR173" s="123">
        <v>18.1</v>
      </c>
      <c r="AS173" s="123">
        <v>19.9</v>
      </c>
      <c r="AT173" s="123">
        <v>22.4</v>
      </c>
      <c r="AU173" s="123">
        <v>26</v>
      </c>
      <c r="AV173" s="123">
        <v>23</v>
      </c>
      <c r="AW173" s="123">
        <v>19.5</v>
      </c>
      <c r="AX173" s="123">
        <v>16.4</v>
      </c>
      <c r="AY173" s="123">
        <v>12.5</v>
      </c>
      <c r="AZ173" s="2173">
        <v>840</v>
      </c>
      <c r="BB173" s="2174">
        <v>1993</v>
      </c>
      <c r="BC173" s="2131">
        <f t="shared" si="48"/>
        <v>1.258</v>
      </c>
      <c r="BD173" s="2131">
        <f t="shared" si="49"/>
        <v>1.2469999999999999</v>
      </c>
      <c r="BE173" s="2131">
        <f t="shared" si="50"/>
        <v>1.201</v>
      </c>
      <c r="BF173" s="2131">
        <f t="shared" si="51"/>
        <v>1.187</v>
      </c>
      <c r="BG173" s="2131">
        <f t="shared" si="52"/>
        <v>1.181</v>
      </c>
      <c r="BH173" s="2131">
        <f t="shared" si="53"/>
        <v>1.199</v>
      </c>
      <c r="BI173" s="2131">
        <f t="shared" si="54"/>
        <v>1.224</v>
      </c>
      <c r="BJ173" s="2131">
        <f t="shared" si="55"/>
        <v>1.26</v>
      </c>
      <c r="BK173" s="2131">
        <f t="shared" si="56"/>
        <v>1.23</v>
      </c>
      <c r="BL173" s="2131">
        <f t="shared" si="57"/>
        <v>1.195</v>
      </c>
      <c r="BM173" s="2131">
        <f t="shared" si="58"/>
        <v>1.164</v>
      </c>
      <c r="BN173" s="2178">
        <f t="shared" si="59"/>
        <v>1.125</v>
      </c>
      <c r="BO173" s="2177">
        <f t="shared" si="60"/>
        <v>9.400271217159956</v>
      </c>
    </row>
    <row r="174" ht="17.5" customHeight="1" spans="39:67" x14ac:dyDescent="0.25">
      <c r="AM174" s="2173">
        <v>1992</v>
      </c>
      <c r="AN174" s="123">
        <v>245.3</v>
      </c>
      <c r="AO174" s="123">
        <v>38</v>
      </c>
      <c r="AP174" s="123">
        <v>29.9</v>
      </c>
      <c r="AQ174" s="123">
        <v>21.7</v>
      </c>
      <c r="AR174" s="123">
        <v>11.9</v>
      </c>
      <c r="AS174" s="123">
        <v>19.1</v>
      </c>
      <c r="AT174" s="123">
        <v>10.6</v>
      </c>
      <c r="AU174" s="123">
        <v>8.6</v>
      </c>
      <c r="AV174" s="123">
        <v>11.5</v>
      </c>
      <c r="AW174" s="123">
        <v>22.9</v>
      </c>
      <c r="AX174" s="123">
        <v>26.1</v>
      </c>
      <c r="AY174" s="123">
        <v>25.2</v>
      </c>
      <c r="AZ174" s="2173">
        <v>2508.8</v>
      </c>
      <c r="BB174" s="2174">
        <v>1992</v>
      </c>
      <c r="BC174" s="2131">
        <f t="shared" si="48"/>
        <v>3.4530000000000003</v>
      </c>
      <c r="BD174" s="2131">
        <f t="shared" si="49"/>
        <v>1.38</v>
      </c>
      <c r="BE174" s="2131">
        <f t="shared" si="50"/>
        <v>1.299</v>
      </c>
      <c r="BF174" s="2131">
        <f t="shared" si="51"/>
        <v>1.217</v>
      </c>
      <c r="BG174" s="2131">
        <f t="shared" si="52"/>
        <v>1.119</v>
      </c>
      <c r="BH174" s="2131">
        <f t="shared" si="53"/>
        <v>1.191</v>
      </c>
      <c r="BI174" s="2131">
        <f t="shared" si="54"/>
        <v>1.106</v>
      </c>
      <c r="BJ174" s="2131">
        <f t="shared" si="55"/>
        <v>1.086</v>
      </c>
      <c r="BK174" s="2131">
        <f t="shared" si="56"/>
        <v>1.115</v>
      </c>
      <c r="BL174" s="2131">
        <f t="shared" si="57"/>
        <v>1.229</v>
      </c>
      <c r="BM174" s="2131">
        <f t="shared" si="58"/>
        <v>1.2610000000000001</v>
      </c>
      <c r="BN174" s="2178">
        <f t="shared" si="59"/>
        <v>1.252</v>
      </c>
      <c r="BO174" s="2177">
        <f t="shared" si="60"/>
        <v>26.08845498534807</v>
      </c>
    </row>
    <row r="175" ht="18" customHeight="1" spans="39:67" x14ac:dyDescent="0.25">
      <c r="AM175" s="2179">
        <v>1991</v>
      </c>
      <c r="AN175" s="123">
        <v>6.2</v>
      </c>
      <c r="AO175" s="123">
        <v>4.8</v>
      </c>
      <c r="AP175" s="123">
        <v>6.3</v>
      </c>
      <c r="AQ175" s="123">
        <v>63.5</v>
      </c>
      <c r="AR175" s="123">
        <v>3</v>
      </c>
      <c r="AS175" s="123">
        <v>1.2</v>
      </c>
      <c r="AT175" s="123">
        <v>0.6</v>
      </c>
      <c r="AU175" s="123">
        <v>0.5</v>
      </c>
      <c r="AV175" s="123">
        <v>1.1</v>
      </c>
      <c r="AW175" s="123">
        <v>3.5</v>
      </c>
      <c r="AX175" s="123">
        <v>8.9</v>
      </c>
      <c r="AY175" s="123">
        <v>12.1</v>
      </c>
      <c r="AZ175" s="2179">
        <v>160.4</v>
      </c>
      <c r="BB175" s="2180">
        <v>1991</v>
      </c>
      <c r="BC175" s="2181">
        <f t="shared" si="48"/>
        <v>1.062</v>
      </c>
      <c r="BD175" s="2181">
        <f t="shared" si="49"/>
        <v>1.048</v>
      </c>
      <c r="BE175" s="2181">
        <f t="shared" si="50"/>
        <v>1.063</v>
      </c>
      <c r="BF175" s="2181">
        <f t="shared" si="51"/>
        <v>1.635</v>
      </c>
      <c r="BG175" s="2181">
        <f t="shared" si="52"/>
        <v>1.03</v>
      </c>
      <c r="BH175" s="2181">
        <f t="shared" si="53"/>
        <v>1.012</v>
      </c>
      <c r="BI175" s="2181">
        <f t="shared" si="54"/>
        <v>1.006</v>
      </c>
      <c r="BJ175" s="2181">
        <f t="shared" si="55"/>
        <v>1.005</v>
      </c>
      <c r="BK175" s="2181">
        <f t="shared" si="56"/>
        <v>1.011</v>
      </c>
      <c r="BL175" s="2181">
        <f t="shared" si="57"/>
        <v>1.035</v>
      </c>
      <c r="BM175" s="2181">
        <f t="shared" si="58"/>
        <v>1.089</v>
      </c>
      <c r="BN175" s="2182">
        <f t="shared" si="59"/>
        <v>1.121</v>
      </c>
      <c r="BO175" s="2183">
        <f t="shared" si="60"/>
        <v>2.6040157000143935</v>
      </c>
    </row>
    <row r="176" ht="17.5" customHeight="1" spans="44:53" x14ac:dyDescent="0.25">
      <c r="AR176" s="682"/>
      <c r="AS176" s="682"/>
      <c r="AT176" s="682"/>
      <c r="AU176" s="682"/>
      <c r="AV176" s="682"/>
      <c r="AW176" s="682"/>
      <c r="AX176" s="682"/>
      <c r="AY176" s="682"/>
      <c r="AZ176" s="682"/>
      <c r="BA176" s="682"/>
    </row>
    <row r="177" ht="17.5" customHeight="1" spans="39:53" x14ac:dyDescent="0.25">
      <c r="AM177" s="682" t="s">
        <v>1934</v>
      </c>
      <c r="AN177" s="682"/>
      <c r="AO177" s="682"/>
      <c r="AP177" s="682"/>
      <c r="AQ177" s="682"/>
      <c r="AR177" s="682"/>
      <c r="AS177" s="682"/>
      <c r="AT177" s="682"/>
      <c r="AU177" s="682"/>
      <c r="AV177" s="682"/>
      <c r="AW177" s="682"/>
      <c r="AX177" s="682"/>
      <c r="AY177" s="682"/>
      <c r="AZ177" s="682"/>
      <c r="BA177" s="682"/>
    </row>
    <row r="178" ht="17.5" customHeight="1" spans="39:53" x14ac:dyDescent="0.25">
      <c r="AM178" s="682" t="s">
        <v>1935</v>
      </c>
      <c r="AN178" s="682"/>
      <c r="AO178" s="682"/>
      <c r="AP178" s="682"/>
      <c r="AQ178" s="682"/>
      <c r="AR178" s="682"/>
      <c r="AS178" s="682"/>
      <c r="AT178" s="682"/>
      <c r="AU178" s="682"/>
      <c r="AV178" s="682"/>
      <c r="AW178" s="682"/>
      <c r="AX178" s="682"/>
      <c r="AY178" s="682"/>
      <c r="AZ178" s="682"/>
      <c r="BA178" s="682"/>
    </row>
    <row r="179" ht="17.5" customHeight="1" spans="39:53" x14ac:dyDescent="0.25">
      <c r="AM179" s="682" t="s">
        <v>1936</v>
      </c>
      <c r="AN179" s="682"/>
      <c r="AO179" s="682"/>
      <c r="AP179" s="682"/>
      <c r="AQ179" s="682"/>
      <c r="AR179" s="682"/>
      <c r="AS179" s="682"/>
      <c r="AT179" s="682"/>
      <c r="AU179" s="682"/>
      <c r="AV179" s="682"/>
      <c r="AW179" s="682"/>
      <c r="AX179" s="682"/>
      <c r="AY179" s="682"/>
      <c r="AZ179" s="682"/>
      <c r="BA179" s="682"/>
    </row>
    <row r="180" ht="17.5" customHeight="1" spans="39:53" x14ac:dyDescent="0.25">
      <c r="AM180" s="682" t="s">
        <v>1937</v>
      </c>
      <c r="AN180" s="682"/>
      <c r="AO180" s="682"/>
      <c r="AP180" s="682"/>
      <c r="AQ180" s="682"/>
      <c r="AR180" s="682"/>
      <c r="AS180" s="682"/>
      <c r="AT180" s="682"/>
      <c r="AU180" s="682"/>
      <c r="AV180" s="682"/>
      <c r="AW180" s="682"/>
      <c r="AX180" s="682"/>
      <c r="AY180" s="682"/>
      <c r="AZ180" s="682"/>
      <c r="BA180" s="682"/>
    </row>
    <row r="181" ht="17.5" customHeight="1" spans="39:53" x14ac:dyDescent="0.25">
      <c r="AM181" s="682" t="s">
        <v>1938</v>
      </c>
      <c r="AN181" s="682"/>
      <c r="AO181" s="682"/>
      <c r="AP181" s="682"/>
      <c r="AQ181" s="682"/>
      <c r="AR181" s="682"/>
      <c r="AS181" s="682"/>
      <c r="AT181" s="682"/>
      <c r="AU181" s="682"/>
      <c r="AV181" s="682"/>
      <c r="AW181" s="682"/>
      <c r="AX181" s="682"/>
      <c r="AY181" s="682"/>
      <c r="AZ181" s="682"/>
      <c r="BA181" s="682"/>
    </row>
    <row r="182" ht="17.5" customHeight="1" spans="39:53" x14ac:dyDescent="0.25">
      <c r="AM182" s="682"/>
      <c r="AN182" s="682"/>
      <c r="AO182" s="682"/>
      <c r="AP182" s="682"/>
      <c r="AQ182" s="682"/>
      <c r="AR182" s="682"/>
      <c r="AS182" s="682"/>
      <c r="AT182" s="682"/>
      <c r="AU182" s="682"/>
      <c r="AV182" s="682"/>
      <c r="AW182" s="682"/>
      <c r="AX182" s="682"/>
      <c r="AY182" s="682"/>
      <c r="AZ182" s="682"/>
      <c r="BA182" s="682"/>
    </row>
    <row r="183" ht="17.5" customHeight="1" spans="39:53" x14ac:dyDescent="0.25">
      <c r="AM183" s="682"/>
      <c r="AN183" s="682"/>
      <c r="AO183" s="682"/>
      <c r="AP183" s="682"/>
      <c r="AQ183" s="682"/>
      <c r="AR183" s="682"/>
      <c r="AS183" s="682"/>
      <c r="AT183" s="682"/>
      <c r="AU183" s="682"/>
      <c r="AV183" s="682"/>
      <c r="AW183" s="682"/>
      <c r="AX183" s="682"/>
      <c r="AY183" s="682"/>
      <c r="AZ183" s="682"/>
      <c r="BA183" s="682"/>
    </row>
  </sheetData>
  <hyperlinks>
    <hyperlink ref="C120" r:id="rId1"/>
  </hyperlinks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8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L223"/>
  <sheetViews>
    <sheetView workbookViewId="0" zoomScale="40" zoomScaleNormal="40">
      <selection activeCell="AD25" sqref="AD25"/>
    </sheetView>
  </sheetViews>
  <sheetFormatPr defaultRowHeight="14.5" outlineLevelRow="0" outlineLevelCol="0" x14ac:dyDescent="0" defaultColWidth="8.83203125" customHeight="1"/>
  <cols>
    <col min="4" max="7" width="9.33203125" customWidth="1"/>
    <col min="9" max="9" width="9.83203125" customWidth="1"/>
    <col min="10" max="10" width="9.33203125" customWidth="1"/>
    <col min="11" max="11" width="9.83203125" customWidth="1"/>
    <col min="12" max="12" width="11" customWidth="1"/>
    <col min="13" max="14" width="9.5" customWidth="1"/>
    <col min="15" max="15" width="11.6640625" customWidth="1"/>
    <col min="16" max="16" width="9.33203125" customWidth="1"/>
    <col min="17" max="17" width="9.5" customWidth="1"/>
    <col min="18" max="18" width="11.1640625" customWidth="1"/>
    <col min="19" max="22" width="9.5" customWidth="1"/>
    <col min="23" max="24" width="9.83203125" customWidth="1"/>
    <col min="25" max="25" width="10.33203125" customWidth="1"/>
    <col min="26" max="26" width="10.83203125" customWidth="1"/>
    <col min="27" max="28" width="9.5" customWidth="1"/>
    <col min="29" max="29" width="9.33203125" customWidth="1"/>
    <col min="30" max="30" width="10.6640625" customWidth="1"/>
    <col min="52" max="52" width="9.5" customWidth="1"/>
    <col min="53" max="53" width="11.6640625" customWidth="1"/>
    <col min="54" max="54" width="10.33203125" customWidth="1"/>
    <col min="55" max="56" width="10.5" customWidth="1"/>
    <col min="57" max="57" width="10.6640625" customWidth="1"/>
    <col min="69" max="69" width="10.6640625" customWidth="1"/>
    <col min="70" max="70" width="11" customWidth="1"/>
    <col min="71" max="71" width="9.33203125" customWidth="1"/>
    <col min="72" max="72" width="8.6640625" customWidth="1"/>
    <col min="73" max="73" width="11" customWidth="1"/>
    <col min="74" max="74" width="9.83203125" customWidth="1"/>
    <col min="75" max="75" width="10.5" customWidth="1"/>
    <col min="79" max="79" width="7.83203125" customWidth="1"/>
    <col min="86" max="86" width="8.6640625" customWidth="1"/>
    <col min="87" max="87" width="9.5" customWidth="1"/>
    <col min="89" max="89" width="10" customWidth="1"/>
    <col min="92" max="92" width="10.5" customWidth="1"/>
    <col min="93" max="93" width="11.5" customWidth="1"/>
    <col min="94" max="94" width="10.6640625" customWidth="1"/>
    <col min="95" max="96" width="10.5" customWidth="1"/>
    <col min="114" max="114" width="11" customWidth="1"/>
    <col min="115" max="115" width="10.5" customWidth="1"/>
    <col min="116" max="116" width="11.33203125" customWidth="1"/>
    <col min="117" max="117" width="10.6640625" customWidth="1"/>
    <col min="134" max="135" width="9.83203125" customWidth="1"/>
    <col min="136" max="137" width="9.6640625" customWidth="1"/>
    <col min="138" max="139" width="9.83203125" customWidth="1"/>
    <col min="156" max="156" width="10" customWidth="1"/>
    <col min="165" max="165" width="9.83203125" customWidth="1"/>
  </cols>
  <sheetData>
    <row r="4" ht="15" customHeight="1" spans="3:23" x14ac:dyDescent="0.25">
      <c r="C4" s="2184" t="s">
        <v>692</v>
      </c>
      <c r="D4" s="2184"/>
      <c r="E4" s="2184"/>
      <c r="F4" s="2184"/>
      <c r="G4" s="2184"/>
      <c r="H4" s="2184"/>
      <c r="J4" s="2184" t="s">
        <v>1735</v>
      </c>
      <c r="K4" s="2184"/>
      <c r="L4" s="2184"/>
      <c r="M4" s="2184"/>
      <c r="N4" s="2184"/>
      <c r="O4" s="2184"/>
      <c r="Q4" s="2184" t="s">
        <v>1939</v>
      </c>
      <c r="R4" s="2184"/>
      <c r="S4" s="2184"/>
      <c r="T4" s="2184"/>
      <c r="U4" s="2184"/>
      <c r="V4" s="2184"/>
      <c r="W4" s="2184"/>
    </row>
    <row r="5" ht="15" customHeight="1" spans="3:23" x14ac:dyDescent="0.25">
      <c r="C5" s="2184" t="s">
        <v>1736</v>
      </c>
      <c r="D5" s="2184"/>
      <c r="E5" s="2184"/>
      <c r="F5" s="2184"/>
      <c r="G5" s="2184"/>
      <c r="H5" s="2184"/>
      <c r="Q5" s="2184" t="s">
        <v>1940</v>
      </c>
      <c r="R5" s="2184"/>
      <c r="S5" s="2184"/>
      <c r="T5" s="2184"/>
      <c r="U5" s="2184"/>
      <c r="V5" s="2184"/>
      <c r="W5" s="2184"/>
    </row>
    <row r="6" ht="15" customHeight="1" spans="3:21" x14ac:dyDescent="0.25">
      <c r="C6" t="s">
        <v>1503</v>
      </c>
      <c r="D6" t="s">
        <v>1740</v>
      </c>
      <c r="J6" t="s">
        <v>1503</v>
      </c>
      <c r="K6" t="s">
        <v>1740</v>
      </c>
      <c r="L6" t="s">
        <v>1741</v>
      </c>
      <c r="M6" t="s">
        <v>1742</v>
      </c>
      <c r="S6" t="s">
        <v>1503</v>
      </c>
      <c r="T6" t="s">
        <v>1941</v>
      </c>
      <c r="U6" t="s">
        <v>1942</v>
      </c>
    </row>
    <row r="7" ht="15" customHeight="1" spans="4:20" x14ac:dyDescent="0.25">
      <c r="D7" t="s">
        <v>1748</v>
      </c>
      <c r="F7" t="s">
        <v>56</v>
      </c>
      <c r="K7" t="s">
        <v>1744</v>
      </c>
      <c r="L7" t="s">
        <v>1745</v>
      </c>
      <c r="M7" t="s">
        <v>1746</v>
      </c>
      <c r="T7" t="s">
        <v>1943</v>
      </c>
    </row>
    <row r="8" ht="15" customHeight="1" spans="3:21" x14ac:dyDescent="0.25">
      <c r="C8" s="2184">
        <v>1990</v>
      </c>
      <c r="D8">
        <v>1927</v>
      </c>
      <c r="F8">
        <f>D8/1000</f>
        <v>1.927</v>
      </c>
      <c r="J8" s="2184">
        <v>1990</v>
      </c>
      <c r="K8">
        <v>136</v>
      </c>
      <c r="L8">
        <v>96.9</v>
      </c>
      <c r="M8">
        <v>100</v>
      </c>
      <c r="S8" s="2184">
        <v>1990</v>
      </c>
      <c r="T8">
        <v>104.2</v>
      </c>
      <c r="U8">
        <v>100</v>
      </c>
    </row>
    <row r="9" ht="15" customHeight="1" spans="3:21" x14ac:dyDescent="0.25">
      <c r="C9" s="2184">
        <v>1991</v>
      </c>
      <c r="D9">
        <v>2061</v>
      </c>
      <c r="F9">
        <f t="shared" ref="F9:F27" si="0">D9/1000</f>
        <v>2.061</v>
      </c>
      <c r="J9" s="2184">
        <v>1991</v>
      </c>
      <c r="K9">
        <v>176</v>
      </c>
      <c r="L9">
        <v>89.2</v>
      </c>
      <c r="M9">
        <v>89.2</v>
      </c>
      <c r="S9" s="2184">
        <v>1991</v>
      </c>
      <c r="T9">
        <v>103.5</v>
      </c>
      <c r="U9">
        <v>103.5</v>
      </c>
    </row>
    <row r="10" ht="15" customHeight="1" spans="3:21" x14ac:dyDescent="0.25">
      <c r="C10" s="2184">
        <v>1992</v>
      </c>
      <c r="D10">
        <v>43215</v>
      </c>
      <c r="F10">
        <f t="shared" si="0"/>
        <v>43.215</v>
      </c>
      <c r="J10" s="2184">
        <v>1992</v>
      </c>
      <c r="K10">
        <v>2005</v>
      </c>
      <c r="L10">
        <v>67.2</v>
      </c>
      <c r="M10">
        <v>60</v>
      </c>
      <c r="S10" s="2184">
        <v>1992</v>
      </c>
      <c r="T10">
        <v>102</v>
      </c>
      <c r="U10">
        <v>105.6</v>
      </c>
    </row>
    <row r="11" ht="15" customHeight="1" spans="3:21" x14ac:dyDescent="0.25">
      <c r="C11" s="2184">
        <v>1993</v>
      </c>
      <c r="D11">
        <v>63861</v>
      </c>
      <c r="F11">
        <f t="shared" si="0"/>
        <v>63.861</v>
      </c>
      <c r="J11" s="2184">
        <v>1993</v>
      </c>
      <c r="K11">
        <v>15093</v>
      </c>
      <c r="L11">
        <v>70</v>
      </c>
      <c r="M11">
        <v>42</v>
      </c>
      <c r="S11" s="2184">
        <v>1993</v>
      </c>
      <c r="T11">
        <v>100.6</v>
      </c>
      <c r="U11">
        <v>106.2</v>
      </c>
    </row>
    <row r="12" ht="15" customHeight="1" spans="3:21" x14ac:dyDescent="0.25">
      <c r="C12" s="2184">
        <v>1994</v>
      </c>
      <c r="D12">
        <v>1221494</v>
      </c>
      <c r="F12">
        <f t="shared" si="0"/>
        <v>1221.494</v>
      </c>
      <c r="J12" s="2184">
        <v>1994</v>
      </c>
      <c r="K12">
        <v>72350</v>
      </c>
      <c r="L12">
        <v>81.8</v>
      </c>
      <c r="M12">
        <v>34.4</v>
      </c>
      <c r="S12" s="2184">
        <v>1994</v>
      </c>
      <c r="T12">
        <v>99.9</v>
      </c>
      <c r="U12">
        <v>106.1</v>
      </c>
    </row>
    <row r="13" ht="15" customHeight="1" spans="3:22" x14ac:dyDescent="0.25">
      <c r="C13" s="2184">
        <v>1995</v>
      </c>
      <c r="D13">
        <v>5306460</v>
      </c>
      <c r="F13">
        <f t="shared" si="0"/>
        <v>5306.46</v>
      </c>
      <c r="J13" s="2184">
        <v>1995</v>
      </c>
      <c r="K13">
        <v>230407</v>
      </c>
      <c r="L13">
        <v>92.7</v>
      </c>
      <c r="M13">
        <v>31.9</v>
      </c>
      <c r="N13" s="103">
        <f>K13/1000</f>
        <v>230.407</v>
      </c>
      <c r="O13" s="1359">
        <f>L13/100</f>
        <v>0.927</v>
      </c>
      <c r="S13" s="2184">
        <v>1995</v>
      </c>
      <c r="T13">
        <v>100.1</v>
      </c>
      <c r="U13">
        <v>106.2</v>
      </c>
      <c r="V13">
        <f>T13/100</f>
        <v>1.001</v>
      </c>
    </row>
    <row r="14" ht="15" customHeight="1" spans="3:22" x14ac:dyDescent="0.25">
      <c r="C14" s="2184">
        <v>1996</v>
      </c>
      <c r="D14">
        <v>13250160</v>
      </c>
      <c r="F14">
        <f t="shared" si="0"/>
        <v>13250.16</v>
      </c>
      <c r="J14" s="2184">
        <v>1996</v>
      </c>
      <c r="K14">
        <v>334302</v>
      </c>
      <c r="L14">
        <v>85.7</v>
      </c>
      <c r="M14">
        <v>27.3</v>
      </c>
      <c r="N14" s="103">
        <f t="shared" ref="N14:N28" si="1">K14/1000</f>
        <v>334.302</v>
      </c>
      <c r="O14" s="1359">
        <f t="shared" ref="O14:O28" si="2">L14/100</f>
        <v>0.857</v>
      </c>
      <c r="S14" s="2184">
        <v>1996</v>
      </c>
      <c r="T14">
        <v>99.9</v>
      </c>
      <c r="U14">
        <v>106.1</v>
      </c>
      <c r="V14">
        <f t="shared" ref="V14:V28" si="3">T14/100</f>
        <v>0.9990000000000001</v>
      </c>
    </row>
    <row r="15" ht="15" customHeight="1" spans="3:22" x14ac:dyDescent="0.25">
      <c r="C15" s="2184">
        <v>1997</v>
      </c>
      <c r="D15">
        <v>13411951</v>
      </c>
      <c r="F15">
        <f t="shared" si="0"/>
        <v>13411.951</v>
      </c>
      <c r="J15" s="2184">
        <v>1997</v>
      </c>
      <c r="K15">
        <v>406472</v>
      </c>
      <c r="L15">
        <v>85.4</v>
      </c>
      <c r="M15">
        <v>23.3</v>
      </c>
      <c r="N15" s="103">
        <f t="shared" si="1"/>
        <v>406.472</v>
      </c>
      <c r="O15" s="1359">
        <f t="shared" si="2"/>
        <v>0.8540000000000001</v>
      </c>
      <c r="S15" s="2184">
        <v>1997</v>
      </c>
      <c r="T15">
        <v>99.6</v>
      </c>
      <c r="U15">
        <v>105.6</v>
      </c>
      <c r="V15">
        <f t="shared" si="3"/>
        <v>0.996</v>
      </c>
    </row>
    <row r="16" ht="15" customHeight="1" spans="3:22" x14ac:dyDescent="0.25">
      <c r="C16" s="2184">
        <v>1998</v>
      </c>
      <c r="D16">
        <v>14277540</v>
      </c>
      <c r="F16">
        <f t="shared" si="0"/>
        <v>14277.54</v>
      </c>
      <c r="J16" s="2184">
        <v>1998</v>
      </c>
      <c r="K16">
        <v>428564</v>
      </c>
      <c r="L16">
        <v>95</v>
      </c>
      <c r="M16">
        <v>22.2</v>
      </c>
      <c r="N16" s="103">
        <f t="shared" si="1"/>
        <v>428.564</v>
      </c>
      <c r="O16" s="1359">
        <f t="shared" si="2"/>
        <v>0.95</v>
      </c>
      <c r="S16" s="2184">
        <v>1998</v>
      </c>
      <c r="T16">
        <v>99.7</v>
      </c>
      <c r="U16">
        <v>105.4</v>
      </c>
      <c r="V16">
        <f t="shared" si="3"/>
        <v>0.997</v>
      </c>
    </row>
    <row r="17" ht="15" customHeight="1" spans="3:22" x14ac:dyDescent="0.25">
      <c r="C17" s="2184">
        <v>1999</v>
      </c>
      <c r="D17">
        <v>14334783</v>
      </c>
      <c r="F17">
        <f t="shared" si="0"/>
        <v>14334.783</v>
      </c>
      <c r="J17" s="2184">
        <v>1999</v>
      </c>
      <c r="K17">
        <v>597306</v>
      </c>
      <c r="L17">
        <v>106.7</v>
      </c>
      <c r="M17">
        <v>23.7</v>
      </c>
      <c r="N17" s="103">
        <f t="shared" si="1"/>
        <v>597.306</v>
      </c>
      <c r="O17" s="1359">
        <f t="shared" si="2"/>
        <v>1.067</v>
      </c>
      <c r="S17" s="2184">
        <v>1999</v>
      </c>
      <c r="T17">
        <v>100.2</v>
      </c>
      <c r="U17">
        <v>105.6</v>
      </c>
      <c r="V17">
        <f t="shared" si="3"/>
        <v>1.002</v>
      </c>
    </row>
    <row r="18" ht="15" customHeight="1" spans="3:22" x14ac:dyDescent="0.25">
      <c r="C18" s="2184">
        <v>2000</v>
      </c>
      <c r="D18">
        <v>17464172</v>
      </c>
      <c r="F18">
        <f t="shared" si="0"/>
        <v>17464.172</v>
      </c>
      <c r="J18" s="2184">
        <v>2000</v>
      </c>
      <c r="K18">
        <v>843378</v>
      </c>
      <c r="L18">
        <v>125.1</v>
      </c>
      <c r="M18">
        <v>29.6</v>
      </c>
      <c r="N18" s="103">
        <f t="shared" si="1"/>
        <v>843.378</v>
      </c>
      <c r="O18" s="1359">
        <f t="shared" si="2"/>
        <v>1.251</v>
      </c>
      <c r="S18" s="2184">
        <v>2000</v>
      </c>
      <c r="T18">
        <v>100.5</v>
      </c>
      <c r="U18">
        <v>106.2</v>
      </c>
      <c r="V18">
        <f t="shared" si="3"/>
        <v>1.005</v>
      </c>
    </row>
    <row r="19" ht="15" customHeight="1" spans="3:22" x14ac:dyDescent="0.25">
      <c r="C19" s="2184">
        <v>2001</v>
      </c>
      <c r="D19">
        <v>21495236</v>
      </c>
      <c r="F19">
        <f t="shared" si="0"/>
        <v>21495.236</v>
      </c>
      <c r="J19" s="2184">
        <v>2001</v>
      </c>
      <c r="K19">
        <v>1117655</v>
      </c>
      <c r="L19">
        <v>118.9</v>
      </c>
      <c r="M19">
        <v>35.2</v>
      </c>
      <c r="N19" s="103">
        <f t="shared" si="1"/>
        <v>1117.655</v>
      </c>
      <c r="O19" s="1359">
        <f t="shared" si="2"/>
        <v>1.189</v>
      </c>
      <c r="S19" s="2184">
        <v>2001</v>
      </c>
      <c r="T19">
        <v>100.9</v>
      </c>
      <c r="U19">
        <v>107.1</v>
      </c>
      <c r="V19">
        <f t="shared" si="3"/>
        <v>1.0090000000000001</v>
      </c>
    </row>
    <row r="20" ht="15" customHeight="1" spans="3:66" x14ac:dyDescent="0.25">
      <c r="C20" s="2184">
        <v>2002</v>
      </c>
      <c r="D20">
        <v>26333273</v>
      </c>
      <c r="F20">
        <f t="shared" si="0"/>
        <v>26333.273</v>
      </c>
      <c r="J20" s="2184">
        <v>2002</v>
      </c>
      <c r="K20">
        <v>1615063</v>
      </c>
      <c r="L20">
        <v>107.9</v>
      </c>
      <c r="M20">
        <v>38</v>
      </c>
      <c r="N20" s="103">
        <f t="shared" si="1"/>
        <v>1615.063</v>
      </c>
      <c r="O20" s="1359">
        <f t="shared" si="2"/>
        <v>1.079</v>
      </c>
      <c r="S20" s="2184">
        <v>2002</v>
      </c>
      <c r="T20">
        <v>101</v>
      </c>
      <c r="U20">
        <v>108.2</v>
      </c>
      <c r="V20">
        <f t="shared" si="3"/>
        <v>1.01</v>
      </c>
      <c r="BN20" s="806"/>
    </row>
    <row r="21" ht="15" customHeight="1" spans="3:22" x14ac:dyDescent="0.25">
      <c r="C21" s="2184">
        <v>2003</v>
      </c>
      <c r="D21">
        <v>32173286</v>
      </c>
      <c r="F21">
        <f t="shared" si="0"/>
        <v>32173.286</v>
      </c>
      <c r="J21" s="2184">
        <v>2003</v>
      </c>
      <c r="K21">
        <v>1815658</v>
      </c>
      <c r="L21">
        <v>112.1</v>
      </c>
      <c r="M21">
        <v>42.6</v>
      </c>
      <c r="N21" s="103">
        <f t="shared" si="1"/>
        <v>1815.658</v>
      </c>
      <c r="O21" s="1359">
        <f t="shared" si="2"/>
        <v>1.121</v>
      </c>
      <c r="S21" s="2184">
        <v>2003</v>
      </c>
      <c r="T21">
        <v>101.3</v>
      </c>
      <c r="U21">
        <v>109.5</v>
      </c>
      <c r="V21">
        <f t="shared" si="3"/>
        <v>1.013</v>
      </c>
    </row>
    <row r="22" ht="15" customHeight="1" spans="3:22" x14ac:dyDescent="0.25">
      <c r="C22" s="2184">
        <v>2004</v>
      </c>
      <c r="D22">
        <v>34873724</v>
      </c>
      <c r="F22">
        <f t="shared" si="0"/>
        <v>34873.724</v>
      </c>
      <c r="J22" s="2184">
        <v>2004</v>
      </c>
      <c r="K22">
        <v>1972112</v>
      </c>
      <c r="L22">
        <v>111.8</v>
      </c>
      <c r="M22">
        <v>47.6</v>
      </c>
      <c r="N22" s="103">
        <f t="shared" si="1"/>
        <v>1972.112</v>
      </c>
      <c r="O22" s="1359">
        <f t="shared" si="2"/>
        <v>1.1179999999999999</v>
      </c>
      <c r="S22" s="2184">
        <v>2004</v>
      </c>
      <c r="T22">
        <v>101.6</v>
      </c>
      <c r="U22">
        <v>111.3</v>
      </c>
      <c r="V22">
        <f t="shared" si="3"/>
        <v>1.016</v>
      </c>
    </row>
    <row r="23" ht="15" customHeight="1" spans="3:22" x14ac:dyDescent="0.25">
      <c r="C23" s="2184">
        <v>2005</v>
      </c>
      <c r="D23">
        <v>41493568</v>
      </c>
      <c r="F23">
        <f t="shared" si="0"/>
        <v>41493.568</v>
      </c>
      <c r="J23" s="2184">
        <v>2005</v>
      </c>
      <c r="K23">
        <v>2943686</v>
      </c>
      <c r="L23">
        <v>111</v>
      </c>
      <c r="M23">
        <v>52.8</v>
      </c>
      <c r="N23" s="103">
        <f t="shared" si="1"/>
        <v>2943.686</v>
      </c>
      <c r="O23" s="1359">
        <f t="shared" si="2"/>
        <v>1.11</v>
      </c>
      <c r="S23" s="2184">
        <v>2005</v>
      </c>
      <c r="T23">
        <v>101.9</v>
      </c>
      <c r="U23">
        <v>113.5</v>
      </c>
      <c r="V23">
        <f t="shared" si="3"/>
        <v>1.0190000000000001</v>
      </c>
    </row>
    <row r="24" ht="16.25" customHeight="1" spans="3:159" x14ac:dyDescent="0.25">
      <c r="C24" s="2184">
        <v>2006</v>
      </c>
      <c r="D24">
        <v>47489498</v>
      </c>
      <c r="F24">
        <f t="shared" si="0"/>
        <v>47489.498</v>
      </c>
      <c r="J24" s="2184">
        <v>2006</v>
      </c>
      <c r="K24">
        <v>3252436</v>
      </c>
      <c r="L24">
        <v>116.1</v>
      </c>
      <c r="M24">
        <v>61.4</v>
      </c>
      <c r="N24" s="103">
        <f t="shared" si="1"/>
        <v>3252.436</v>
      </c>
      <c r="O24" s="1359">
        <f t="shared" si="2"/>
        <v>1.161</v>
      </c>
      <c r="S24" s="2184">
        <v>2006</v>
      </c>
      <c r="T24">
        <v>102.4</v>
      </c>
      <c r="U24">
        <v>116.2</v>
      </c>
      <c r="V24">
        <f t="shared" si="3"/>
        <v>1.024</v>
      </c>
      <c r="BA24" s="2185" t="s">
        <v>520</v>
      </c>
      <c r="BB24" s="2186" t="s">
        <v>1944</v>
      </c>
      <c r="BC24" s="2187" t="s">
        <v>1945</v>
      </c>
      <c r="BU24" s="2073" t="s">
        <v>1946</v>
      </c>
      <c r="BV24" s="2073" t="s">
        <v>974</v>
      </c>
      <c r="BW24" s="2073" t="s">
        <v>1947</v>
      </c>
      <c r="BX24" s="2073" t="s">
        <v>1948</v>
      </c>
      <c r="CR24" s="2073" t="s">
        <v>974</v>
      </c>
      <c r="CS24" s="2073" t="s">
        <v>974</v>
      </c>
      <c r="DK24" s="2073" t="s">
        <v>974</v>
      </c>
      <c r="DL24" s="2073" t="s">
        <v>974</v>
      </c>
      <c r="DM24" s="2073" t="s">
        <v>1949</v>
      </c>
      <c r="EF24" s="1156" t="s">
        <v>974</v>
      </c>
      <c r="EG24" s="1156" t="s">
        <v>974</v>
      </c>
      <c r="EH24" s="1156" t="s">
        <v>1949</v>
      </c>
      <c r="FA24" s="1156" t="s">
        <v>974</v>
      </c>
      <c r="FB24" s="1156" t="s">
        <v>974</v>
      </c>
      <c r="FC24" s="1260" t="s">
        <v>974</v>
      </c>
    </row>
    <row r="25" ht="20.5" customHeight="1" spans="3:159" x14ac:dyDescent="0.25">
      <c r="C25" s="2184">
        <v>2007</v>
      </c>
      <c r="D25">
        <v>60391454</v>
      </c>
      <c r="F25">
        <f t="shared" si="0"/>
        <v>60391.454</v>
      </c>
      <c r="J25" s="2184">
        <v>2007</v>
      </c>
      <c r="K25">
        <v>4296411</v>
      </c>
      <c r="L25">
        <v>122.1</v>
      </c>
      <c r="M25">
        <v>74.9</v>
      </c>
      <c r="N25" s="103">
        <f t="shared" si="1"/>
        <v>4296.411</v>
      </c>
      <c r="O25" s="1359">
        <f t="shared" si="2"/>
        <v>1.2209999999999999</v>
      </c>
      <c r="S25" s="2184">
        <v>2007</v>
      </c>
      <c r="T25">
        <v>103.1</v>
      </c>
      <c r="U25">
        <v>119.8</v>
      </c>
      <c r="V25">
        <f t="shared" si="3"/>
        <v>1.031</v>
      </c>
      <c r="AD25" s="1032"/>
      <c r="AE25" s="17"/>
      <c r="AF25" s="18"/>
      <c r="AY25" s="2188" t="s">
        <v>815</v>
      </c>
      <c r="AZ25" s="2189" t="s">
        <v>816</v>
      </c>
      <c r="BA25" s="850">
        <v>43187</v>
      </c>
      <c r="BB25" s="843" t="s">
        <v>1950</v>
      </c>
      <c r="BC25" s="843" t="s">
        <v>1950</v>
      </c>
      <c r="BT25" s="1161" t="s">
        <v>520</v>
      </c>
      <c r="BU25" s="2150" t="s">
        <v>1951</v>
      </c>
      <c r="BV25" s="2083" t="s">
        <v>1952</v>
      </c>
      <c r="BW25" s="2190"/>
      <c r="BX25" s="2190"/>
      <c r="CQ25" s="1161" t="s">
        <v>520</v>
      </c>
      <c r="CR25" s="2150" t="s">
        <v>1953</v>
      </c>
      <c r="CS25" s="2083" t="s">
        <v>1907</v>
      </c>
      <c r="DJ25" s="1161" t="s">
        <v>520</v>
      </c>
      <c r="DK25" s="2150" t="s">
        <v>625</v>
      </c>
      <c r="DL25" s="2190" t="s">
        <v>1954</v>
      </c>
      <c r="DM25" s="2190" t="s">
        <v>1955</v>
      </c>
      <c r="EE25" s="1161" t="s">
        <v>520</v>
      </c>
      <c r="EF25" s="2150" t="s">
        <v>1909</v>
      </c>
      <c r="EG25" s="2190" t="s">
        <v>1956</v>
      </c>
      <c r="EH25" s="2190" t="s">
        <v>1957</v>
      </c>
      <c r="EZ25" s="1161" t="s">
        <v>520</v>
      </c>
      <c r="FA25" s="1162" t="s">
        <v>392</v>
      </c>
      <c r="FB25" s="1029" t="s">
        <v>41</v>
      </c>
      <c r="FC25" s="1029" t="s">
        <v>838</v>
      </c>
    </row>
    <row r="26" ht="15.5" customHeight="1" spans="3:159" x14ac:dyDescent="0.25">
      <c r="C26" s="2184">
        <v>2008</v>
      </c>
      <c r="D26">
        <v>74471182</v>
      </c>
      <c r="F26">
        <f t="shared" si="0"/>
        <v>74471.182</v>
      </c>
      <c r="J26" s="2184">
        <v>2008</v>
      </c>
      <c r="K26">
        <v>5744847</v>
      </c>
      <c r="L26">
        <v>114</v>
      </c>
      <c r="M26">
        <v>85.4</v>
      </c>
      <c r="N26" s="103">
        <f t="shared" si="1"/>
        <v>5744.847</v>
      </c>
      <c r="O26" s="1359">
        <f t="shared" si="2"/>
        <v>1.14</v>
      </c>
      <c r="S26" s="2184">
        <v>2008</v>
      </c>
      <c r="T26">
        <v>103.6</v>
      </c>
      <c r="U26">
        <v>124.1</v>
      </c>
      <c r="V26">
        <f t="shared" si="3"/>
        <v>1.036</v>
      </c>
      <c r="AD26" s="2191" t="s">
        <v>1958</v>
      </c>
      <c r="AE26" s="2192"/>
      <c r="AF26" s="2193"/>
      <c r="BA26" s="2194">
        <v>1995</v>
      </c>
      <c r="BB26" s="2195">
        <f t="array" ref="BB26:BB47">TRANSPOSE(ОТЧЁТ!U174:AP174)</f>
        <v>22.301473733510264</v>
      </c>
      <c r="BC26" s="158"/>
      <c r="BT26" s="2196">
        <v>43187</v>
      </c>
      <c r="BU26" s="843" t="s">
        <v>56</v>
      </c>
      <c r="BV26" s="843" t="s">
        <v>1873</v>
      </c>
      <c r="BW26" s="843" t="s">
        <v>56</v>
      </c>
      <c r="BX26" s="843" t="s">
        <v>56</v>
      </c>
      <c r="CQ26" s="2197">
        <v>43187</v>
      </c>
      <c r="CR26" s="843" t="s">
        <v>56</v>
      </c>
      <c r="CS26" s="843" t="s">
        <v>56</v>
      </c>
      <c r="DJ26" s="1168">
        <v>43187</v>
      </c>
      <c r="DK26" s="843" t="s">
        <v>840</v>
      </c>
      <c r="DL26" s="843" t="s">
        <v>840</v>
      </c>
      <c r="DM26" s="843" t="s">
        <v>840</v>
      </c>
      <c r="EE26" s="2197">
        <v>43187</v>
      </c>
      <c r="EF26" s="2198" t="s">
        <v>56</v>
      </c>
      <c r="EG26" s="2198" t="s">
        <v>56</v>
      </c>
      <c r="EH26" s="2198" t="s">
        <v>56</v>
      </c>
      <c r="EZ26" s="2197">
        <v>43193</v>
      </c>
      <c r="FA26" s="843" t="s">
        <v>840</v>
      </c>
      <c r="FB26" s="843" t="s">
        <v>840</v>
      </c>
      <c r="FC26" s="843" t="s">
        <v>840</v>
      </c>
    </row>
    <row r="27" ht="17.5" customHeight="1" spans="3:159" x14ac:dyDescent="0.25">
      <c r="C27" s="2184">
        <v>2009</v>
      </c>
      <c r="D27">
        <v>82302969</v>
      </c>
      <c r="F27">
        <f t="shared" si="0"/>
        <v>82302.969</v>
      </c>
      <c r="J27" s="2184">
        <v>2009</v>
      </c>
      <c r="K27">
        <v>6356223</v>
      </c>
      <c r="L27">
        <v>96.6</v>
      </c>
      <c r="M27">
        <v>82.5</v>
      </c>
      <c r="N27" s="103">
        <f t="shared" si="1"/>
        <v>6356.223</v>
      </c>
      <c r="O27" s="1359">
        <f t="shared" si="2"/>
        <v>0.966</v>
      </c>
      <c r="S27" s="2184">
        <v>2009</v>
      </c>
      <c r="T27">
        <v>103.2</v>
      </c>
      <c r="U27">
        <v>128.1</v>
      </c>
      <c r="V27">
        <f t="shared" si="3"/>
        <v>1.032</v>
      </c>
      <c r="AD27" s="2191" t="s">
        <v>1959</v>
      </c>
      <c r="AE27" s="2192"/>
      <c r="AF27" s="2193"/>
      <c r="BA27" s="2199">
        <v>1996</v>
      </c>
      <c r="BB27" s="1706">
        <v>21.883647145944572</v>
      </c>
      <c r="BC27" s="144"/>
      <c r="BT27" s="2081">
        <v>1995</v>
      </c>
      <c r="BU27" s="2200">
        <f t="array" ref="BU27:BU48">TRANSPOSE(ОТЧЁТ!U152:AP152)</f>
        <v>1</v>
      </c>
      <c r="BV27" s="1608">
        <v>1</v>
      </c>
      <c r="BW27" s="2201"/>
      <c r="BX27" s="2201"/>
      <c r="CQ27" s="828">
        <v>1995</v>
      </c>
      <c r="CR27" s="2202">
        <v>2876.5161000000003</v>
      </c>
      <c r="CS27" s="2202">
        <v>647.87</v>
      </c>
      <c r="DJ27" s="2081">
        <v>1995</v>
      </c>
      <c r="DK27" s="2094">
        <f t="array" ref="DK27:DK48">TRANSPOSE(ОТЧЁТ!U157:AP157)</f>
        <v>1</v>
      </c>
      <c r="DL27" s="1416">
        <f t="array" ref="DL27:DL48">TRANSPOSE(ОТЧЁТ!U160:AP160)</f>
        <v>1</v>
      </c>
      <c r="DM27" s="2203">
        <f t="array" ref="DM27:DM48">TRANSPOSE(ОТЧЁТ!U73:AP73)</f>
        <v>0</v>
      </c>
      <c r="EE27" s="2081">
        <v>1995</v>
      </c>
      <c r="EF27" s="2204">
        <v>1428.5209</v>
      </c>
      <c r="EG27" s="2205">
        <v>272.5015</v>
      </c>
      <c r="EH27" s="2206">
        <v>368.8883</v>
      </c>
      <c r="EZ27" s="2081">
        <v>1995</v>
      </c>
      <c r="FA27" s="2095">
        <v>1</v>
      </c>
      <c r="FB27" s="1587">
        <v>1</v>
      </c>
      <c r="FC27" s="2207">
        <v>1</v>
      </c>
    </row>
    <row r="28" ht="17.5" customHeight="1" spans="3:159" x14ac:dyDescent="0.25">
      <c r="C28" s="2184">
        <v>2010</v>
      </c>
      <c r="J28" s="2184">
        <v>2010</v>
      </c>
      <c r="K28">
        <v>6275931</v>
      </c>
      <c r="L28">
        <v>93.4</v>
      </c>
      <c r="M28">
        <v>77.1</v>
      </c>
      <c r="N28" s="103">
        <f t="shared" si="1"/>
        <v>6275.931</v>
      </c>
      <c r="O28" s="1359">
        <f t="shared" si="2"/>
        <v>0.934</v>
      </c>
      <c r="S28" s="2184">
        <v>2010</v>
      </c>
      <c r="T28">
        <v>103</v>
      </c>
      <c r="U28">
        <v>131.9</v>
      </c>
      <c r="V28">
        <f t="shared" si="3"/>
        <v>1.03</v>
      </c>
      <c r="Y28" t="s">
        <v>1960</v>
      </c>
      <c r="AD28" s="2208" t="s">
        <v>1961</v>
      </c>
      <c r="AE28" s="1052"/>
      <c r="AF28" s="1053"/>
      <c r="BA28" s="2199">
        <v>1997</v>
      </c>
      <c r="BB28" s="1706">
        <v>23.26474843248863</v>
      </c>
      <c r="BC28" s="144"/>
      <c r="BT28" s="2103">
        <v>1996</v>
      </c>
      <c r="BU28" s="2200">
        <v>0.964</v>
      </c>
      <c r="BV28" s="1608">
        <v>1.3191577216179184</v>
      </c>
      <c r="BW28" s="2201"/>
      <c r="BX28" s="2201"/>
      <c r="CQ28" s="559">
        <v>1996</v>
      </c>
      <c r="CR28" s="2202">
        <v>3978.7420000000006</v>
      </c>
      <c r="CS28" s="2202">
        <v>1022.64</v>
      </c>
      <c r="DJ28" s="2103">
        <v>1996</v>
      </c>
      <c r="DK28" s="2209">
        <v>0.819</v>
      </c>
      <c r="DL28" s="2210">
        <v>1.031</v>
      </c>
      <c r="DM28" s="1994">
        <v>0</v>
      </c>
      <c r="EE28" s="2103">
        <v>1996</v>
      </c>
      <c r="EF28" s="2211">
        <v>2007.8252000000002</v>
      </c>
      <c r="EG28" s="2201">
        <v>391.3813</v>
      </c>
      <c r="EH28" s="2212">
        <v>490.67980000000006</v>
      </c>
      <c r="EZ28" s="2103">
        <v>1996</v>
      </c>
      <c r="FA28" s="2200">
        <v>1.7194377618988257</v>
      </c>
      <c r="FB28" s="1608">
        <v>1.218</v>
      </c>
      <c r="FC28" s="2213">
        <v>1.695396731545807</v>
      </c>
    </row>
    <row r="29" ht="17.5" customHeight="1" spans="3:159" x14ac:dyDescent="0.25">
      <c r="C29" s="2184">
        <v>2011</v>
      </c>
      <c r="AA29" t="s">
        <v>1962</v>
      </c>
      <c r="AB29">
        <v>2.8763</v>
      </c>
      <c r="AD29" s="2208" t="s">
        <v>1963</v>
      </c>
      <c r="AE29" s="1052"/>
      <c r="AF29" s="1053"/>
      <c r="BA29" s="2199">
        <v>1998</v>
      </c>
      <c r="BB29" s="1706">
        <v>22.628910997930777</v>
      </c>
      <c r="BC29" s="144"/>
      <c r="BT29" s="2103">
        <v>1997</v>
      </c>
      <c r="BU29" s="2200">
        <v>0.977496</v>
      </c>
      <c r="BV29" s="1608">
        <v>1.465619370714605</v>
      </c>
      <c r="BW29" s="2201"/>
      <c r="BX29" s="2201"/>
      <c r="CQ29" s="559">
        <v>1997</v>
      </c>
      <c r="CR29" s="2202">
        <v>4542.1257</v>
      </c>
      <c r="CS29" s="2202">
        <v>1202.9</v>
      </c>
      <c r="DJ29" s="2103">
        <v>1997</v>
      </c>
      <c r="DK29" s="2209">
        <v>0.7780499999999999</v>
      </c>
      <c r="DL29" s="2210">
        <v>1.0062559999999998</v>
      </c>
      <c r="DM29" s="1994">
        <v>0</v>
      </c>
      <c r="EE29" s="2103">
        <v>1997</v>
      </c>
      <c r="EF29" s="2211">
        <v>2342.5137</v>
      </c>
      <c r="EG29" s="2201">
        <v>493.5735</v>
      </c>
      <c r="EH29" s="2212">
        <v>599.5770999999999</v>
      </c>
      <c r="EZ29" s="2103">
        <v>1997</v>
      </c>
      <c r="FA29" s="2200">
        <v>1.9680277801214476</v>
      </c>
      <c r="FB29" s="1608">
        <v>1.3519800000000002</v>
      </c>
      <c r="FC29" s="2213">
        <v>2.415292468742241</v>
      </c>
    </row>
    <row r="30" ht="17.5" customHeight="1" spans="3:159" x14ac:dyDescent="0.25">
      <c r="C30" s="2184">
        <v>2012</v>
      </c>
      <c r="AA30" t="s">
        <v>1964</v>
      </c>
      <c r="AB30" s="1367">
        <f>AE50-AB29*AF50</f>
        <v>-208.50659474334685</v>
      </c>
      <c r="AD30" s="2208" t="s">
        <v>1965</v>
      </c>
      <c r="AE30" s="1052"/>
      <c r="AF30" s="1053"/>
      <c r="BA30" s="2199">
        <v>1999</v>
      </c>
      <c r="BB30" s="1706">
        <v>22.3042559683141</v>
      </c>
      <c r="BC30" s="144"/>
      <c r="BT30" s="2103">
        <v>1998</v>
      </c>
      <c r="BU30" s="2200">
        <v>0.925688712</v>
      </c>
      <c r="BV30" s="1608">
        <v>0.8571672725429934</v>
      </c>
      <c r="BW30" s="2201"/>
      <c r="BX30" s="2201"/>
      <c r="CQ30" s="559">
        <v>1998</v>
      </c>
      <c r="CR30" s="2202">
        <v>4820.3403</v>
      </c>
      <c r="CS30" s="2202">
        <v>1263.047</v>
      </c>
      <c r="DJ30" s="2103">
        <v>1998</v>
      </c>
      <c r="DK30" s="2209">
        <v>0.684684</v>
      </c>
      <c r="DL30" s="2210">
        <v>1.0163185599999998</v>
      </c>
      <c r="DM30" s="1994">
        <v>0</v>
      </c>
      <c r="EE30" s="2103">
        <v>1998</v>
      </c>
      <c r="EF30" s="2211">
        <v>2629.6229</v>
      </c>
      <c r="EG30" s="2201">
        <v>492.6206</v>
      </c>
      <c r="EH30" s="2212">
        <v>479.01689999999996</v>
      </c>
      <c r="EZ30" s="2103">
        <v>1998</v>
      </c>
      <c r="FA30" s="2200">
        <v>2.2270348811115843</v>
      </c>
      <c r="FB30" s="1608">
        <v>2.4930511200000005</v>
      </c>
      <c r="FC30" s="2213">
        <v>2.6727462335842294</v>
      </c>
    </row>
    <row r="31" ht="17.5" customHeight="1" spans="3:159" x14ac:dyDescent="0.25">
      <c r="C31" s="2184">
        <v>2013</v>
      </c>
      <c r="AD31" s="2214"/>
      <c r="AE31" s="164"/>
      <c r="AF31" s="1128"/>
      <c r="BA31" s="2199">
        <v>2000</v>
      </c>
      <c r="BB31" s="1706">
        <v>23.785105002190093</v>
      </c>
      <c r="BC31" s="144"/>
      <c r="BT31" s="2103">
        <v>1999</v>
      </c>
      <c r="BU31" s="2200">
        <v>0.9849327895680001</v>
      </c>
      <c r="BV31" s="1608">
        <v>0.8905613871995075</v>
      </c>
      <c r="BW31" s="2201"/>
      <c r="BX31" s="2201"/>
      <c r="CQ31" s="559">
        <v>1999</v>
      </c>
      <c r="CR31" s="2202">
        <v>8798.5622</v>
      </c>
      <c r="CS31" s="2202">
        <v>1933.606</v>
      </c>
      <c r="DJ31" s="2103">
        <v>1999</v>
      </c>
      <c r="DK31" s="2209">
        <v>0.7189182</v>
      </c>
      <c r="DL31" s="2210">
        <v>1.0478244353599997</v>
      </c>
      <c r="DM31" s="1994">
        <v>0</v>
      </c>
      <c r="EE31" s="2103">
        <v>1999</v>
      </c>
      <c r="EF31" s="2211">
        <v>4823.2329</v>
      </c>
      <c r="EG31" s="2201">
        <v>703.2091</v>
      </c>
      <c r="EH31" s="2212">
        <v>748.0888</v>
      </c>
      <c r="EZ31" s="2103">
        <v>1999</v>
      </c>
      <c r="FA31" s="2200">
        <v>3.493098424873764</v>
      </c>
      <c r="FB31" s="1608">
        <v>3.4030147788000007</v>
      </c>
      <c r="FC31" s="2213">
        <v>3.4893420575027583</v>
      </c>
    </row>
    <row r="32" ht="17.5" customHeight="1" spans="3:159" x14ac:dyDescent="0.25">
      <c r="C32" s="2184">
        <v>2014</v>
      </c>
      <c r="AD32" s="2214" t="s">
        <v>1966</v>
      </c>
      <c r="AE32" s="164"/>
      <c r="AF32" s="1128"/>
      <c r="BA32" s="2199">
        <v>2001</v>
      </c>
      <c r="BB32" s="1706">
        <v>24.97780075241661</v>
      </c>
      <c r="BC32" s="144"/>
      <c r="BT32" s="2103">
        <v>2000</v>
      </c>
      <c r="BU32" s="2200">
        <v>1.0834260685248003</v>
      </c>
      <c r="BV32" s="1608">
        <v>1.0910735084339893</v>
      </c>
      <c r="BW32" s="1608">
        <f>BV32</f>
        <v>1.0910735084339893</v>
      </c>
      <c r="BX32" s="2201"/>
      <c r="CQ32" s="559">
        <v>2000</v>
      </c>
      <c r="CR32" s="2202">
        <v>13385.6595</v>
      </c>
      <c r="CS32" s="2202">
        <v>2937.23</v>
      </c>
      <c r="DJ32" s="2103">
        <v>2000</v>
      </c>
      <c r="DK32" s="2209">
        <v>0.8440099667999998</v>
      </c>
      <c r="DL32" s="2210">
        <v>1.0687809240671997</v>
      </c>
      <c r="DM32" s="1994">
        <v>0</v>
      </c>
      <c r="EE32" s="2103">
        <v>2000</v>
      </c>
      <c r="EF32" s="2211">
        <v>7305.6466</v>
      </c>
      <c r="EG32" s="2201">
        <v>1102.4971</v>
      </c>
      <c r="EH32" s="2212">
        <v>1302.9964999999997</v>
      </c>
      <c r="EZ32" s="2103">
        <v>2000</v>
      </c>
      <c r="FA32" s="2200">
        <v>5.171262749607017</v>
      </c>
      <c r="FB32" s="1608">
        <v>4.090423764117601</v>
      </c>
      <c r="FC32" s="2213">
        <v>3.9448052793534916</v>
      </c>
    </row>
    <row r="33" ht="17.5" customHeight="1" spans="3:159" x14ac:dyDescent="0.25">
      <c r="C33" s="2184">
        <v>2015</v>
      </c>
      <c r="AD33" s="2214" t="s">
        <v>1967</v>
      </c>
      <c r="AE33" s="164"/>
      <c r="AF33" s="1128"/>
      <c r="AT33" s="1032"/>
      <c r="AU33" s="2215" t="s">
        <v>815</v>
      </c>
      <c r="AV33" s="18"/>
      <c r="AY33" s="1367">
        <f>BB33</f>
        <v>25.549151597899893</v>
      </c>
      <c r="BA33" s="2199">
        <v>2002</v>
      </c>
      <c r="BB33" s="1706">
        <v>25.549151597899893</v>
      </c>
      <c r="BC33" s="144"/>
      <c r="BT33" s="2103">
        <v>2001</v>
      </c>
      <c r="BU33" s="2200">
        <v>1.138680798019565</v>
      </c>
      <c r="BV33" s="1608">
        <v>1.2043645968535897</v>
      </c>
      <c r="BW33" s="1608">
        <f t="shared" ref="BW33:BW40" si="4">BV33</f>
        <v>1.2043645968535897</v>
      </c>
      <c r="BX33" s="2201"/>
      <c r="CQ33" s="559">
        <v>2001</v>
      </c>
      <c r="CR33" s="2202">
        <v>17020.2773</v>
      </c>
      <c r="CS33" s="2202">
        <v>3848.4</v>
      </c>
      <c r="DJ33" s="2103">
        <v>2001</v>
      </c>
      <c r="DK33" s="2209">
        <v>0.9284109634799999</v>
      </c>
      <c r="DL33" s="2210">
        <v>1.060230676674662</v>
      </c>
      <c r="DM33" s="1994">
        <v>0</v>
      </c>
      <c r="EE33" s="2103">
        <v>2001</v>
      </c>
      <c r="EF33" s="2211">
        <v>8943.5826</v>
      </c>
      <c r="EG33" s="2201">
        <v>1469.9576</v>
      </c>
      <c r="EH33" s="2212">
        <v>1928.3684999999994</v>
      </c>
      <c r="EZ33" s="2103">
        <v>2001</v>
      </c>
      <c r="FA33" s="2200">
        <v>6.070726846853919</v>
      </c>
      <c r="FB33" s="1608">
        <v>4.851242584243474</v>
      </c>
      <c r="FC33" s="2213">
        <v>4.396024616222597</v>
      </c>
    </row>
    <row r="34" ht="17.5" customHeight="1" spans="3:159" x14ac:dyDescent="0.25">
      <c r="C34" s="2184"/>
      <c r="AD34" s="2214" t="s">
        <v>1968</v>
      </c>
      <c r="AE34" s="164"/>
      <c r="AF34" s="1128"/>
      <c r="AT34" s="959">
        <v>80</v>
      </c>
      <c r="AU34" s="2216">
        <f t="shared" ref="AU34:AU41" si="5">AB$29*AT34+AB$30</f>
        <v>21.59740525665316</v>
      </c>
      <c r="AV34" s="21"/>
      <c r="AY34" s="1367">
        <f>AY33+1.8</f>
        <v>27.349151597899894</v>
      </c>
      <c r="BA34" s="2199">
        <v>2003</v>
      </c>
      <c r="BB34" s="1706">
        <v>27.546477966188984</v>
      </c>
      <c r="BC34" s="144"/>
      <c r="BT34" s="2103">
        <v>2002</v>
      </c>
      <c r="BU34" s="2200">
        <v>1.1921987955264846</v>
      </c>
      <c r="BV34" s="1608">
        <v>1.3454454046567674</v>
      </c>
      <c r="BW34" s="1608">
        <f t="shared" si="4"/>
        <v>1.3454454046567674</v>
      </c>
      <c r="BX34" s="2201"/>
      <c r="CQ34" s="559">
        <v>2002</v>
      </c>
      <c r="CR34" s="2202">
        <v>20222.973599999998</v>
      </c>
      <c r="CS34" s="2202">
        <v>5065.1</v>
      </c>
      <c r="DJ34" s="2103">
        <v>2002</v>
      </c>
      <c r="DK34" s="2209">
        <v>0.9544064704574399</v>
      </c>
      <c r="DL34" s="2210">
        <v>1.0877966742682033</v>
      </c>
      <c r="DM34" s="1994">
        <v>0</v>
      </c>
      <c r="EE34" s="2103">
        <v>2002</v>
      </c>
      <c r="EF34" s="2211">
        <v>10819.270899999998</v>
      </c>
      <c r="EG34" s="2201">
        <v>1942.4418</v>
      </c>
      <c r="EH34" s="2212">
        <v>2349.4081999999985</v>
      </c>
      <c r="EZ34" s="2103">
        <v>2002</v>
      </c>
      <c r="FA34" s="2200">
        <v>6.916750986271128</v>
      </c>
      <c r="FB34" s="1608">
        <v>5.583780214464239</v>
      </c>
      <c r="FC34" s="2213">
        <v>5.884382361829743</v>
      </c>
    </row>
    <row r="35" ht="18" customHeight="1" spans="30:159" x14ac:dyDescent="0.25">
      <c r="AD35" s="558"/>
      <c r="AE35" s="114"/>
      <c r="AF35" s="115"/>
      <c r="AT35" s="959">
        <v>82</v>
      </c>
      <c r="AU35" s="2216">
        <f t="shared" si="5"/>
        <v>27.350005256653162</v>
      </c>
      <c r="AV35" s="21"/>
      <c r="AY35" s="1367">
        <f t="shared" ref="AY35:AY48" si="6">AY34+1.8</f>
        <v>29.149151597899895</v>
      </c>
      <c r="BA35" s="2199">
        <v>2004</v>
      </c>
      <c r="BB35" s="1706">
        <v>29.099942356965194</v>
      </c>
      <c r="BC35" s="144"/>
      <c r="BT35" s="2103">
        <v>2003</v>
      </c>
      <c r="BU35" s="2200">
        <v>1.279229307599918</v>
      </c>
      <c r="BV35" s="1608">
        <v>1.4850279596592788</v>
      </c>
      <c r="BW35" s="1608">
        <f t="shared" si="4"/>
        <v>1.4850279596592788</v>
      </c>
      <c r="BX35" s="2201"/>
      <c r="CQ35" s="559">
        <v>2003</v>
      </c>
      <c r="CR35" s="2202">
        <v>24861.5895</v>
      </c>
      <c r="CS35" s="2202">
        <v>6231.387</v>
      </c>
      <c r="DJ35" s="2103">
        <v>2003</v>
      </c>
      <c r="DK35" s="2209">
        <v>1.0737072792646198</v>
      </c>
      <c r="DL35" s="2210">
        <v>1.1139037944506402</v>
      </c>
      <c r="DM35" s="1994">
        <v>0</v>
      </c>
      <c r="EE35" s="2103">
        <v>2003</v>
      </c>
      <c r="EF35" s="2211">
        <v>13208.250299999998</v>
      </c>
      <c r="EG35" s="2201">
        <v>2366.3687</v>
      </c>
      <c r="EH35" s="2212">
        <v>2935.013499999998</v>
      </c>
      <c r="EZ35" s="2103">
        <v>2003</v>
      </c>
      <c r="FA35" s="2200">
        <v>7.6273689193439225</v>
      </c>
      <c r="FB35" s="1608">
        <v>6.253833840199949</v>
      </c>
      <c r="FC35" s="2213">
        <v>5.90091640449027</v>
      </c>
    </row>
    <row r="36" ht="17.5" customHeight="1" spans="18:159" x14ac:dyDescent="0.25">
      <c r="R36" t="s">
        <v>1969</v>
      </c>
      <c r="X36" t="s">
        <v>1970</v>
      </c>
      <c r="Y36" t="s">
        <v>1971</v>
      </c>
      <c r="AD36" s="760" t="s">
        <v>520</v>
      </c>
      <c r="AE36" s="763" t="s">
        <v>932</v>
      </c>
      <c r="AF36" s="764" t="s">
        <v>933</v>
      </c>
      <c r="AT36" s="959">
        <v>84</v>
      </c>
      <c r="AU36" s="2216">
        <f t="shared" si="5"/>
        <v>33.10260525665316</v>
      </c>
      <c r="AV36" s="21"/>
      <c r="AY36" s="1367">
        <f t="shared" si="6"/>
        <v>30.949151597899895</v>
      </c>
      <c r="BA36" s="2199">
        <v>2005</v>
      </c>
      <c r="BB36" s="1706">
        <v>30.500207447846275</v>
      </c>
      <c r="BC36" s="144"/>
      <c r="BT36" s="2103">
        <v>2004</v>
      </c>
      <c r="BU36" s="2200">
        <v>1.3713338177471122</v>
      </c>
      <c r="BV36" s="1608">
        <v>1.6493886216432383</v>
      </c>
      <c r="BW36" s="1608">
        <f t="shared" si="4"/>
        <v>1.6493886216432383</v>
      </c>
      <c r="BX36" s="2201"/>
      <c r="CQ36" s="559">
        <v>2004</v>
      </c>
      <c r="CR36" s="2202">
        <v>31659.022599999997</v>
      </c>
      <c r="CS36" s="2202">
        <v>7845.037</v>
      </c>
      <c r="DJ36" s="2103">
        <v>2004</v>
      </c>
      <c r="DK36" s="2209">
        <v>1.2208051765238728</v>
      </c>
      <c r="DL36" s="2210">
        <v>1.1372957741341037</v>
      </c>
      <c r="DM36" s="1994">
        <v>0</v>
      </c>
      <c r="EE36" s="2103">
        <v>2004</v>
      </c>
      <c r="EF36" s="2211">
        <v>17027.166999999998</v>
      </c>
      <c r="EG36" s="2201">
        <v>2889.8145</v>
      </c>
      <c r="EH36" s="2212">
        <v>3583.778499999998</v>
      </c>
      <c r="EZ36" s="2103">
        <v>2004</v>
      </c>
      <c r="FA36" s="2200">
        <v>8.79041331779647</v>
      </c>
      <c r="FB36" s="1608">
        <v>6.9855323995033425</v>
      </c>
      <c r="FC36" s="2213">
        <v>5.736138604273994</v>
      </c>
    </row>
    <row r="37" ht="18" customHeight="1" spans="3:159" x14ac:dyDescent="0.25">
      <c r="C37" t="s">
        <v>520</v>
      </c>
      <c r="D37" s="849" t="s">
        <v>1972</v>
      </c>
      <c r="E37" s="849" t="s">
        <v>1973</v>
      </c>
      <c r="F37" s="849" t="s">
        <v>1974</v>
      </c>
      <c r="G37" s="849" t="s">
        <v>1975</v>
      </c>
      <c r="H37" s="849" t="s">
        <v>1976</v>
      </c>
      <c r="I37" s="849" t="s">
        <v>1977</v>
      </c>
      <c r="J37" s="849" t="s">
        <v>1978</v>
      </c>
      <c r="K37" s="849" t="s">
        <v>1979</v>
      </c>
      <c r="L37" s="849" t="s">
        <v>1980</v>
      </c>
      <c r="M37" s="849" t="s">
        <v>21</v>
      </c>
      <c r="N37" s="849" t="s">
        <v>1981</v>
      </c>
      <c r="O37" s="849" t="s">
        <v>1982</v>
      </c>
      <c r="P37" s="849" t="s">
        <v>1983</v>
      </c>
      <c r="Q37" s="849" t="s">
        <v>838</v>
      </c>
      <c r="R37" s="849" t="s">
        <v>1984</v>
      </c>
      <c r="S37" s="849" t="s">
        <v>1985</v>
      </c>
      <c r="T37" s="2217" t="s">
        <v>1724</v>
      </c>
      <c r="U37" s="2217" t="s">
        <v>629</v>
      </c>
      <c r="V37" s="2217" t="s">
        <v>1986</v>
      </c>
      <c r="W37" s="2217" t="s">
        <v>823</v>
      </c>
      <c r="X37" s="2218" t="s">
        <v>1987</v>
      </c>
      <c r="Y37" s="2217" t="s">
        <v>1988</v>
      </c>
      <c r="AD37" s="765">
        <v>43186</v>
      </c>
      <c r="AE37" s="768" t="s">
        <v>833</v>
      </c>
      <c r="AF37" s="767" t="s">
        <v>833</v>
      </c>
      <c r="AT37" s="959">
        <v>86</v>
      </c>
      <c r="AU37" s="2216">
        <f t="shared" si="5"/>
        <v>38.855205256653164</v>
      </c>
      <c r="AV37" s="21"/>
      <c r="AY37" s="1367">
        <f t="shared" si="6"/>
        <v>32.749151597899896</v>
      </c>
      <c r="BA37" s="2199">
        <v>2006</v>
      </c>
      <c r="BB37" s="1706">
        <v>32.605223124148</v>
      </c>
      <c r="BC37" s="144"/>
      <c r="BT37" s="2103">
        <v>2005</v>
      </c>
      <c r="BU37" s="2200">
        <v>1.4590991820829273</v>
      </c>
      <c r="BV37" s="1608">
        <v>1.7629074929087367</v>
      </c>
      <c r="BW37" s="1608">
        <f t="shared" si="4"/>
        <v>1.7629074929087367</v>
      </c>
      <c r="BX37" s="2201"/>
      <c r="CQ37" s="559">
        <v>2005</v>
      </c>
      <c r="CR37" s="2202">
        <v>40112.702</v>
      </c>
      <c r="CS37" s="2202">
        <v>9439.827</v>
      </c>
      <c r="DJ37" s="2103">
        <v>2005</v>
      </c>
      <c r="DK37" s="2209">
        <v>1.345327304529308</v>
      </c>
      <c r="DL37" s="2210">
        <v>1.1532179149719812</v>
      </c>
      <c r="DM37" s="1994">
        <v>0</v>
      </c>
      <c r="EE37" s="2103">
        <v>2005</v>
      </c>
      <c r="EF37" s="2211">
        <v>21609.765799999997</v>
      </c>
      <c r="EG37" s="2201">
        <v>3645.9185</v>
      </c>
      <c r="EH37" s="2212">
        <v>4373.5738999999985</v>
      </c>
      <c r="EZ37" s="2103">
        <v>2005</v>
      </c>
      <c r="FA37" s="2200">
        <v>10.054085870175701</v>
      </c>
      <c r="FB37" s="1608">
        <v>7.746955431049207</v>
      </c>
      <c r="FC37" s="2213">
        <v>7.718849506887088</v>
      </c>
    </row>
    <row r="38" ht="17.5" customHeight="1" spans="3:159" x14ac:dyDescent="0.25">
      <c r="C38" s="2219">
        <v>41089</v>
      </c>
      <c r="D38" s="2220" t="s">
        <v>56</v>
      </c>
      <c r="E38" s="2220" t="s">
        <v>56</v>
      </c>
      <c r="F38" s="2220" t="s">
        <v>1912</v>
      </c>
      <c r="G38" s="2220" t="s">
        <v>1912</v>
      </c>
      <c r="H38" s="2220" t="s">
        <v>1912</v>
      </c>
      <c r="I38" s="2220" t="s">
        <v>1912</v>
      </c>
      <c r="J38" s="2220" t="s">
        <v>1912</v>
      </c>
      <c r="K38" s="2220" t="s">
        <v>1912</v>
      </c>
      <c r="L38" s="2220" t="s">
        <v>56</v>
      </c>
      <c r="M38" s="2220" t="s">
        <v>56</v>
      </c>
      <c r="N38" s="2220" t="s">
        <v>1912</v>
      </c>
      <c r="O38" s="2220" t="s">
        <v>1912</v>
      </c>
      <c r="P38" s="2220" t="s">
        <v>1912</v>
      </c>
      <c r="Q38" s="2220" t="s">
        <v>1912</v>
      </c>
      <c r="R38" s="2220" t="s">
        <v>56</v>
      </c>
      <c r="S38" s="2220" t="s">
        <v>56</v>
      </c>
      <c r="T38" s="2220" t="s">
        <v>1912</v>
      </c>
      <c r="U38" s="2220" t="s">
        <v>1912</v>
      </c>
      <c r="V38" s="2220" t="s">
        <v>1912</v>
      </c>
      <c r="W38" s="2220" t="s">
        <v>1912</v>
      </c>
      <c r="X38" s="2220" t="s">
        <v>1989</v>
      </c>
      <c r="Y38" s="2220" t="s">
        <v>1989</v>
      </c>
      <c r="AD38" s="2221">
        <v>1995</v>
      </c>
      <c r="AE38" s="2222">
        <f t="shared" ref="AE38:AE59" si="7">U67</f>
        <v>22.301473733510264</v>
      </c>
      <c r="AF38" s="2223">
        <f>E39/X39</f>
        <v>82.84224494574974</v>
      </c>
      <c r="AT38" s="959">
        <v>88</v>
      </c>
      <c r="AU38" s="2216">
        <f t="shared" si="5"/>
        <v>44.607805256653165</v>
      </c>
      <c r="AV38" s="21"/>
      <c r="AY38" s="1367">
        <f t="shared" si="6"/>
        <v>34.54915159789989</v>
      </c>
      <c r="BA38" s="2199">
        <v>2007</v>
      </c>
      <c r="BB38" s="1706">
        <v>34.57635560163204</v>
      </c>
      <c r="BC38" s="2213"/>
      <c r="BT38" s="2103">
        <v>2006</v>
      </c>
      <c r="BU38" s="2200">
        <v>1.5787453150137274</v>
      </c>
      <c r="BV38" s="1608">
        <v>2.0289294415498413</v>
      </c>
      <c r="BW38" s="1608">
        <f t="shared" si="4"/>
        <v>2.0289294415498413</v>
      </c>
      <c r="BX38" s="2201"/>
      <c r="CQ38" s="559">
        <v>2006</v>
      </c>
      <c r="CR38" s="2202">
        <v>50163.7265</v>
      </c>
      <c r="CS38" s="2202">
        <v>11985.905</v>
      </c>
      <c r="DJ38" s="2103">
        <v>2006</v>
      </c>
      <c r="DK38" s="2209">
        <v>1.5699969643857024</v>
      </c>
      <c r="DL38" s="2210">
        <v>1.1797419270163367</v>
      </c>
      <c r="DM38" s="1994">
        <v>0</v>
      </c>
      <c r="EE38" s="2103">
        <v>2006</v>
      </c>
      <c r="EF38" s="2211">
        <v>26917.2037</v>
      </c>
      <c r="EG38" s="2201">
        <v>4680.4097</v>
      </c>
      <c r="EH38" s="2212">
        <v>5649.171999999999</v>
      </c>
      <c r="EZ38" s="2103">
        <v>2006</v>
      </c>
      <c r="FA38" s="2200">
        <v>11.28478682823815</v>
      </c>
      <c r="FB38" s="1608">
        <v>8.444181419843636</v>
      </c>
      <c r="FC38" s="2213">
        <v>7.333907061981483</v>
      </c>
    </row>
    <row r="39" ht="17.5" customHeight="1" spans="3:159" x14ac:dyDescent="0.25">
      <c r="C39" s="2224">
        <v>1995</v>
      </c>
      <c r="D39" s="224">
        <v>5306.46</v>
      </c>
      <c r="E39" s="224">
        <f>D39</f>
        <v>5306.46</v>
      </c>
      <c r="F39" s="123">
        <v>1.001</v>
      </c>
      <c r="G39" s="123">
        <v>1</v>
      </c>
      <c r="H39" s="123"/>
      <c r="I39" s="123">
        <v>1</v>
      </c>
      <c r="J39" s="123">
        <v>2.313</v>
      </c>
      <c r="K39" s="123">
        <v>1</v>
      </c>
      <c r="L39" s="232">
        <v>230.407</v>
      </c>
      <c r="M39" s="232">
        <f>L39</f>
        <v>230.407</v>
      </c>
      <c r="N39" s="265">
        <v>0.927</v>
      </c>
      <c r="O39" s="123">
        <v>1</v>
      </c>
      <c r="P39" s="123"/>
      <c r="Q39" s="123">
        <v>1</v>
      </c>
      <c r="R39" s="224">
        <f t="array" ref="R39:R57">TRANSPOSE(ОТЧЁТ!$U$67:$AM$67)</f>
        <v>1428.5209</v>
      </c>
      <c r="S39" s="224">
        <f>R39</f>
        <v>1428.5209</v>
      </c>
      <c r="T39" s="265">
        <v>0.959</v>
      </c>
      <c r="U39" s="123">
        <v>1</v>
      </c>
      <c r="V39" s="123"/>
      <c r="W39" s="123">
        <v>1</v>
      </c>
      <c r="X39" s="265">
        <f t="array" ref="X39:X57">TRANSPOSE(ОТЧЁТ!$U$91:$AM$91)</f>
        <v>64.055</v>
      </c>
      <c r="Y39" s="123"/>
      <c r="AD39" s="2225">
        <v>1996</v>
      </c>
      <c r="AE39" s="2222">
        <f t="shared" si="7"/>
        <v>21.883647145944572</v>
      </c>
      <c r="AF39" s="2223">
        <f t="shared" ref="AF39:AF59" si="8">V68</f>
        <v>84.23426773455378</v>
      </c>
      <c r="AT39" s="959">
        <v>90</v>
      </c>
      <c r="AU39" s="2216">
        <f t="shared" si="5"/>
        <v>50.360405256653166</v>
      </c>
      <c r="AV39" s="21"/>
      <c r="AY39" s="1367">
        <f t="shared" si="6"/>
        <v>36.34915159789989</v>
      </c>
      <c r="BA39" s="2199">
        <v>2008</v>
      </c>
      <c r="BB39" s="1706">
        <v>36.254961869156645</v>
      </c>
      <c r="BC39" s="2213"/>
      <c r="BT39" s="2103">
        <v>2007</v>
      </c>
      <c r="BU39" s="2200">
        <v>1.7129386667898943</v>
      </c>
      <c r="BV39" s="1608">
        <v>2.29618795817524</v>
      </c>
      <c r="BW39" s="1608">
        <f t="shared" si="4"/>
        <v>2.29618795817524</v>
      </c>
      <c r="BX39" s="2201"/>
      <c r="CQ39" s="559">
        <v>2007</v>
      </c>
      <c r="CR39" s="2202">
        <v>62515.1745</v>
      </c>
      <c r="CS39" s="2202">
        <v>15526.11</v>
      </c>
      <c r="DJ39" s="2103">
        <v>2007</v>
      </c>
      <c r="DK39" s="2209">
        <v>1.9263862753012568</v>
      </c>
      <c r="DL39" s="2210">
        <v>1.2115949590457777</v>
      </c>
      <c r="DM39" s="1994">
        <v>0</v>
      </c>
      <c r="EE39" s="2103">
        <v>2007</v>
      </c>
      <c r="EF39" s="2211">
        <v>33247.5132</v>
      </c>
      <c r="EG39" s="2201">
        <v>5750.9641</v>
      </c>
      <c r="EH39" s="2212">
        <v>7068.840300000001</v>
      </c>
      <c r="EZ39" s="2103">
        <v>2007</v>
      </c>
      <c r="FA39" s="2200">
        <v>13.059083510568804</v>
      </c>
      <c r="FB39" s="1608">
        <v>9.446505754379075</v>
      </c>
      <c r="FC39" s="2213">
        <v>7.941801279807624</v>
      </c>
    </row>
    <row r="40" ht="17.5" customHeight="1" spans="3:159" x14ac:dyDescent="0.25">
      <c r="C40" s="2226">
        <v>1996</v>
      </c>
      <c r="D40" s="224">
        <v>13250.16</v>
      </c>
      <c r="E40" s="224">
        <f>E39*F40</f>
        <v>5301.15354</v>
      </c>
      <c r="F40" s="123">
        <v>0.9990000000000001</v>
      </c>
      <c r="G40" s="265">
        <f>G39*F40</f>
        <v>0.9990000000000001</v>
      </c>
      <c r="H40" s="123"/>
      <c r="I40" s="265">
        <f>D40/E40</f>
        <v>2.4994861778706374</v>
      </c>
      <c r="J40" s="123">
        <v>1.218</v>
      </c>
      <c r="K40" s="265">
        <f>K39*J40</f>
        <v>1.218</v>
      </c>
      <c r="L40" s="232">
        <v>334.302</v>
      </c>
      <c r="M40" s="232">
        <f>M39*N40</f>
        <v>197.458799</v>
      </c>
      <c r="N40" s="265">
        <v>0.857</v>
      </c>
      <c r="O40" s="123">
        <f>O39*N40</f>
        <v>0.857</v>
      </c>
      <c r="P40" s="123"/>
      <c r="Q40" s="268">
        <f>L40/M40</f>
        <v>1.6930215401543085</v>
      </c>
      <c r="R40" s="224">
        <v>2007.8252000000002</v>
      </c>
      <c r="S40" s="224">
        <f>S39*T40</f>
        <v>1377.0941476</v>
      </c>
      <c r="T40" s="265">
        <v>0.964</v>
      </c>
      <c r="U40" s="265">
        <f>U39*T40</f>
        <v>0.964</v>
      </c>
      <c r="V40" s="123"/>
      <c r="W40" s="265">
        <f>R40/S40</f>
        <v>1.4580159268698065</v>
      </c>
      <c r="X40" s="265">
        <v>62.928</v>
      </c>
      <c r="Y40" s="123"/>
      <c r="AD40" s="2225">
        <v>1997</v>
      </c>
      <c r="AE40" s="2222">
        <f t="shared" si="7"/>
        <v>23.26474843248863</v>
      </c>
      <c r="AF40" s="2223">
        <f t="shared" si="8"/>
        <v>87.96073414304993</v>
      </c>
      <c r="AT40" s="959">
        <v>92</v>
      </c>
      <c r="AU40" s="2216">
        <f t="shared" si="5"/>
        <v>56.11300525665314</v>
      </c>
      <c r="AV40" s="21"/>
      <c r="AY40" s="1367">
        <f t="shared" si="6"/>
        <v>38.14915159789989</v>
      </c>
      <c r="BA40" s="2199">
        <v>2009</v>
      </c>
      <c r="BB40" s="1706">
        <v>34.15715868096336</v>
      </c>
      <c r="BC40" s="2213"/>
      <c r="BT40" s="2103">
        <v>2008</v>
      </c>
      <c r="BU40" s="2200">
        <v>1.8020114774629687</v>
      </c>
      <c r="BV40" s="1608">
        <v>2.5452330528232636</v>
      </c>
      <c r="BW40" s="1608">
        <f t="shared" si="4"/>
        <v>2.5452330528232636</v>
      </c>
      <c r="BX40" s="2201"/>
      <c r="CQ40" s="559">
        <v>2008</v>
      </c>
      <c r="CR40" s="2202">
        <v>77695.8088</v>
      </c>
      <c r="CS40" s="2202">
        <v>19559.76</v>
      </c>
      <c r="DJ40" s="2103">
        <v>2008</v>
      </c>
      <c r="DK40" s="2209">
        <v>2.1093929714548763</v>
      </c>
      <c r="DL40" s="2210">
        <v>1.2527891876533341</v>
      </c>
      <c r="DM40" s="1994">
        <v>0</v>
      </c>
      <c r="EE40" s="2103">
        <v>2008</v>
      </c>
      <c r="EF40" s="2211">
        <v>41276.8492</v>
      </c>
      <c r="EG40" s="2201">
        <v>7359.8442</v>
      </c>
      <c r="EH40" s="2212">
        <v>9104.344299999997</v>
      </c>
      <c r="EZ40" s="2103">
        <v>2008</v>
      </c>
      <c r="FA40" s="2200">
        <v>15.593657080025292</v>
      </c>
      <c r="FB40" s="1608">
        <v>10.701001718560617</v>
      </c>
      <c r="FC40" s="2213">
        <v>9.313557709187231</v>
      </c>
    </row>
    <row r="41" ht="17.5" customHeight="1" spans="2:159" x14ac:dyDescent="0.25">
      <c r="B41" s="1359">
        <v>0.9985937266381063</v>
      </c>
      <c r="C41" s="2226">
        <v>1997</v>
      </c>
      <c r="D41" s="224">
        <v>13411.951</v>
      </c>
      <c r="E41" s="224">
        <f t="shared" ref="E41:E55" si="9">E40*F41</f>
        <v>5279.94892584</v>
      </c>
      <c r="F41" s="123">
        <v>0.996</v>
      </c>
      <c r="G41" s="265">
        <f t="shared" ref="G41:G54" si="10">G40*F41</f>
        <v>0.9950040000000001</v>
      </c>
      <c r="H41" s="123"/>
      <c r="I41" s="265">
        <f t="shared" ref="I41:I53" si="11">D41/E41</f>
        <v>2.5401668062283878</v>
      </c>
      <c r="J41" s="123">
        <v>1.11</v>
      </c>
      <c r="K41" s="265">
        <f t="shared" ref="K41:K55" si="12">K40*J41</f>
        <v>1.3519800000000002</v>
      </c>
      <c r="L41" s="232">
        <v>406.472</v>
      </c>
      <c r="M41" s="232">
        <f t="shared" ref="M41:M54" si="13">M40*N41</f>
        <v>168.62981434600002</v>
      </c>
      <c r="N41" s="265">
        <v>0.8540000000000001</v>
      </c>
      <c r="O41" s="123">
        <f t="shared" ref="O41:O54" si="14">O40*N41</f>
        <v>0.731878</v>
      </c>
      <c r="P41" s="123"/>
      <c r="Q41" s="268">
        <f t="shared" ref="Q41:Q54" si="15">L41/M41</f>
        <v>2.410439705317992</v>
      </c>
      <c r="R41" s="224">
        <v>2342.5137</v>
      </c>
      <c r="S41" s="224">
        <f t="shared" ref="S41:S57" si="16">S40*T41</f>
        <v>1396.3734656664</v>
      </c>
      <c r="T41" s="265">
        <v>1.014</v>
      </c>
      <c r="U41" s="265">
        <f t="shared" ref="U41:U57" si="17">U40*T41</f>
        <v>0.977496</v>
      </c>
      <c r="V41" s="123"/>
      <c r="W41" s="265">
        <f t="shared" ref="W41:W57" si="18">R41/S41</f>
        <v>1.6775696170093488</v>
      </c>
      <c r="X41" s="265">
        <v>60.021</v>
      </c>
      <c r="Y41" s="123"/>
      <c r="AD41" s="2225">
        <v>1998</v>
      </c>
      <c r="AE41" s="2222">
        <f t="shared" si="7"/>
        <v>22.628910997930777</v>
      </c>
      <c r="AF41" s="2223">
        <f t="shared" si="8"/>
        <v>90.07397283104883</v>
      </c>
      <c r="AT41" s="962">
        <v>94</v>
      </c>
      <c r="AU41" s="2227">
        <f t="shared" si="5"/>
        <v>61.86560525665317</v>
      </c>
      <c r="AV41" s="83"/>
      <c r="AY41" s="1367">
        <f t="shared" si="6"/>
        <v>39.949151597899885</v>
      </c>
      <c r="BA41" s="2199">
        <v>2010</v>
      </c>
      <c r="BB41" s="1706">
        <v>35.426929528449264</v>
      </c>
      <c r="BC41" s="2213"/>
      <c r="BT41" s="2103">
        <v>2009</v>
      </c>
      <c r="BU41" s="2200">
        <v>1.6596525707433942</v>
      </c>
      <c r="BV41" s="1608">
        <v>2.497278933559335</v>
      </c>
      <c r="BW41" s="2201"/>
      <c r="BX41" s="1608">
        <f t="shared" ref="BX41:BX46" si="19">BV41</f>
        <v>2.497278933559335</v>
      </c>
      <c r="CQ41" s="559">
        <v>2009</v>
      </c>
      <c r="CR41" s="2202">
        <v>73092.3949</v>
      </c>
      <c r="CS41" s="2202">
        <v>20411.61</v>
      </c>
      <c r="DJ41" s="2103">
        <v>2009</v>
      </c>
      <c r="DK41" s="2209">
        <v>1.824624920308468</v>
      </c>
      <c r="DL41" s="2210">
        <v>1.2452724525274141</v>
      </c>
      <c r="DM41" s="1994">
        <v>0</v>
      </c>
      <c r="EE41" s="2103">
        <v>2009</v>
      </c>
      <c r="EF41" s="2211">
        <v>38807.270899999996</v>
      </c>
      <c r="EG41" s="2201">
        <v>8066.7</v>
      </c>
      <c r="EH41" s="2212">
        <v>7435.388399999997</v>
      </c>
      <c r="EZ41" s="2103">
        <v>2009</v>
      </c>
      <c r="FA41" s="2200">
        <v>16.373566297801105</v>
      </c>
      <c r="FB41" s="1608">
        <v>11.642689869793951</v>
      </c>
      <c r="FC41" s="2213">
        <v>10.66694831320229</v>
      </c>
    </row>
    <row r="42" ht="17.5" customHeight="1" spans="2:159" x14ac:dyDescent="0.25">
      <c r="B42" s="1359">
        <v>0.9952978550849225</v>
      </c>
      <c r="C42" s="2226">
        <v>1998</v>
      </c>
      <c r="D42" s="224">
        <v>14277.54</v>
      </c>
      <c r="E42" s="224">
        <f t="shared" si="9"/>
        <v>5264.10907906248</v>
      </c>
      <c r="F42" s="123">
        <v>0.997</v>
      </c>
      <c r="G42" s="265">
        <f t="shared" si="10"/>
        <v>0.9920189880000001</v>
      </c>
      <c r="H42" s="123"/>
      <c r="I42" s="265">
        <f t="shared" si="11"/>
        <v>2.712242429927531</v>
      </c>
      <c r="J42" s="123">
        <v>1.844</v>
      </c>
      <c r="K42" s="265">
        <f t="shared" si="12"/>
        <v>2.4930511200000005</v>
      </c>
      <c r="L42" s="232">
        <v>428.564</v>
      </c>
      <c r="M42" s="232">
        <f t="shared" si="13"/>
        <v>160.1983236287</v>
      </c>
      <c r="N42" s="265">
        <v>0.95</v>
      </c>
      <c r="O42" s="123">
        <f t="shared" si="14"/>
        <v>0.6952841</v>
      </c>
      <c r="P42" s="123"/>
      <c r="Q42" s="268">
        <f t="shared" si="15"/>
        <v>2.67520901775043</v>
      </c>
      <c r="R42" s="224">
        <v>2629.6229</v>
      </c>
      <c r="S42" s="224">
        <f t="shared" si="16"/>
        <v>1322.3656719860808</v>
      </c>
      <c r="T42" s="265">
        <v>0.947</v>
      </c>
      <c r="U42" s="265">
        <f t="shared" si="17"/>
        <v>0.925688712</v>
      </c>
      <c r="V42" s="123"/>
      <c r="W42" s="265">
        <f t="shared" si="18"/>
        <v>1.988574685283935</v>
      </c>
      <c r="X42" s="265">
        <v>58.437</v>
      </c>
      <c r="Y42" s="123"/>
      <c r="AD42" s="2225">
        <v>1999</v>
      </c>
      <c r="AE42" s="2222">
        <f t="shared" si="7"/>
        <v>22.3042559683141</v>
      </c>
      <c r="AF42" s="2223">
        <f t="shared" si="8"/>
        <v>83.60832021541259</v>
      </c>
      <c r="AT42" s="1032"/>
      <c r="AU42" s="2215" t="s">
        <v>816</v>
      </c>
      <c r="AV42" s="18"/>
      <c r="AY42" s="1367">
        <f t="shared" si="6"/>
        <v>41.74915159789988</v>
      </c>
      <c r="BA42" s="2199">
        <v>2011</v>
      </c>
      <c r="BB42" s="1706">
        <v>36.46901142919998</v>
      </c>
      <c r="BC42" s="2213"/>
      <c r="BT42" s="2103">
        <v>2010</v>
      </c>
      <c r="BU42" s="2200">
        <v>1.7343369364268468</v>
      </c>
      <c r="BV42" s="1608">
        <v>2.5669743863224377</v>
      </c>
      <c r="BW42" s="2201"/>
      <c r="BX42" s="1608">
        <f t="shared" si="19"/>
        <v>2.5669743863224377</v>
      </c>
      <c r="CQ42" s="559">
        <v>2010</v>
      </c>
      <c r="CR42" s="2202">
        <v>88323.068</v>
      </c>
      <c r="CS42" s="2202">
        <v>22995.63</v>
      </c>
      <c r="DJ42" s="2103">
        <v>2010</v>
      </c>
      <c r="DK42" s="2209">
        <v>1.9395762902879012</v>
      </c>
      <c r="DL42" s="2210">
        <v>1.226593365739503</v>
      </c>
      <c r="DM42" s="1994">
        <v>0</v>
      </c>
      <c r="EE42" s="2103">
        <v>2010</v>
      </c>
      <c r="EF42" s="2211">
        <v>46308.53100000001</v>
      </c>
      <c r="EG42" s="2201">
        <v>8671.323</v>
      </c>
      <c r="EH42" s="2212">
        <v>9991.844000000012</v>
      </c>
      <c r="EZ42" s="2103">
        <v>2010</v>
      </c>
      <c r="FA42" s="2200">
        <v>17.674409856030426</v>
      </c>
      <c r="FB42" s="1608">
        <v>12.664918040361862</v>
      </c>
      <c r="FC42" s="2213">
        <v>11.27644871677545</v>
      </c>
    </row>
    <row r="43" ht="17.5" customHeight="1" spans="2:159" x14ac:dyDescent="0.25">
      <c r="B43" s="1359">
        <v>0.9954926181884799</v>
      </c>
      <c r="C43" s="2226">
        <v>1999</v>
      </c>
      <c r="D43" s="224">
        <v>14334.783</v>
      </c>
      <c r="E43" s="224">
        <f t="shared" si="9"/>
        <v>5274.637297220605</v>
      </c>
      <c r="F43" s="123">
        <v>1.002</v>
      </c>
      <c r="G43" s="265">
        <f t="shared" si="10"/>
        <v>0.9940030259760001</v>
      </c>
      <c r="H43" s="123"/>
      <c r="I43" s="265">
        <f t="shared" si="11"/>
        <v>2.7176812721423533</v>
      </c>
      <c r="J43" s="123">
        <v>1.365</v>
      </c>
      <c r="K43" s="265">
        <f t="shared" si="12"/>
        <v>3.4030147788000007</v>
      </c>
      <c r="L43" s="232">
        <v>597.306</v>
      </c>
      <c r="M43" s="232">
        <f t="shared" si="13"/>
        <v>170.93161131182288</v>
      </c>
      <c r="N43" s="265">
        <v>1.067</v>
      </c>
      <c r="O43" s="123">
        <f t="shared" si="14"/>
        <v>0.7418681346999999</v>
      </c>
      <c r="P43" s="123"/>
      <c r="Q43" s="268">
        <f t="shared" si="15"/>
        <v>3.494415078732052</v>
      </c>
      <c r="R43" s="224">
        <v>4823.2329</v>
      </c>
      <c r="S43" s="224">
        <f t="shared" si="16"/>
        <v>1406.99707499319</v>
      </c>
      <c r="T43" s="265">
        <v>1.064</v>
      </c>
      <c r="U43" s="265">
        <f t="shared" si="17"/>
        <v>0.9849327895680001</v>
      </c>
      <c r="V43" s="123"/>
      <c r="W43" s="265">
        <f t="shared" si="18"/>
        <v>3.428033352537954</v>
      </c>
      <c r="X43" s="265">
        <v>63.082</v>
      </c>
      <c r="Y43" s="123"/>
      <c r="AD43" s="2225">
        <v>2000</v>
      </c>
      <c r="AE43" s="2222">
        <f t="shared" si="7"/>
        <v>23.785105002190093</v>
      </c>
      <c r="AF43" s="2223">
        <f t="shared" si="8"/>
        <v>81.4592124805256</v>
      </c>
      <c r="AT43" s="959">
        <v>90</v>
      </c>
      <c r="AU43" s="2216">
        <v>32</v>
      </c>
      <c r="AV43" s="21"/>
      <c r="AY43" s="1367">
        <f t="shared" si="6"/>
        <v>43.54915159789988</v>
      </c>
      <c r="AZ43" s="1367">
        <f>BB43</f>
        <v>37.43834150758296</v>
      </c>
      <c r="BA43" s="2199">
        <v>2012</v>
      </c>
      <c r="BB43" s="1706">
        <v>37.43834150758296</v>
      </c>
      <c r="BC43" s="2213"/>
      <c r="BT43" s="2103">
        <v>2011</v>
      </c>
      <c r="BU43" s="2200">
        <v>1.808913424693201</v>
      </c>
      <c r="BV43" s="1608">
        <v>2.7400070660747096</v>
      </c>
      <c r="BW43" s="2201"/>
      <c r="BX43" s="1608">
        <f t="shared" si="19"/>
        <v>2.7400070660747096</v>
      </c>
      <c r="CQ43" s="559">
        <v>2011</v>
      </c>
      <c r="CR43" s="2202">
        <v>109158.8003</v>
      </c>
      <c r="CS43" s="2202">
        <v>26386.6754</v>
      </c>
      <c r="DJ43" s="2103">
        <v>2011</v>
      </c>
      <c r="DK43" s="2209">
        <v>2.149050529638995</v>
      </c>
      <c r="DL43" s="2210">
        <v>1.243765672859856</v>
      </c>
      <c r="DM43" s="1994">
        <v>0</v>
      </c>
      <c r="EE43" s="2103">
        <v>2011</v>
      </c>
      <c r="EF43" s="2211">
        <v>60282.540400000005</v>
      </c>
      <c r="EG43" s="2201">
        <v>10527.4218</v>
      </c>
      <c r="EH43" s="2212">
        <v>14227.657200000005</v>
      </c>
      <c r="EZ43" s="2103">
        <v>2011</v>
      </c>
      <c r="FA43" s="2200">
        <v>19.234566440524752</v>
      </c>
      <c r="FB43" s="1608">
        <v>13.437478040823935</v>
      </c>
      <c r="FC43" s="2213">
        <v>12.282914423380722</v>
      </c>
    </row>
    <row r="44" ht="17.5" customHeight="1" spans="2:159" x14ac:dyDescent="0.25">
      <c r="B44" s="1359">
        <v>1.0043838660319853</v>
      </c>
      <c r="C44" s="2226">
        <v>2000</v>
      </c>
      <c r="D44" s="224">
        <v>17464.172</v>
      </c>
      <c r="E44" s="224">
        <f t="shared" si="9"/>
        <v>5301.010483706708</v>
      </c>
      <c r="F44" s="123">
        <v>1.005</v>
      </c>
      <c r="G44" s="265">
        <f t="shared" si="10"/>
        <v>0.99897304110588</v>
      </c>
      <c r="H44" s="123"/>
      <c r="I44" s="265">
        <f t="shared" si="11"/>
        <v>3.2944986722207448</v>
      </c>
      <c r="J44" s="123">
        <v>1.202</v>
      </c>
      <c r="K44" s="265">
        <f t="shared" si="12"/>
        <v>4.090423764117601</v>
      </c>
      <c r="L44" s="232">
        <v>843.378</v>
      </c>
      <c r="M44" s="232">
        <f t="shared" si="13"/>
        <v>213.8354457510904</v>
      </c>
      <c r="N44" s="265">
        <v>1.251</v>
      </c>
      <c r="O44" s="123">
        <f t="shared" si="14"/>
        <v>0.9280770365096997</v>
      </c>
      <c r="P44" s="123"/>
      <c r="Q44" s="268">
        <f t="shared" si="15"/>
        <v>3.944051450579958</v>
      </c>
      <c r="R44" s="224">
        <v>7305.6466</v>
      </c>
      <c r="S44" s="224">
        <f t="shared" si="16"/>
        <v>1547.696782492509</v>
      </c>
      <c r="T44" s="265">
        <v>1.1</v>
      </c>
      <c r="U44" s="265">
        <f t="shared" si="17"/>
        <v>1.0834260685248003</v>
      </c>
      <c r="V44" s="123"/>
      <c r="W44" s="265">
        <f t="shared" si="18"/>
        <v>4.720334553021764</v>
      </c>
      <c r="X44" s="265">
        <v>65.07</v>
      </c>
      <c r="Y44" s="268">
        <v>7.6995434444499935</v>
      </c>
      <c r="AD44" s="2225">
        <v>2001</v>
      </c>
      <c r="AE44" s="2222">
        <f t="shared" si="7"/>
        <v>24.97780075241661</v>
      </c>
      <c r="AF44" s="2223">
        <f t="shared" si="8"/>
        <v>82.12545359877109</v>
      </c>
      <c r="AT44" s="959">
        <v>92</v>
      </c>
      <c r="AU44" s="2216">
        <v>34</v>
      </c>
      <c r="AV44" s="21"/>
      <c r="AY44" s="1367">
        <f t="shared" si="6"/>
        <v>45.349151597899876</v>
      </c>
      <c r="AZ44" s="1367">
        <f>BB44</f>
        <v>38.1889261462379</v>
      </c>
      <c r="BA44" s="2199">
        <v>2013</v>
      </c>
      <c r="BB44" s="1706">
        <v>38.1889261462379</v>
      </c>
      <c r="BC44" s="2213"/>
      <c r="BT44" s="2103">
        <v>2012</v>
      </c>
      <c r="BU44" s="2200">
        <v>1.8750455190419226</v>
      </c>
      <c r="BV44" s="1608">
        <v>2.913614075190335</v>
      </c>
      <c r="BW44" s="2201"/>
      <c r="BX44" s="1608">
        <f t="shared" si="19"/>
        <v>2.913614075190335</v>
      </c>
      <c r="CQ44" s="559">
        <v>2012</v>
      </c>
      <c r="CR44" s="2202">
        <v>122259.8224</v>
      </c>
      <c r="CS44" s="2202">
        <v>30201.1615</v>
      </c>
      <c r="DJ44" s="2103">
        <v>2012</v>
      </c>
      <c r="DK44" s="2209">
        <v>2.2951859656544467</v>
      </c>
      <c r="DL44" s="2210">
        <v>1.2761035803542125</v>
      </c>
      <c r="DM44" s="1994">
        <v>0</v>
      </c>
      <c r="EE44" s="2103">
        <v>2012</v>
      </c>
      <c r="EF44" s="2211">
        <v>68163.8831</v>
      </c>
      <c r="EG44" s="2201">
        <v>12155.9717</v>
      </c>
      <c r="EH44" s="2212">
        <v>16300.083700000003</v>
      </c>
      <c r="EZ44" s="2103">
        <v>2012</v>
      </c>
      <c r="FA44" s="2200">
        <v>20.540168341333807</v>
      </c>
      <c r="FB44" s="1608">
        <v>14.324351591518315</v>
      </c>
      <c r="FC44" s="2213">
        <v>13.249096044334456</v>
      </c>
    </row>
    <row r="45" ht="17.5" customHeight="1" spans="2:159" x14ac:dyDescent="0.25">
      <c r="B45" s="1359">
        <v>1.0033011930054396</v>
      </c>
      <c r="C45" s="2226">
        <v>2001</v>
      </c>
      <c r="D45" s="224">
        <v>21495.236</v>
      </c>
      <c r="E45" s="224">
        <f t="shared" si="9"/>
        <v>5348.71957806007</v>
      </c>
      <c r="F45" s="123">
        <v>1.0090000000000001</v>
      </c>
      <c r="G45" s="265">
        <f t="shared" si="10"/>
        <v>1.0079637984758332</v>
      </c>
      <c r="H45" s="123"/>
      <c r="I45" s="265">
        <f t="shared" si="11"/>
        <v>4.018762936866494</v>
      </c>
      <c r="J45" s="123">
        <v>1.186</v>
      </c>
      <c r="K45" s="265">
        <f t="shared" si="12"/>
        <v>4.851242584243474</v>
      </c>
      <c r="L45" s="232">
        <v>1117.655</v>
      </c>
      <c r="M45" s="232">
        <f t="shared" si="13"/>
        <v>254.25034499804647</v>
      </c>
      <c r="N45" s="265">
        <v>1.189</v>
      </c>
      <c r="O45" s="123">
        <f t="shared" si="14"/>
        <v>1.1034835964100331</v>
      </c>
      <c r="P45" s="123"/>
      <c r="Q45" s="268">
        <f t="shared" si="15"/>
        <v>4.395883907290617</v>
      </c>
      <c r="R45" s="224">
        <v>8943.5826</v>
      </c>
      <c r="S45" s="224">
        <f t="shared" si="16"/>
        <v>1626.629318399627</v>
      </c>
      <c r="T45" s="265">
        <v>1.051</v>
      </c>
      <c r="U45" s="265">
        <f t="shared" si="17"/>
        <v>1.138680798019565</v>
      </c>
      <c r="V45" s="123"/>
      <c r="W45" s="265">
        <f t="shared" si="18"/>
        <v>5.498230296745923</v>
      </c>
      <c r="X45" s="265">
        <v>65.123</v>
      </c>
      <c r="Y45" s="268">
        <v>6.423731508854996</v>
      </c>
      <c r="AD45" s="2225">
        <v>2002</v>
      </c>
      <c r="AE45" s="2222">
        <f t="shared" si="7"/>
        <v>25.549151597899893</v>
      </c>
      <c r="AF45" s="2223">
        <f t="shared" si="8"/>
        <v>81.035396178459</v>
      </c>
      <c r="AT45" s="959">
        <v>94</v>
      </c>
      <c r="AU45" s="2216">
        <f>AU44+0.68*(AU44-AU43)</f>
        <v>35.36</v>
      </c>
      <c r="AV45" s="21"/>
      <c r="AY45" s="1367">
        <f t="shared" si="6"/>
        <v>47.14915159789987</v>
      </c>
      <c r="AZ45" s="1367">
        <f>BB45</f>
        <v>38.39162476730791</v>
      </c>
      <c r="BA45" s="2199">
        <v>2014</v>
      </c>
      <c r="BB45" s="1706">
        <v>38.39162476730791</v>
      </c>
      <c r="BC45" s="2213"/>
      <c r="BT45" s="2103">
        <v>2013</v>
      </c>
      <c r="BU45" s="2200">
        <v>1.9085217286102596</v>
      </c>
      <c r="BV45" s="1608">
        <v>3.0676926627762775</v>
      </c>
      <c r="BW45" s="2201"/>
      <c r="BX45" s="1608">
        <f t="shared" si="19"/>
        <v>3.0676926627762775</v>
      </c>
      <c r="CQ45" s="559">
        <v>2013</v>
      </c>
      <c r="CR45" s="2202">
        <v>132429.9303</v>
      </c>
      <c r="CS45" s="2202">
        <v>33792.2822</v>
      </c>
      <c r="DJ45" s="2103">
        <v>2013</v>
      </c>
      <c r="DK45" s="2209">
        <v>2.313547453379682</v>
      </c>
      <c r="DL45" s="2210">
        <v>1.2875885125774005</v>
      </c>
      <c r="DM45" s="1994">
        <v>0</v>
      </c>
      <c r="EE45" s="2103">
        <v>2013</v>
      </c>
      <c r="EF45" s="2211">
        <v>73133.89509999998</v>
      </c>
      <c r="EG45" s="2201">
        <v>13551.9461</v>
      </c>
      <c r="EH45" s="2212">
        <v>17017.56999999999</v>
      </c>
      <c r="EZ45" s="2103">
        <v>2013</v>
      </c>
      <c r="FA45" s="2200">
        <v>21.77622501158156</v>
      </c>
      <c r="FB45" s="1608">
        <v>15.255434444967005</v>
      </c>
      <c r="FC45" s="2213">
        <v>14.15863931501705</v>
      </c>
    </row>
    <row r="46" ht="17.5" customHeight="1" spans="2:159" x14ac:dyDescent="0.25">
      <c r="B46" s="1359">
        <v>1.0092857810308478</v>
      </c>
      <c r="C46" s="2226">
        <v>2002</v>
      </c>
      <c r="D46" s="224">
        <v>26333.273</v>
      </c>
      <c r="E46" s="224">
        <f t="shared" si="9"/>
        <v>5402.20677384067</v>
      </c>
      <c r="F46" s="265">
        <v>1.01</v>
      </c>
      <c r="G46" s="265">
        <f t="shared" si="10"/>
        <v>1.0180434364605915</v>
      </c>
      <c r="H46" s="123"/>
      <c r="I46" s="265">
        <f t="shared" si="11"/>
        <v>4.8745399986380935</v>
      </c>
      <c r="J46" s="123">
        <v>1.151</v>
      </c>
      <c r="K46" s="265">
        <f t="shared" si="12"/>
        <v>5.583780214464239</v>
      </c>
      <c r="L46" s="232">
        <v>1615.063</v>
      </c>
      <c r="M46" s="232">
        <f t="shared" si="13"/>
        <v>274.33612225289215</v>
      </c>
      <c r="N46" s="265">
        <v>1.079</v>
      </c>
      <c r="O46" s="123">
        <f t="shared" si="14"/>
        <v>1.1906588005264258</v>
      </c>
      <c r="P46" s="123"/>
      <c r="Q46" s="268">
        <f t="shared" si="15"/>
        <v>5.887168582601679</v>
      </c>
      <c r="R46" s="224">
        <v>10819.270899999998</v>
      </c>
      <c r="S46" s="224">
        <f t="shared" si="16"/>
        <v>1703.0808963644092</v>
      </c>
      <c r="T46" s="265">
        <v>1.047</v>
      </c>
      <c r="U46" s="265">
        <f t="shared" si="17"/>
        <v>1.1921987955264846</v>
      </c>
      <c r="V46" s="123"/>
      <c r="W46" s="265">
        <f t="shared" si="18"/>
        <v>6.352763936872316</v>
      </c>
      <c r="X46" s="265">
        <v>66.659</v>
      </c>
      <c r="Y46" s="268">
        <v>5.698272923562496</v>
      </c>
      <c r="AD46" s="2225">
        <v>2003</v>
      </c>
      <c r="AE46" s="2222">
        <f t="shared" si="7"/>
        <v>27.546477966188984</v>
      </c>
      <c r="AF46" s="2223">
        <f t="shared" si="8"/>
        <v>82.48482904505761</v>
      </c>
      <c r="AT46" s="959">
        <v>96</v>
      </c>
      <c r="AU46" s="2216">
        <f>AU45+0.69*(AU45-AU44)</f>
        <v>36.2984</v>
      </c>
      <c r="AV46" s="21"/>
      <c r="AY46" s="1367">
        <f t="shared" si="6"/>
        <v>48.94915159789987</v>
      </c>
      <c r="AZ46" s="1367">
        <f>AZ45+1.7*(AZ45-AZ44)</f>
        <v>38.73621242312693</v>
      </c>
      <c r="BA46" s="2199">
        <v>2015</v>
      </c>
      <c r="BB46" s="1706">
        <v>37.101717534154105</v>
      </c>
      <c r="BC46" s="2213">
        <f>BB46</f>
        <v>37.101717534154105</v>
      </c>
      <c r="BT46" s="2103">
        <v>2014</v>
      </c>
      <c r="BU46" s="2200">
        <v>1.9226180848563927</v>
      </c>
      <c r="BV46" s="1608">
        <v>3.0404294602847233</v>
      </c>
      <c r="BW46" s="2201"/>
      <c r="BX46" s="1608">
        <f t="shared" si="19"/>
        <v>3.0404294602847233</v>
      </c>
      <c r="CQ46" s="559">
        <v>2014</v>
      </c>
      <c r="CR46" s="2202">
        <v>143402.3839</v>
      </c>
      <c r="CS46" s="2202">
        <v>37387.1764</v>
      </c>
      <c r="DJ46" s="2103">
        <v>2014</v>
      </c>
      <c r="DK46" s="2209">
        <v>2.278844241578987</v>
      </c>
      <c r="DL46" s="2210">
        <v>1.2605491538132751</v>
      </c>
      <c r="DM46" s="1994">
        <v>0</v>
      </c>
      <c r="EE46" s="2103">
        <v>2014</v>
      </c>
      <c r="EF46" s="2211">
        <v>79199.6585</v>
      </c>
      <c r="EG46" s="2201">
        <v>14207.0451</v>
      </c>
      <c r="EH46" s="2212">
        <v>17918.964099999997</v>
      </c>
      <c r="EZ46" s="2103">
        <v>2014</v>
      </c>
      <c r="FA46" s="2200">
        <v>22.851453644141124</v>
      </c>
      <c r="FB46" s="1608">
        <v>16.994553971693247</v>
      </c>
      <c r="FC46" s="2213">
        <v>14.240158664898729</v>
      </c>
    </row>
    <row r="47" ht="17.5" customHeight="1" spans="2:159" x14ac:dyDescent="0.25">
      <c r="B47" s="1359">
        <v>1.0122488026252723</v>
      </c>
      <c r="C47" s="2226">
        <v>2003</v>
      </c>
      <c r="D47" s="224">
        <v>32173.286</v>
      </c>
      <c r="E47" s="224">
        <f t="shared" si="9"/>
        <v>5472.435461900599</v>
      </c>
      <c r="F47" s="123">
        <v>1.013</v>
      </c>
      <c r="G47" s="265">
        <f t="shared" si="10"/>
        <v>1.031278001134579</v>
      </c>
      <c r="H47" s="123"/>
      <c r="I47" s="265">
        <f t="shared" si="11"/>
        <v>5.879153116376102</v>
      </c>
      <c r="J47" s="123">
        <v>1.12</v>
      </c>
      <c r="K47" s="265">
        <f t="shared" si="12"/>
        <v>6.253833840199949</v>
      </c>
      <c r="L47" s="232">
        <v>1815.658</v>
      </c>
      <c r="M47" s="232">
        <f t="shared" si="13"/>
        <v>307.5307930454921</v>
      </c>
      <c r="N47" s="265">
        <v>1.121</v>
      </c>
      <c r="O47" s="123">
        <f t="shared" si="14"/>
        <v>1.3347285153901234</v>
      </c>
      <c r="P47" s="123"/>
      <c r="Q47" s="268">
        <f t="shared" si="15"/>
        <v>5.903987636553245</v>
      </c>
      <c r="R47" s="224">
        <v>13208.250299999998</v>
      </c>
      <c r="S47" s="224">
        <f t="shared" si="16"/>
        <v>1827.405801799011</v>
      </c>
      <c r="T47" s="265">
        <v>1.073</v>
      </c>
      <c r="U47" s="265">
        <f t="shared" si="17"/>
        <v>1.279229307599918</v>
      </c>
      <c r="V47" s="123"/>
      <c r="W47" s="265">
        <f t="shared" si="18"/>
        <v>7.2278693035761306</v>
      </c>
      <c r="X47" s="265">
        <v>66.339</v>
      </c>
      <c r="Y47" s="268">
        <v>5.959232982425005</v>
      </c>
      <c r="AD47" s="2225">
        <v>2004</v>
      </c>
      <c r="AE47" s="2222">
        <f t="shared" si="7"/>
        <v>29.099942356965194</v>
      </c>
      <c r="AF47" s="2223">
        <f t="shared" si="8"/>
        <v>82.58459649139765</v>
      </c>
      <c r="AT47" s="959">
        <v>98</v>
      </c>
      <c r="AU47" s="2216">
        <f>AU46+0.69*(AU46-AU45)</f>
        <v>36.945896000000005</v>
      </c>
      <c r="AV47" s="21"/>
      <c r="AY47" s="1367">
        <f t="shared" si="6"/>
        <v>50.74915159789987</v>
      </c>
      <c r="AZ47" s="1367">
        <f>AZ46+1*(AZ46-AZ45)</f>
        <v>39.08080007894595</v>
      </c>
      <c r="BA47" s="2199">
        <v>2016</v>
      </c>
      <c r="BB47" s="1706">
        <v>37.14029361228722</v>
      </c>
      <c r="BC47" s="2213"/>
      <c r="BT47" s="2103">
        <v>2015</v>
      </c>
      <c r="BU47" s="2200">
        <v>1.8783978689046956</v>
      </c>
      <c r="BV47" s="1608">
        <v>2.7139935535586104</v>
      </c>
      <c r="BW47" s="2201"/>
      <c r="BX47" s="2201"/>
      <c r="CQ47" s="559">
        <v>2015</v>
      </c>
      <c r="CR47" s="2202">
        <v>153208.1569</v>
      </c>
      <c r="CS47" s="2202">
        <v>38091.4522</v>
      </c>
      <c r="DJ47" s="2103">
        <v>2015</v>
      </c>
      <c r="DK47" s="2105">
        <v>2.0486809731795095</v>
      </c>
      <c r="DL47" s="2210">
        <v>1.2151693842759972</v>
      </c>
      <c r="DM47" s="1994">
        <v>0</v>
      </c>
      <c r="EE47" s="2103">
        <v>2015</v>
      </c>
      <c r="EF47" s="2211">
        <v>83232.6184</v>
      </c>
      <c r="EG47" s="1128">
        <v>14543.9418</v>
      </c>
      <c r="EH47" s="2212">
        <v>19268.84070000001</v>
      </c>
      <c r="EZ47" s="2103">
        <v>2015</v>
      </c>
      <c r="FA47" s="2200">
        <v>25.408791247612854</v>
      </c>
      <c r="FB47" s="1128">
        <v>19.186851434041674</v>
      </c>
      <c r="FC47" s="2213">
        <v>14.837823597492827</v>
      </c>
    </row>
    <row r="48" ht="17.5" customHeight="1" spans="2:159" x14ac:dyDescent="0.25">
      <c r="B48" s="1359">
        <v>1.0152190223782134</v>
      </c>
      <c r="C48" s="2226">
        <v>2004</v>
      </c>
      <c r="D48" s="224">
        <v>34873.724</v>
      </c>
      <c r="E48" s="224">
        <f t="shared" si="9"/>
        <v>5559.994429291009</v>
      </c>
      <c r="F48" s="123">
        <v>1.016</v>
      </c>
      <c r="G48" s="265">
        <f t="shared" si="10"/>
        <v>1.0477784491527322</v>
      </c>
      <c r="H48" s="123"/>
      <c r="I48" s="265">
        <f t="shared" si="11"/>
        <v>6.272258802325271</v>
      </c>
      <c r="J48" s="123">
        <v>1.117</v>
      </c>
      <c r="K48" s="265">
        <f t="shared" si="12"/>
        <v>6.9855323995033425</v>
      </c>
      <c r="L48" s="232">
        <v>1972.112</v>
      </c>
      <c r="M48" s="232">
        <f t="shared" si="13"/>
        <v>343.8194266248601</v>
      </c>
      <c r="N48" s="265">
        <v>1.1179999999999999</v>
      </c>
      <c r="O48" s="123">
        <f t="shared" si="14"/>
        <v>1.4922264802061578</v>
      </c>
      <c r="P48" s="123"/>
      <c r="Q48" s="268">
        <f t="shared" si="15"/>
        <v>5.735894621660698</v>
      </c>
      <c r="R48" s="224">
        <v>17027.166999999998</v>
      </c>
      <c r="S48" s="224">
        <f t="shared" si="16"/>
        <v>1958.97901952854</v>
      </c>
      <c r="T48" s="265">
        <v>1.072</v>
      </c>
      <c r="U48" s="265">
        <f t="shared" si="17"/>
        <v>1.3713338177471122</v>
      </c>
      <c r="V48" s="123"/>
      <c r="W48" s="265">
        <f t="shared" si="18"/>
        <v>8.691857763794664</v>
      </c>
      <c r="X48" s="265">
        <v>67.319</v>
      </c>
      <c r="Y48" s="268">
        <v>5.674832684544995</v>
      </c>
      <c r="AD48" s="2225">
        <v>2005</v>
      </c>
      <c r="AE48" s="2222">
        <f t="shared" si="7"/>
        <v>30.500207447846275</v>
      </c>
      <c r="AF48" s="2223">
        <f t="shared" si="8"/>
        <v>82.89766001517849</v>
      </c>
      <c r="AT48" s="959">
        <v>100</v>
      </c>
      <c r="AU48" s="2216">
        <f>AU47+0.69*(AU47-AU46)</f>
        <v>37.392668240000006</v>
      </c>
      <c r="AV48" s="21"/>
      <c r="AY48" s="1367">
        <f t="shared" si="6"/>
        <v>52.549151597899865</v>
      </c>
      <c r="AZ48" s="1367">
        <f t="shared" ref="AZ48:AZ61" si="20">AZ47+1*(AZ47-AZ46)</f>
        <v>39.42538773476497</v>
      </c>
      <c r="BA48" s="2199">
        <v>2017</v>
      </c>
      <c r="BB48" s="2228"/>
      <c r="BC48" s="2213"/>
      <c r="BT48" s="2103">
        <v>2016</v>
      </c>
      <c r="BU48" s="1608">
        <v>1.882154664642505</v>
      </c>
      <c r="BV48" s="1608">
        <v>2.7539998517348616</v>
      </c>
      <c r="BW48" s="2201"/>
      <c r="BX48" s="2201"/>
      <c r="CQ48" s="559">
        <v>2016</v>
      </c>
      <c r="CR48" s="2202">
        <v>160860.211</v>
      </c>
      <c r="CS48" s="2202">
        <v>40779.2886</v>
      </c>
      <c r="DJ48" s="2103">
        <v>2016</v>
      </c>
      <c r="DK48" s="2105">
        <v>2.0445836112331506</v>
      </c>
      <c r="DL48" s="2210">
        <v>1.233396925040137</v>
      </c>
      <c r="DM48" s="1994">
        <v>0</v>
      </c>
      <c r="EE48" s="2103">
        <v>2016</v>
      </c>
      <c r="EF48" s="2229">
        <v>86043.64890000001</v>
      </c>
      <c r="EG48" s="1128">
        <v>15549.3924</v>
      </c>
      <c r="EH48" s="2212">
        <v>20932.67550000001</v>
      </c>
      <c r="EZ48" s="2103">
        <v>2016</v>
      </c>
      <c r="FA48" s="2106">
        <v>27.210700956508322</v>
      </c>
      <c r="FB48" s="1128">
        <v>20.222941411479926</v>
      </c>
      <c r="FC48" s="2213">
        <v>15.58730165186604</v>
      </c>
    </row>
    <row r="49" ht="17.5" customHeight="1" spans="2:159" x14ac:dyDescent="0.25">
      <c r="B49" s="1359">
        <v>1.0182012616588947</v>
      </c>
      <c r="C49" s="2226">
        <v>2005</v>
      </c>
      <c r="D49" s="224">
        <v>41493.568</v>
      </c>
      <c r="E49" s="224">
        <f t="shared" si="9"/>
        <v>5665.634323447539</v>
      </c>
      <c r="F49" s="123">
        <v>1.0190000000000001</v>
      </c>
      <c r="G49" s="265">
        <f t="shared" si="10"/>
        <v>1.0676862396866342</v>
      </c>
      <c r="H49" s="123"/>
      <c r="I49" s="265">
        <f t="shared" si="11"/>
        <v>7.323728576741458</v>
      </c>
      <c r="J49" s="123">
        <v>1.109</v>
      </c>
      <c r="K49" s="265">
        <f t="shared" si="12"/>
        <v>7.746955431049207</v>
      </c>
      <c r="L49" s="232">
        <v>2943.686</v>
      </c>
      <c r="M49" s="232">
        <f t="shared" si="13"/>
        <v>381.63956355359477</v>
      </c>
      <c r="N49" s="265">
        <v>1.11</v>
      </c>
      <c r="O49" s="123">
        <f t="shared" si="14"/>
        <v>1.6563713930288353</v>
      </c>
      <c r="P49" s="123"/>
      <c r="Q49" s="268">
        <f t="shared" si="15"/>
        <v>7.713262148688653</v>
      </c>
      <c r="R49" s="224">
        <v>21609.765799999997</v>
      </c>
      <c r="S49" s="224">
        <f t="shared" si="16"/>
        <v>2084.3536767783667</v>
      </c>
      <c r="T49" s="265">
        <v>1.064</v>
      </c>
      <c r="U49" s="265">
        <f t="shared" si="17"/>
        <v>1.4590991820829273</v>
      </c>
      <c r="V49" s="123"/>
      <c r="W49" s="265">
        <f t="shared" si="18"/>
        <v>10.367609893058377</v>
      </c>
      <c r="X49" s="265">
        <v>68.339</v>
      </c>
      <c r="Y49" s="268">
        <v>5.262786126427509</v>
      </c>
      <c r="AD49" s="2225">
        <v>2006</v>
      </c>
      <c r="AE49" s="2222">
        <f t="shared" si="7"/>
        <v>32.605223124148</v>
      </c>
      <c r="AF49" s="2223">
        <f t="shared" si="8"/>
        <v>83.86859177209354</v>
      </c>
      <c r="AT49" s="959">
        <v>102</v>
      </c>
      <c r="AU49" s="2216">
        <f>AU48+0.8*(AU48-AU47)</f>
        <v>37.750086032000006</v>
      </c>
      <c r="AV49" s="21"/>
      <c r="AY49" s="1367"/>
      <c r="AZ49" s="1367">
        <f t="shared" si="20"/>
        <v>39.76997539058399</v>
      </c>
      <c r="BA49" s="2199">
        <v>2018</v>
      </c>
      <c r="BB49" s="2228"/>
      <c r="BC49" s="2213"/>
      <c r="BT49" s="2103">
        <v>2017</v>
      </c>
      <c r="BU49" s="2201"/>
      <c r="BV49" s="2201"/>
      <c r="BW49" s="2201"/>
      <c r="BX49" s="2201"/>
      <c r="CQ49" s="559">
        <v>2017</v>
      </c>
      <c r="CR49" s="2201"/>
      <c r="CS49" s="2201"/>
      <c r="DJ49" s="2103">
        <v>2017</v>
      </c>
      <c r="DK49" s="2105"/>
      <c r="DL49" s="1128"/>
      <c r="DM49" s="1994"/>
      <c r="EE49" s="2103">
        <v>2017</v>
      </c>
      <c r="EF49" s="2105"/>
      <c r="EG49" s="1128"/>
      <c r="EH49" s="1994"/>
      <c r="EZ49" s="2103">
        <v>2017</v>
      </c>
      <c r="FA49" s="2105"/>
      <c r="FB49" s="1128"/>
      <c r="FC49" s="1994"/>
    </row>
    <row r="50" ht="17.5" customHeight="1" spans="2:159" x14ac:dyDescent="0.25">
      <c r="B50" s="1359">
        <v>1.0231533194536961</v>
      </c>
      <c r="C50" s="2226">
        <v>2006</v>
      </c>
      <c r="D50" s="224">
        <v>47489.498</v>
      </c>
      <c r="E50" s="224">
        <f t="shared" si="9"/>
        <v>5801.60954721028</v>
      </c>
      <c r="F50" s="123">
        <v>1.024</v>
      </c>
      <c r="G50" s="265">
        <f t="shared" si="10"/>
        <v>1.0933107094391135</v>
      </c>
      <c r="H50" s="123"/>
      <c r="I50" s="265">
        <f t="shared" si="11"/>
        <v>8.185572919645283</v>
      </c>
      <c r="J50" s="123">
        <v>1.09</v>
      </c>
      <c r="K50" s="265">
        <f t="shared" si="12"/>
        <v>8.444181419843636</v>
      </c>
      <c r="L50" s="232">
        <v>3252.436</v>
      </c>
      <c r="M50" s="232">
        <f t="shared" si="13"/>
        <v>443.08353328572355</v>
      </c>
      <c r="N50" s="265">
        <v>1.161</v>
      </c>
      <c r="O50" s="123">
        <f t="shared" si="14"/>
        <v>1.9230471873064778</v>
      </c>
      <c r="P50" s="123"/>
      <c r="Q50" s="268">
        <f t="shared" si="15"/>
        <v>7.340457849745137</v>
      </c>
      <c r="R50" s="224">
        <v>26917.2037</v>
      </c>
      <c r="S50" s="224">
        <f t="shared" si="16"/>
        <v>2255.270678274193</v>
      </c>
      <c r="T50" s="265">
        <v>1.082</v>
      </c>
      <c r="U50" s="265">
        <f t="shared" si="17"/>
        <v>1.5787453150137274</v>
      </c>
      <c r="V50" s="123"/>
      <c r="W50" s="265">
        <f t="shared" si="18"/>
        <v>11.935243054992371</v>
      </c>
      <c r="X50" s="265">
        <v>69.169</v>
      </c>
      <c r="Y50" s="268">
        <v>5.311947059967503</v>
      </c>
      <c r="AD50" s="2225">
        <v>2007</v>
      </c>
      <c r="AE50" s="2222">
        <f t="shared" si="7"/>
        <v>34.57635560163204</v>
      </c>
      <c r="AF50" s="2223">
        <f t="shared" si="8"/>
        <v>84.51237713207206</v>
      </c>
      <c r="AT50" s="959">
        <v>104</v>
      </c>
      <c r="AU50" s="2216">
        <f t="shared" ref="AU50:AU60" si="21">AU49+0.8*(AU49-AU48)</f>
        <v>38.03602026560001</v>
      </c>
      <c r="AV50" s="21"/>
      <c r="AY50" s="1367"/>
      <c r="AZ50" s="1367">
        <f t="shared" si="20"/>
        <v>40.114563046403006</v>
      </c>
      <c r="BA50" s="2199">
        <v>2019</v>
      </c>
      <c r="BB50" s="2228"/>
      <c r="BC50" s="2213"/>
      <c r="BT50" s="2103">
        <v>2018</v>
      </c>
      <c r="BU50" s="2201"/>
      <c r="BV50" s="2201"/>
      <c r="BW50" s="2201"/>
      <c r="BX50" s="1994"/>
      <c r="CQ50" s="559">
        <v>2018</v>
      </c>
      <c r="CR50" s="2201"/>
      <c r="CS50" s="2201"/>
      <c r="DJ50" s="2103">
        <v>2018</v>
      </c>
      <c r="DK50" s="2105"/>
      <c r="DL50" s="1128"/>
      <c r="DM50" s="1994"/>
      <c r="EE50" s="2103">
        <v>2018</v>
      </c>
      <c r="EF50" s="2105"/>
      <c r="EG50" s="1128"/>
      <c r="EH50" s="1994"/>
      <c r="EZ50" s="2103">
        <v>2018</v>
      </c>
      <c r="FA50" s="2105"/>
      <c r="FB50" s="1128"/>
      <c r="FC50" s="1994"/>
    </row>
    <row r="51" ht="17.5" customHeight="1" spans="2:159" x14ac:dyDescent="0.25">
      <c r="B51" s="1359">
        <v>1.0300701964268184</v>
      </c>
      <c r="C51" s="2226">
        <v>2007</v>
      </c>
      <c r="D51" s="224">
        <v>60391.454</v>
      </c>
      <c r="E51" s="224">
        <f t="shared" si="9"/>
        <v>5981.459443173798</v>
      </c>
      <c r="F51" s="123">
        <v>1.031</v>
      </c>
      <c r="G51" s="265">
        <f t="shared" si="10"/>
        <v>1.127203341431726</v>
      </c>
      <c r="H51" s="123"/>
      <c r="I51" s="265">
        <f t="shared" si="11"/>
        <v>10.096441273863412</v>
      </c>
      <c r="J51" s="123">
        <v>1.119</v>
      </c>
      <c r="K51" s="265">
        <f t="shared" si="12"/>
        <v>9.449039008805029</v>
      </c>
      <c r="L51" s="232">
        <v>4296.411</v>
      </c>
      <c r="M51" s="232">
        <f t="shared" si="13"/>
        <v>541.0049941418683</v>
      </c>
      <c r="N51" s="265">
        <v>1.2209999999999999</v>
      </c>
      <c r="O51" s="123">
        <f t="shared" si="14"/>
        <v>2.3480406157012093</v>
      </c>
      <c r="P51" s="123"/>
      <c r="Q51" s="268">
        <f t="shared" si="15"/>
        <v>7.941536670682466</v>
      </c>
      <c r="R51" s="224">
        <v>33247.5132</v>
      </c>
      <c r="S51" s="224">
        <f t="shared" si="16"/>
        <v>2446.9686859274993</v>
      </c>
      <c r="T51" s="265">
        <v>1.085</v>
      </c>
      <c r="U51" s="265">
        <f t="shared" si="17"/>
        <v>1.7129386667898943</v>
      </c>
      <c r="V51" s="123"/>
      <c r="W51" s="265">
        <f t="shared" si="18"/>
        <v>13.587224630705832</v>
      </c>
      <c r="X51" s="265">
        <v>70.77</v>
      </c>
      <c r="Y51" s="268">
        <v>4.588478850000005</v>
      </c>
      <c r="AD51" s="2225">
        <v>2008</v>
      </c>
      <c r="AE51" s="2222">
        <f t="shared" si="7"/>
        <v>36.254961869156645</v>
      </c>
      <c r="AF51" s="2223">
        <f t="shared" si="8"/>
        <v>87.2675070504579</v>
      </c>
      <c r="AT51" s="959">
        <v>106</v>
      </c>
      <c r="AU51" s="2216">
        <f t="shared" si="21"/>
        <v>38.26476765248001</v>
      </c>
      <c r="AV51" s="21"/>
      <c r="AY51" s="1367"/>
      <c r="AZ51" s="1367">
        <f t="shared" si="20"/>
        <v>40.459150702222026</v>
      </c>
      <c r="BA51" s="2199">
        <v>2020</v>
      </c>
      <c r="BB51" s="2228"/>
      <c r="BC51" s="2213"/>
      <c r="BT51" s="2103">
        <v>2019</v>
      </c>
      <c r="BU51" s="2201"/>
      <c r="BV51" s="2201"/>
      <c r="BW51" s="2201"/>
      <c r="BX51" s="1994"/>
      <c r="CQ51" s="559">
        <v>2019</v>
      </c>
      <c r="CR51" s="2201"/>
      <c r="CS51" s="2201"/>
      <c r="DJ51" s="2103">
        <v>2019</v>
      </c>
      <c r="DK51" s="2105"/>
      <c r="DL51" s="1128"/>
      <c r="DM51" s="1994"/>
      <c r="EE51" s="2103">
        <v>2019</v>
      </c>
      <c r="EF51" s="2105"/>
      <c r="EG51" s="1128"/>
      <c r="EH51" s="1994"/>
      <c r="EZ51" s="2103">
        <v>2019</v>
      </c>
      <c r="FA51" s="2105"/>
      <c r="FB51" s="1128"/>
      <c r="FC51" s="1994"/>
    </row>
    <row r="52" ht="17.5" customHeight="1" spans="2:159" x14ac:dyDescent="0.25">
      <c r="B52" s="1359">
        <v>1.0389240720903015</v>
      </c>
      <c r="C52" s="2226">
        <v>2008</v>
      </c>
      <c r="D52" s="224">
        <v>74471.182</v>
      </c>
      <c r="E52" s="224">
        <f t="shared" si="9"/>
        <v>6196.791983128055</v>
      </c>
      <c r="F52" s="123">
        <v>1.036</v>
      </c>
      <c r="G52" s="265">
        <f t="shared" si="10"/>
        <v>1.167782661723268</v>
      </c>
      <c r="H52" s="123"/>
      <c r="I52" s="265">
        <f t="shared" si="11"/>
        <v>12.017699190607328</v>
      </c>
      <c r="J52" s="123">
        <v>1.133</v>
      </c>
      <c r="K52" s="265">
        <f t="shared" si="12"/>
        <v>10.705761196976098</v>
      </c>
      <c r="L52" s="232">
        <v>5744.847</v>
      </c>
      <c r="M52" s="232">
        <f t="shared" si="13"/>
        <v>616.7456933217298</v>
      </c>
      <c r="N52" s="265">
        <v>1.14</v>
      </c>
      <c r="O52" s="123">
        <f t="shared" si="14"/>
        <v>2.676766301899378</v>
      </c>
      <c r="P52" s="123"/>
      <c r="Q52" s="268">
        <f t="shared" si="15"/>
        <v>9.314774407355543</v>
      </c>
      <c r="R52" s="224">
        <v>41276.8492</v>
      </c>
      <c r="S52" s="224">
        <f t="shared" si="16"/>
        <v>2574.2110575957295</v>
      </c>
      <c r="T52" s="265">
        <v>1.052</v>
      </c>
      <c r="U52" s="265">
        <f t="shared" si="17"/>
        <v>1.8020114774629687</v>
      </c>
      <c r="V52" s="123"/>
      <c r="W52" s="265">
        <f t="shared" si="18"/>
        <v>16.03475716499792</v>
      </c>
      <c r="X52" s="265">
        <v>71.003</v>
      </c>
      <c r="Y52" s="268">
        <v>4.791482718787502</v>
      </c>
      <c r="AD52" s="2225">
        <v>2009</v>
      </c>
      <c r="AE52" s="2222">
        <f t="shared" si="7"/>
        <v>34.15715868096336</v>
      </c>
      <c r="AF52" s="2223">
        <f t="shared" si="8"/>
        <v>92.12699836915401</v>
      </c>
      <c r="AT52" s="959">
        <v>108</v>
      </c>
      <c r="AU52" s="2216">
        <f t="shared" si="21"/>
        <v>38.44776556198401</v>
      </c>
      <c r="AV52" s="21"/>
      <c r="AY52" s="1367"/>
      <c r="AZ52" s="1367">
        <f t="shared" si="20"/>
        <v>40.803738358041045</v>
      </c>
      <c r="BA52" s="2199">
        <v>2021</v>
      </c>
      <c r="BB52" s="2228"/>
      <c r="BC52" s="2213"/>
      <c r="BT52" s="2103">
        <v>2020</v>
      </c>
      <c r="BU52" s="2105"/>
      <c r="BV52" s="1994"/>
      <c r="BW52" s="2201"/>
      <c r="BX52" s="1994"/>
      <c r="CQ52" s="559">
        <v>2020</v>
      </c>
      <c r="CR52" s="2105"/>
      <c r="CS52" s="1994"/>
      <c r="DJ52" s="2103">
        <v>2020</v>
      </c>
      <c r="DK52" s="2105"/>
      <c r="DL52" s="1128"/>
      <c r="DM52" s="1994"/>
      <c r="EE52" s="2103">
        <v>2020</v>
      </c>
      <c r="EF52" s="2105"/>
      <c r="EG52" s="1128"/>
      <c r="EH52" s="1994"/>
      <c r="EZ52" s="2103">
        <v>2020</v>
      </c>
      <c r="FA52" s="2105"/>
      <c r="FB52" s="1128"/>
      <c r="FC52" s="1994"/>
    </row>
    <row r="53" ht="17.5" customHeight="1" spans="2:159" x14ac:dyDescent="0.25">
      <c r="B53" s="1359">
        <v>1.035446314156317</v>
      </c>
      <c r="C53" s="2226">
        <v>2009</v>
      </c>
      <c r="D53" s="224">
        <v>82302.969</v>
      </c>
      <c r="E53" s="224">
        <f t="shared" si="9"/>
        <v>6395.089326588153</v>
      </c>
      <c r="F53" s="123">
        <v>1.032</v>
      </c>
      <c r="G53" s="265">
        <f t="shared" si="10"/>
        <v>1.2051517068984128</v>
      </c>
      <c r="H53" s="123"/>
      <c r="I53" s="265">
        <f t="shared" si="11"/>
        <v>12.869713743921931</v>
      </c>
      <c r="J53" s="123">
        <v>1.088</v>
      </c>
      <c r="K53" s="265">
        <f t="shared" si="12"/>
        <v>11.647868182309995</v>
      </c>
      <c r="L53" s="232">
        <v>6356.223</v>
      </c>
      <c r="M53" s="232">
        <f t="shared" si="13"/>
        <v>595.776339748791</v>
      </c>
      <c r="N53" s="265">
        <v>0.966</v>
      </c>
      <c r="O53" s="123">
        <f t="shared" si="14"/>
        <v>2.5857562476347993</v>
      </c>
      <c r="P53" s="123"/>
      <c r="Q53" s="268">
        <f t="shared" si="15"/>
        <v>10.668807362642331</v>
      </c>
      <c r="R53" s="224">
        <v>38807.270899999996</v>
      </c>
      <c r="S53" s="224">
        <f t="shared" si="16"/>
        <v>2373.4225951032627</v>
      </c>
      <c r="T53" s="265">
        <v>0.922</v>
      </c>
      <c r="U53" s="265">
        <f t="shared" si="17"/>
        <v>1.6614545822208573</v>
      </c>
      <c r="V53" s="123"/>
      <c r="W53" s="265">
        <f t="shared" si="18"/>
        <v>16.350763231152087</v>
      </c>
      <c r="X53" s="265">
        <v>69.41</v>
      </c>
      <c r="Y53" s="268">
        <v>6.372794336069</v>
      </c>
      <c r="AD53" s="2225">
        <v>2010</v>
      </c>
      <c r="AE53" s="2222">
        <f t="shared" si="7"/>
        <v>35.426929528449264</v>
      </c>
      <c r="AF53" s="2223">
        <f t="shared" si="8"/>
        <v>94.18020508858824</v>
      </c>
      <c r="AT53" s="959">
        <v>110</v>
      </c>
      <c r="AU53" s="2216">
        <f t="shared" si="21"/>
        <v>38.594163889587215</v>
      </c>
      <c r="AV53" s="21"/>
      <c r="AY53" s="1367"/>
      <c r="AZ53" s="1367">
        <f t="shared" si="20"/>
        <v>41.148326013860064</v>
      </c>
      <c r="BA53" s="2199">
        <v>2022</v>
      </c>
      <c r="BB53" s="2228"/>
      <c r="BC53" s="2213"/>
      <c r="BT53" s="2103">
        <v>2021</v>
      </c>
      <c r="BU53" s="2105"/>
      <c r="BV53" s="1994"/>
      <c r="BW53" s="2201"/>
      <c r="BX53" s="1994"/>
      <c r="CQ53" s="559">
        <v>2021</v>
      </c>
      <c r="CR53" s="2105"/>
      <c r="CS53" s="1994"/>
      <c r="DJ53" s="2103">
        <v>2021</v>
      </c>
      <c r="DK53" s="2105"/>
      <c r="DL53" s="1128"/>
      <c r="DM53" s="1994"/>
      <c r="EE53" s="2103">
        <v>2021</v>
      </c>
      <c r="EF53" s="2105"/>
      <c r="EG53" s="1128"/>
      <c r="EH53" s="1994"/>
      <c r="EZ53" s="2103">
        <v>2021</v>
      </c>
      <c r="FA53" s="2105"/>
      <c r="FB53" s="1128"/>
      <c r="FC53" s="1994"/>
    </row>
    <row r="54" ht="17.5" customHeight="1" spans="2:159" x14ac:dyDescent="0.25">
      <c r="B54" s="1359">
        <v>1.0135440263821274</v>
      </c>
      <c r="C54" s="2226">
        <v>2010</v>
      </c>
      <c r="D54" s="123"/>
      <c r="E54" s="224">
        <f t="shared" si="9"/>
        <v>6586.942006385798</v>
      </c>
      <c r="F54" s="265">
        <v>1.03</v>
      </c>
      <c r="G54" s="265">
        <f t="shared" si="10"/>
        <v>1.241306258105365</v>
      </c>
      <c r="H54" s="123"/>
      <c r="I54" s="265"/>
      <c r="J54" s="123">
        <v>1.088</v>
      </c>
      <c r="K54" s="265">
        <f t="shared" si="12"/>
        <v>12.672880582353276</v>
      </c>
      <c r="L54" s="232">
        <v>6275.931</v>
      </c>
      <c r="M54" s="232">
        <f t="shared" si="13"/>
        <v>556.4551013253708</v>
      </c>
      <c r="N54" s="265">
        <v>0.934</v>
      </c>
      <c r="O54" s="123">
        <f t="shared" si="14"/>
        <v>2.4150963352909027</v>
      </c>
      <c r="P54" s="123"/>
      <c r="Q54" s="268">
        <f t="shared" si="15"/>
        <v>11.278413990727946</v>
      </c>
      <c r="R54" s="224">
        <v>46308.53100000001</v>
      </c>
      <c r="S54" s="224">
        <f t="shared" si="16"/>
        <v>2468.359498907393</v>
      </c>
      <c r="T54" s="265">
        <v>1.04</v>
      </c>
      <c r="U54" s="265">
        <f t="shared" si="17"/>
        <v>1.7279127655096918</v>
      </c>
      <c r="V54" s="123"/>
      <c r="W54" s="265">
        <f t="shared" si="18"/>
        <v>18.760853522551415</v>
      </c>
      <c r="X54" s="265">
        <v>69.93370846147305</v>
      </c>
      <c r="Y54" s="268">
        <v>5.6363179918876405</v>
      </c>
      <c r="AD54" s="2225">
        <v>2011</v>
      </c>
      <c r="AE54" s="2222">
        <f t="shared" si="7"/>
        <v>36.46901142919998</v>
      </c>
      <c r="AF54" s="2223">
        <f t="shared" si="8"/>
        <v>96.67165201320793</v>
      </c>
      <c r="AT54" s="959">
        <v>112</v>
      </c>
      <c r="AU54" s="2216">
        <f t="shared" si="21"/>
        <v>38.711282551669775</v>
      </c>
      <c r="AV54" s="21"/>
      <c r="AZ54" s="1367">
        <f t="shared" si="20"/>
        <v>41.49291366967908</v>
      </c>
      <c r="BA54" s="2199">
        <v>2023</v>
      </c>
      <c r="BB54" s="2228"/>
      <c r="BC54" s="2213"/>
      <c r="BT54" s="2103">
        <v>2022</v>
      </c>
      <c r="BU54" s="2105"/>
      <c r="BV54" s="1994"/>
      <c r="BW54" s="2201"/>
      <c r="BX54" s="1994"/>
      <c r="CQ54" s="559">
        <v>2022</v>
      </c>
      <c r="CR54" s="2105"/>
      <c r="CS54" s="1994"/>
      <c r="DJ54" s="2103">
        <v>2022</v>
      </c>
      <c r="DK54" s="2105"/>
      <c r="DL54" s="1128"/>
      <c r="DM54" s="1994"/>
      <c r="EE54" s="2103">
        <v>2022</v>
      </c>
      <c r="EF54" s="2105"/>
      <c r="EG54" s="1128"/>
      <c r="EH54" s="1994"/>
      <c r="EZ54" s="2103">
        <v>2022</v>
      </c>
      <c r="FA54" s="2105"/>
      <c r="FB54" s="1128"/>
      <c r="FC54" s="1994"/>
    </row>
    <row r="55" ht="17.5" customHeight="1" spans="2:159" x14ac:dyDescent="0.25">
      <c r="B55" s="1359">
        <v>1.0017540320806977</v>
      </c>
      <c r="C55" s="2226">
        <v>2011</v>
      </c>
      <c r="D55" s="123"/>
      <c r="E55" s="224">
        <f t="shared" si="9"/>
        <v>6600.11589039857</v>
      </c>
      <c r="F55" s="123">
        <v>1.002</v>
      </c>
      <c r="G55" s="123"/>
      <c r="H55" s="123"/>
      <c r="I55" s="123"/>
      <c r="J55" s="123">
        <v>1.061</v>
      </c>
      <c r="K55" s="265">
        <f t="shared" si="12"/>
        <v>13.445926297876825</v>
      </c>
      <c r="L55" s="123"/>
      <c r="M55" s="123"/>
      <c r="N55" s="123"/>
      <c r="O55" s="123"/>
      <c r="P55" s="123"/>
      <c r="Q55" s="123"/>
      <c r="R55" s="224">
        <v>60282.540400000005</v>
      </c>
      <c r="S55" s="224">
        <f t="shared" si="16"/>
        <v>2574.4989573604107</v>
      </c>
      <c r="T55" s="265">
        <v>1.043</v>
      </c>
      <c r="U55" s="265">
        <f t="shared" si="17"/>
        <v>1.8022130144266084</v>
      </c>
      <c r="V55" s="123"/>
      <c r="W55" s="265">
        <f t="shared" si="18"/>
        <v>23.41525143277069</v>
      </c>
      <c r="X55" s="265">
        <v>70.85661311334043</v>
      </c>
      <c r="Y55" s="268">
        <v>4.7</v>
      </c>
      <c r="AD55" s="2225">
        <v>2012</v>
      </c>
      <c r="AE55" s="2222">
        <f t="shared" si="7"/>
        <v>37.43834150758296</v>
      </c>
      <c r="AF55" s="2223">
        <f t="shared" si="8"/>
        <v>99.85780739210848</v>
      </c>
      <c r="AT55" s="959">
        <v>114</v>
      </c>
      <c r="AU55" s="2216">
        <f t="shared" si="21"/>
        <v>38.804977481335825</v>
      </c>
      <c r="AV55" s="21"/>
      <c r="AZ55" s="1367">
        <f t="shared" si="20"/>
        <v>41.8375013254981</v>
      </c>
      <c r="BA55" s="2199">
        <v>2024</v>
      </c>
      <c r="BB55" s="2228"/>
      <c r="BC55" s="2213"/>
      <c r="BT55" s="2103">
        <v>2023</v>
      </c>
      <c r="BU55" s="2105"/>
      <c r="BV55" s="1994"/>
      <c r="BW55" s="2201"/>
      <c r="BX55" s="1994"/>
      <c r="CQ55" s="559">
        <v>2023</v>
      </c>
      <c r="CR55" s="2105"/>
      <c r="CS55" s="1994"/>
      <c r="DJ55" s="2103">
        <v>2023</v>
      </c>
      <c r="DK55" s="2105"/>
      <c r="DL55" s="1128"/>
      <c r="DM55" s="1994"/>
      <c r="EE55" s="2103">
        <v>2023</v>
      </c>
      <c r="EF55" s="2105"/>
      <c r="EG55" s="1128"/>
      <c r="EH55" s="1994"/>
      <c r="EZ55" s="2103">
        <v>2023</v>
      </c>
      <c r="FA55" s="2105"/>
      <c r="FB55" s="1128"/>
      <c r="FC55" s="1994"/>
    </row>
    <row r="56" ht="17.5" customHeight="1" spans="2:159" x14ac:dyDescent="0.25">
      <c r="B56" s="1359">
        <v>0.9933941257524653</v>
      </c>
      <c r="C56" s="2226">
        <v>2012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224">
        <v>68163.8831</v>
      </c>
      <c r="S56" s="224">
        <f t="shared" si="16"/>
        <v>2662.0319219106646</v>
      </c>
      <c r="T56" s="265">
        <v>1.034</v>
      </c>
      <c r="U56" s="265">
        <f t="shared" si="17"/>
        <v>1.8634882569171132</v>
      </c>
      <c r="V56" s="123"/>
      <c r="W56" s="265">
        <f t="shared" si="18"/>
        <v>25.605960070935442</v>
      </c>
      <c r="X56" s="265">
        <v>71.54541586357954</v>
      </c>
      <c r="Y56" s="268">
        <v>4</v>
      </c>
      <c r="AD56" s="2225">
        <v>2013</v>
      </c>
      <c r="AE56" s="2222">
        <f t="shared" si="7"/>
        <v>38.1889261462379</v>
      </c>
      <c r="AF56" s="2223">
        <f t="shared" si="8"/>
        <v>104.1761508077991</v>
      </c>
      <c r="AT56" s="959">
        <v>116</v>
      </c>
      <c r="AU56" s="2216">
        <f t="shared" si="21"/>
        <v>38.879933425068664</v>
      </c>
      <c r="AV56" s="21"/>
      <c r="AZ56" s="1367">
        <f t="shared" si="20"/>
        <v>42.18208898131712</v>
      </c>
      <c r="BA56" s="2199">
        <v>2025</v>
      </c>
      <c r="BB56" s="1986"/>
      <c r="BC56" s="2213"/>
      <c r="BT56" s="2103">
        <v>2024</v>
      </c>
      <c r="BU56" s="2105"/>
      <c r="BV56" s="1994"/>
      <c r="BW56" s="2201"/>
      <c r="BX56" s="1994"/>
      <c r="CQ56" s="559">
        <v>2024</v>
      </c>
      <c r="CR56" s="2105"/>
      <c r="CS56" s="1994"/>
      <c r="DJ56" s="2103">
        <v>2024</v>
      </c>
      <c r="DK56" s="2105"/>
      <c r="DL56" s="1128"/>
      <c r="DM56" s="1994"/>
      <c r="EE56" s="2103">
        <v>2024</v>
      </c>
      <c r="EF56" s="2105"/>
      <c r="EG56" s="1128"/>
      <c r="EH56" s="1994"/>
      <c r="EZ56" s="2103">
        <v>2024</v>
      </c>
      <c r="FA56" s="2105"/>
      <c r="FB56" s="1128"/>
      <c r="FC56" s="1994"/>
    </row>
    <row r="57" ht="17.5" customHeight="1" spans="2:159" x14ac:dyDescent="0.25">
      <c r="B57" s="1359">
        <v>0.9867116673296885</v>
      </c>
      <c r="C57" s="2226">
        <v>2013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224">
        <v>73133.89509999998</v>
      </c>
      <c r="S57" s="224">
        <f t="shared" si="16"/>
        <v>2696.638336895503</v>
      </c>
      <c r="T57" s="265">
        <v>1.013</v>
      </c>
      <c r="U57" s="265">
        <f t="shared" si="17"/>
        <v>1.8877136042570355</v>
      </c>
      <c r="V57" s="123"/>
      <c r="W57" s="265">
        <f t="shared" si="18"/>
        <v>27.120394344091082</v>
      </c>
      <c r="X57" s="123">
        <v>71.391459581339</v>
      </c>
      <c r="Y57" s="123"/>
      <c r="AD57" s="2225">
        <v>2014</v>
      </c>
      <c r="AE57" s="2222">
        <f t="shared" si="7"/>
        <v>38.39162476730791</v>
      </c>
      <c r="AF57" s="2223">
        <f t="shared" si="8"/>
        <v>107.80780271745721</v>
      </c>
      <c r="AT57" s="959">
        <v>118</v>
      </c>
      <c r="AU57" s="2216">
        <f t="shared" si="21"/>
        <v>38.93989818005493</v>
      </c>
      <c r="AV57" s="21"/>
      <c r="AZ57" s="1367">
        <f t="shared" si="20"/>
        <v>42.52667663713614</v>
      </c>
      <c r="BA57" s="2199">
        <v>2026</v>
      </c>
      <c r="BB57" s="1986"/>
      <c r="BC57" s="2213"/>
      <c r="BT57" s="2103">
        <v>2025</v>
      </c>
      <c r="BU57" s="2105"/>
      <c r="BV57" s="1994"/>
      <c r="BW57" s="2201"/>
      <c r="BX57" s="1994"/>
      <c r="CQ57" s="559">
        <v>2025</v>
      </c>
      <c r="CR57" s="2105"/>
      <c r="CS57" s="1994"/>
      <c r="DJ57" s="2103">
        <v>2025</v>
      </c>
      <c r="DK57" s="2105"/>
      <c r="DL57" s="1128"/>
      <c r="DM57" s="1994"/>
      <c r="EE57" s="2103">
        <v>2025</v>
      </c>
      <c r="EF57" s="2105"/>
      <c r="EG57" s="1128"/>
      <c r="EH57" s="1994"/>
      <c r="EZ57" s="2103">
        <v>2025</v>
      </c>
      <c r="FA57" s="2105"/>
      <c r="FB57" s="1128"/>
      <c r="FC57" s="1994"/>
    </row>
    <row r="58" ht="16.5" customHeight="1" spans="2:159" x14ac:dyDescent="0.25">
      <c r="B58" s="1359">
        <v>0.9830730512780551</v>
      </c>
      <c r="C58" s="2226">
        <v>2014</v>
      </c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AD58" s="2225">
        <v>2015</v>
      </c>
      <c r="AE58" s="2222">
        <f t="shared" si="7"/>
        <v>36.90111731456948</v>
      </c>
      <c r="AF58" s="2223">
        <f t="shared" si="8"/>
        <v>110.05071046098531</v>
      </c>
      <c r="AT58" s="959">
        <v>120</v>
      </c>
      <c r="AU58" s="2216">
        <f t="shared" si="21"/>
        <v>38.98786998404395</v>
      </c>
      <c r="AV58" s="21"/>
      <c r="AZ58" s="1367">
        <f t="shared" si="20"/>
        <v>42.87126429295516</v>
      </c>
      <c r="BA58" s="2199">
        <v>2027</v>
      </c>
      <c r="BB58" s="1986"/>
      <c r="BC58" s="2213"/>
      <c r="BT58" s="2103">
        <v>2026</v>
      </c>
      <c r="BU58" s="2105"/>
      <c r="BV58" s="1994"/>
      <c r="BW58" s="1128"/>
      <c r="BX58" s="1994"/>
      <c r="CQ58" s="559">
        <v>2026</v>
      </c>
      <c r="CR58" s="2105"/>
      <c r="CS58" s="1994"/>
      <c r="DJ58" s="2103">
        <v>2026</v>
      </c>
      <c r="DK58" s="2105"/>
      <c r="DL58" s="1128"/>
      <c r="DM58" s="1994"/>
      <c r="EE58" s="2103">
        <v>2026</v>
      </c>
      <c r="EF58" s="2105"/>
      <c r="EG58" s="1128"/>
      <c r="EH58" s="1994"/>
      <c r="EZ58" s="2103">
        <v>2026</v>
      </c>
      <c r="FA58" s="2105"/>
      <c r="FB58" s="1128"/>
      <c r="FC58" s="1994"/>
    </row>
    <row r="59" ht="15.75" customHeight="1" spans="2:159" x14ac:dyDescent="0.25">
      <c r="B59" s="1359">
        <v>0.9825763160718646</v>
      </c>
      <c r="C59" s="2226">
        <v>2015</v>
      </c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AD59" s="2225">
        <v>2016</v>
      </c>
      <c r="AE59" s="2222">
        <f t="shared" si="7"/>
        <v>36.78283818570578</v>
      </c>
      <c r="AF59" s="2223">
        <f t="shared" si="8"/>
        <v>113.24360123344417</v>
      </c>
      <c r="AT59" s="959">
        <v>122</v>
      </c>
      <c r="AU59" s="2216">
        <f t="shared" si="21"/>
        <v>39.026247427235155</v>
      </c>
      <c r="AV59" s="21"/>
      <c r="AZ59" s="1367">
        <f t="shared" si="20"/>
        <v>43.21585194877418</v>
      </c>
      <c r="BA59" s="2199">
        <v>2028</v>
      </c>
      <c r="BB59" s="1986"/>
      <c r="BC59" s="2213"/>
      <c r="BT59" s="2103">
        <v>2027</v>
      </c>
      <c r="BU59" s="2105"/>
      <c r="BV59" s="1994"/>
      <c r="BW59" s="1128"/>
      <c r="BX59" s="1994"/>
      <c r="CQ59" s="559">
        <v>2027</v>
      </c>
      <c r="CR59" s="2105"/>
      <c r="CS59" s="1994"/>
      <c r="DJ59" s="2103">
        <v>2027</v>
      </c>
      <c r="DK59" s="2105"/>
      <c r="DL59" s="1128"/>
      <c r="DM59" s="1994"/>
      <c r="EE59" s="2103">
        <v>2027</v>
      </c>
      <c r="EF59" s="2105"/>
      <c r="EG59" s="1128"/>
      <c r="EH59" s="1994"/>
      <c r="EZ59" s="2103">
        <v>2027</v>
      </c>
      <c r="FA59" s="2105"/>
      <c r="FB59" s="1128"/>
      <c r="FC59" s="1994"/>
    </row>
    <row r="60" ht="14.25" customHeight="1" spans="3:159" x14ac:dyDescent="0.25">
      <c r="C60" s="2226">
        <v>2016</v>
      </c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AD60" s="2225">
        <v>2017</v>
      </c>
      <c r="AE60" s="123"/>
      <c r="AF60" s="407"/>
      <c r="AT60" s="962">
        <v>124</v>
      </c>
      <c r="AU60" s="2216">
        <f t="shared" si="21"/>
        <v>39.05694938178812</v>
      </c>
      <c r="AV60" s="83"/>
      <c r="AZ60" s="1367">
        <f t="shared" si="20"/>
        <v>43.5604396045932</v>
      </c>
      <c r="BA60" s="2199">
        <v>2029</v>
      </c>
      <c r="BB60" s="1986"/>
      <c r="BC60" s="2213"/>
      <c r="BT60" s="2103">
        <v>2028</v>
      </c>
      <c r="BU60" s="2105"/>
      <c r="BV60" s="1994"/>
      <c r="BW60" s="1128"/>
      <c r="BX60" s="1994"/>
      <c r="CQ60" s="559">
        <v>2028</v>
      </c>
      <c r="CR60" s="2105"/>
      <c r="CS60" s="1994"/>
      <c r="DJ60" s="2103">
        <v>2028</v>
      </c>
      <c r="DK60" s="2105"/>
      <c r="DL60" s="1128"/>
      <c r="DM60" s="1994"/>
      <c r="EE60" s="2103">
        <v>2028</v>
      </c>
      <c r="EF60" s="2105"/>
      <c r="EG60" s="1128"/>
      <c r="EH60" s="1994"/>
      <c r="EZ60" s="2103">
        <v>2028</v>
      </c>
      <c r="FA60" s="2105"/>
      <c r="FB60" s="1128"/>
      <c r="FC60" s="1994"/>
    </row>
    <row r="61" ht="15" customHeight="1" spans="3:159" x14ac:dyDescent="0.25">
      <c r="C61" s="2226">
        <v>2017</v>
      </c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AD61" s="2230">
        <v>2018</v>
      </c>
      <c r="AE61" s="2231"/>
      <c r="AF61" s="2232"/>
      <c r="AZ61" s="1367">
        <f t="shared" si="20"/>
        <v>43.90502726041222</v>
      </c>
      <c r="BA61" s="2233">
        <v>2030</v>
      </c>
      <c r="BB61" s="2234"/>
      <c r="BC61" s="2235"/>
      <c r="BT61" s="2103">
        <v>2029</v>
      </c>
      <c r="BU61" s="2105"/>
      <c r="BV61" s="1994"/>
      <c r="BW61" s="1128"/>
      <c r="BX61" s="1994"/>
      <c r="CQ61" s="559">
        <v>2029</v>
      </c>
      <c r="CR61" s="2105"/>
      <c r="CS61" s="1994"/>
      <c r="DJ61" s="2103">
        <v>2029</v>
      </c>
      <c r="DK61" s="2105"/>
      <c r="DL61" s="1128"/>
      <c r="DM61" s="1994"/>
      <c r="EE61" s="2103">
        <v>2029</v>
      </c>
      <c r="EF61" s="2105"/>
      <c r="EG61" s="1128"/>
      <c r="EH61" s="1994"/>
      <c r="EY61" t="s">
        <v>97</v>
      </c>
      <c r="EZ61" s="2103">
        <v>2029</v>
      </c>
      <c r="FA61" s="2105"/>
      <c r="FB61" s="1128"/>
      <c r="FC61" s="1994"/>
    </row>
    <row r="62" ht="17.5" customHeight="1" spans="27:159" x14ac:dyDescent="0.25">
      <c r="AA62" s="692"/>
      <c r="BT62" s="1952">
        <v>2030</v>
      </c>
      <c r="BU62" s="2142"/>
      <c r="BV62" s="2056"/>
      <c r="BW62" s="2236"/>
      <c r="BX62" s="2056"/>
      <c r="CQ62" s="960">
        <v>2030</v>
      </c>
      <c r="CR62" s="2142"/>
      <c r="CS62" s="2056"/>
      <c r="DJ62" s="1952">
        <v>2030</v>
      </c>
      <c r="DK62" s="2142"/>
      <c r="DL62" s="2236"/>
      <c r="DM62" s="2056"/>
      <c r="EE62" s="1952">
        <v>2030</v>
      </c>
      <c r="EF62" s="2142"/>
      <c r="EG62" s="2236"/>
      <c r="EH62" s="2056"/>
      <c r="EZ62" s="1952">
        <v>2030</v>
      </c>
      <c r="FA62" s="2142"/>
      <c r="FB62" s="2236"/>
      <c r="FC62" s="2056"/>
    </row>
    <row r="63" ht="15" customHeight="1" spans="25:28" x14ac:dyDescent="0.25">
      <c r="Y63" s="2237" t="s">
        <v>1990</v>
      </c>
      <c r="Z63" s="2238"/>
      <c r="AA63" s="20"/>
      <c r="AB63" s="18"/>
    </row>
    <row r="64" ht="18" customHeight="1" spans="25:76" x14ac:dyDescent="0.25">
      <c r="Y64" s="2239" t="s">
        <v>1991</v>
      </c>
      <c r="Z64" s="2240"/>
      <c r="AA64" s="20"/>
      <c r="AB64" s="21"/>
      <c r="BD64" s="2241" t="s">
        <v>520</v>
      </c>
      <c r="BE64" s="2186" t="s">
        <v>1992</v>
      </c>
      <c r="BF64" s="2242" t="s">
        <v>1945</v>
      </c>
      <c r="BV64" s="2113" t="s">
        <v>520</v>
      </c>
      <c r="BW64" s="2186" t="s">
        <v>1993</v>
      </c>
      <c r="BX64" s="2242" t="s">
        <v>1945</v>
      </c>
    </row>
    <row r="65" ht="16.25" customHeight="1" spans="12:168" x14ac:dyDescent="0.25">
      <c r="L65" s="2084" t="s">
        <v>520</v>
      </c>
      <c r="M65" s="2170" t="s">
        <v>1994</v>
      </c>
      <c r="N65" s="1157" t="s">
        <v>1995</v>
      </c>
      <c r="O65" s="1157" t="s">
        <v>1996</v>
      </c>
      <c r="P65" s="1157" t="s">
        <v>1997</v>
      </c>
      <c r="Q65" s="1157" t="s">
        <v>1998</v>
      </c>
      <c r="R65" s="1157" t="s">
        <v>1999</v>
      </c>
      <c r="S65" s="2243" t="s">
        <v>2000</v>
      </c>
      <c r="T65" s="1157" t="s">
        <v>2001</v>
      </c>
      <c r="U65" s="1157" t="s">
        <v>2002</v>
      </c>
      <c r="V65" s="1157" t="s">
        <v>933</v>
      </c>
      <c r="Y65" s="2239" t="s">
        <v>2003</v>
      </c>
      <c r="Z65" s="2240"/>
      <c r="AA65" s="20"/>
      <c r="AB65" s="21"/>
      <c r="BB65" s="2244" t="s">
        <v>815</v>
      </c>
      <c r="BC65" s="768" t="s">
        <v>816</v>
      </c>
      <c r="BD65" s="850">
        <v>43755</v>
      </c>
      <c r="BE65" s="843" t="s">
        <v>1950</v>
      </c>
      <c r="BF65" s="843" t="s">
        <v>1950</v>
      </c>
      <c r="BV65" s="1567">
        <v>43755</v>
      </c>
      <c r="BW65" s="2198" t="s">
        <v>919</v>
      </c>
      <c r="BX65" s="2198" t="s">
        <v>919</v>
      </c>
      <c r="CP65" s="2073" t="s">
        <v>2004</v>
      </c>
      <c r="CQ65" s="2073" t="s">
        <v>974</v>
      </c>
      <c r="CR65" s="2073"/>
      <c r="DJ65" s="2073" t="s">
        <v>2004</v>
      </c>
      <c r="DK65" s="2073" t="s">
        <v>974</v>
      </c>
      <c r="DL65" s="2073" t="s">
        <v>974</v>
      </c>
      <c r="DM65" s="2073" t="s">
        <v>974</v>
      </c>
      <c r="EE65" s="2073" t="s">
        <v>974</v>
      </c>
      <c r="EF65" s="2073" t="s">
        <v>865</v>
      </c>
      <c r="EG65" s="2073" t="s">
        <v>974</v>
      </c>
      <c r="EH65" s="2073" t="s">
        <v>865</v>
      </c>
      <c r="EI65" s="2073" t="s">
        <v>1949</v>
      </c>
      <c r="EJ65" s="2073" t="s">
        <v>865</v>
      </c>
      <c r="EK65" s="2073" t="s">
        <v>974</v>
      </c>
      <c r="EL65" s="2073" t="s">
        <v>865</v>
      </c>
      <c r="FC65" s="2073" t="s">
        <v>865</v>
      </c>
      <c r="FD65" s="2074" t="s">
        <v>865</v>
      </c>
      <c r="FE65" s="2074" t="s">
        <v>865</v>
      </c>
      <c r="FJ65" s="2073" t="s">
        <v>2004</v>
      </c>
      <c r="FK65" s="2073" t="s">
        <v>974</v>
      </c>
      <c r="FL65" s="2073" t="s">
        <v>974</v>
      </c>
    </row>
    <row r="66" ht="18" customHeight="1" spans="12:168" x14ac:dyDescent="0.25">
      <c r="L66" s="2245">
        <v>43187</v>
      </c>
      <c r="M66" s="2220" t="s">
        <v>56</v>
      </c>
      <c r="N66" s="2220" t="s">
        <v>56</v>
      </c>
      <c r="O66" s="2220" t="s">
        <v>1912</v>
      </c>
      <c r="P66" s="2220" t="s">
        <v>56</v>
      </c>
      <c r="Q66" s="2220" t="s">
        <v>56</v>
      </c>
      <c r="R66" s="2220" t="s">
        <v>1912</v>
      </c>
      <c r="S66" s="2220" t="s">
        <v>1989</v>
      </c>
      <c r="T66" s="2220" t="s">
        <v>1989</v>
      </c>
      <c r="U66" s="2246" t="s">
        <v>833</v>
      </c>
      <c r="V66" s="2247" t="s">
        <v>2005</v>
      </c>
      <c r="Y66" s="2248" t="s">
        <v>2006</v>
      </c>
      <c r="Z66" s="2249"/>
      <c r="AA66" s="20"/>
      <c r="AB66" s="83"/>
      <c r="BD66" s="2250">
        <v>1995</v>
      </c>
      <c r="BE66" s="2251">
        <v>43.206939348996954</v>
      </c>
      <c r="BF66" s="2252"/>
      <c r="BV66" s="2250">
        <v>1995</v>
      </c>
      <c r="BW66" s="2251">
        <v>0.5216020542781756</v>
      </c>
      <c r="BX66" s="2252"/>
      <c r="CO66" s="1161" t="s">
        <v>520</v>
      </c>
      <c r="CP66" s="2150" t="s">
        <v>2007</v>
      </c>
      <c r="CQ66" s="2083" t="s">
        <v>763</v>
      </c>
      <c r="CR66" s="2190"/>
      <c r="DI66" s="1161" t="s">
        <v>520</v>
      </c>
      <c r="DJ66" s="2150" t="s">
        <v>2007</v>
      </c>
      <c r="DK66" s="2190" t="s">
        <v>766</v>
      </c>
      <c r="DL66" s="2190" t="s">
        <v>2008</v>
      </c>
      <c r="DM66" s="2083" t="s">
        <v>763</v>
      </c>
      <c r="ED66" s="1161" t="s">
        <v>520</v>
      </c>
      <c r="EE66" s="1162" t="s">
        <v>392</v>
      </c>
      <c r="EF66" s="1162" t="s">
        <v>392</v>
      </c>
      <c r="EG66" s="1029" t="s">
        <v>380</v>
      </c>
      <c r="EH66" s="1029" t="s">
        <v>380</v>
      </c>
      <c r="EI66" s="1029" t="s">
        <v>2009</v>
      </c>
      <c r="EJ66" s="1029" t="s">
        <v>2009</v>
      </c>
      <c r="EK66" s="391" t="s">
        <v>1769</v>
      </c>
      <c r="EL66" s="1029" t="s">
        <v>1769</v>
      </c>
      <c r="FC66" s="1162" t="s">
        <v>43</v>
      </c>
      <c r="FD66" s="1162" t="s">
        <v>2009</v>
      </c>
      <c r="FE66" s="1029" t="s">
        <v>380</v>
      </c>
      <c r="FI66" s="1161" t="s">
        <v>520</v>
      </c>
      <c r="FJ66" s="2150" t="s">
        <v>2010</v>
      </c>
      <c r="FK66" s="2190" t="s">
        <v>41</v>
      </c>
      <c r="FL66" s="2190" t="s">
        <v>703</v>
      </c>
    </row>
    <row r="67" ht="17.5" customHeight="1" spans="12:168" x14ac:dyDescent="0.25">
      <c r="L67" s="2253">
        <v>1995</v>
      </c>
      <c r="M67" s="2254">
        <v>5306</v>
      </c>
      <c r="N67" s="224">
        <v>5306</v>
      </c>
      <c r="O67" s="123">
        <v>1.001</v>
      </c>
      <c r="P67" s="224">
        <v>1428.5209</v>
      </c>
      <c r="Q67" s="224">
        <v>1428.5209</v>
      </c>
      <c r="R67" s="265">
        <v>0.959</v>
      </c>
      <c r="S67" s="123">
        <v>64.055</v>
      </c>
      <c r="T67" s="123">
        <v>70.74</v>
      </c>
      <c r="U67" s="2255">
        <f t="shared" ref="U67:U86" si="22">Q67/S67</f>
        <v>22.301473733510264</v>
      </c>
      <c r="V67" s="2256">
        <v>82.84224494574974</v>
      </c>
      <c r="Y67" s="2257" t="s">
        <v>520</v>
      </c>
      <c r="Z67" s="1953" t="s">
        <v>1998</v>
      </c>
      <c r="AA67" s="2258" t="s">
        <v>2011</v>
      </c>
      <c r="AB67" s="1953" t="s">
        <v>1987</v>
      </c>
      <c r="BD67" s="2259">
        <v>1996</v>
      </c>
      <c r="BE67" s="2260">
        <f>СЧЁТ!CB7</f>
        <v>42.7492868993135</v>
      </c>
      <c r="BF67" s="2261"/>
      <c r="BV67" s="2259">
        <v>1996</v>
      </c>
      <c r="BW67" s="2260">
        <f>СЧЁТ!CC7</f>
        <v>0.5075047014598465</v>
      </c>
      <c r="BX67" s="2261"/>
      <c r="CO67" s="2197">
        <f>ОТЧЁТ!J49</f>
        <v>43898</v>
      </c>
      <c r="CP67" s="843" t="s">
        <v>56</v>
      </c>
      <c r="CQ67" s="843" t="s">
        <v>56</v>
      </c>
      <c r="CR67" s="843" t="s">
        <v>56</v>
      </c>
      <c r="DI67" s="2196">
        <v>42458</v>
      </c>
      <c r="DJ67" s="843" t="s">
        <v>56</v>
      </c>
      <c r="DK67" s="843" t="s">
        <v>56</v>
      </c>
      <c r="DL67" s="843" t="s">
        <v>56</v>
      </c>
      <c r="DM67" s="843" t="s">
        <v>56</v>
      </c>
      <c r="ED67" s="2197">
        <v>43187</v>
      </c>
      <c r="EE67" s="843" t="s">
        <v>840</v>
      </c>
      <c r="EF67" s="843" t="s">
        <v>840</v>
      </c>
      <c r="EG67" s="843" t="s">
        <v>840</v>
      </c>
      <c r="EH67" s="843" t="s">
        <v>840</v>
      </c>
      <c r="EI67" s="843" t="s">
        <v>840</v>
      </c>
      <c r="EJ67" s="843" t="s">
        <v>840</v>
      </c>
      <c r="EK67" s="843" t="s">
        <v>840</v>
      </c>
      <c r="EL67" s="843" t="s">
        <v>840</v>
      </c>
      <c r="FC67" s="843" t="s">
        <v>840</v>
      </c>
      <c r="FD67" s="843" t="s">
        <v>840</v>
      </c>
      <c r="FE67" s="843" t="s">
        <v>840</v>
      </c>
      <c r="FI67" s="1168">
        <v>42906</v>
      </c>
      <c r="FJ67" s="843" t="s">
        <v>840</v>
      </c>
      <c r="FK67" s="843" t="s">
        <v>840</v>
      </c>
      <c r="FL67" s="843" t="s">
        <v>840</v>
      </c>
    </row>
    <row r="68" ht="17.5" customHeight="1" spans="12:168" x14ac:dyDescent="0.25">
      <c r="L68" s="2226">
        <v>1996</v>
      </c>
      <c r="M68" s="2262">
        <v>13072.378</v>
      </c>
      <c r="N68" s="224">
        <v>5300.694</v>
      </c>
      <c r="O68" s="123">
        <v>0.9990000000000001</v>
      </c>
      <c r="P68" s="224">
        <v>2007.8252000000002</v>
      </c>
      <c r="Q68" s="224">
        <v>1377.0941476</v>
      </c>
      <c r="R68" s="265">
        <v>0.964</v>
      </c>
      <c r="S68" s="123">
        <v>62.928</v>
      </c>
      <c r="T68" s="123">
        <v>69.66</v>
      </c>
      <c r="U68" s="2263">
        <f t="shared" si="22"/>
        <v>21.883647145944572</v>
      </c>
      <c r="V68" s="2264">
        <f>N68/S68</f>
        <v>84.23426773455378</v>
      </c>
      <c r="Y68" s="2265">
        <v>43151</v>
      </c>
      <c r="Z68" s="2266" t="s">
        <v>56</v>
      </c>
      <c r="AA68" s="2267" t="s">
        <v>56</v>
      </c>
      <c r="AB68" s="2266" t="s">
        <v>1989</v>
      </c>
      <c r="BD68" s="2259">
        <v>1997</v>
      </c>
      <c r="BE68" s="2260">
        <f>СЧЁТ!CB8</f>
        <v>45.44724189473684</v>
      </c>
      <c r="BF68" s="2261"/>
      <c r="BV68" s="2259">
        <v>1997</v>
      </c>
      <c r="BW68" s="2260">
        <f>СЧЁТ!CC8</f>
        <v>0.5166764731729763</v>
      </c>
      <c r="BX68" s="2261"/>
      <c r="CO68" s="2081">
        <v>1995</v>
      </c>
      <c r="CP68" s="2201">
        <f t="array" ref="CP68:CP88">TRANSPOSE(ОТЧЁТ!U65:AO65)</f>
        <v>1428.5209000000002</v>
      </c>
      <c r="CQ68" s="2201">
        <f t="array" ref="CQ68:CQ88">TRANSPOSE(ОТЧЁТ!U79:AO79)</f>
        <v>266.974</v>
      </c>
      <c r="CR68" s="2201"/>
      <c r="DI68" s="828">
        <v>1995</v>
      </c>
      <c r="DJ68" s="2202">
        <f t="array" ref="DJ68:DJ93">TRANSPOSE(ОТЧЁТ!U67:AP67)</f>
        <v>1428.5209</v>
      </c>
      <c r="DK68" s="2202">
        <f t="array" ref="DK68:DK93">TRANSPOSE(ОТЧЁТ!U69:AP69)</f>
        <v>719.7935</v>
      </c>
      <c r="DL68" s="2202" t="e">
        <f t="array" ref="DL68:DL93">TRANSPOSE(ОТЧЁТ!#REF!)</f>
        <v>#REF!</v>
      </c>
      <c r="DM68" s="2202">
        <f t="array" ref="DM68:DM93">TRANSPOSE(ОТЧЁТ!U79:AP79)</f>
        <v>266.974</v>
      </c>
      <c r="ED68" s="828">
        <v>1995</v>
      </c>
      <c r="EE68" s="2268">
        <f t="array" ref="EE68:EE89">TRANSPOSE(ОТЧЁТ!U189:AP189)</f>
        <v>1</v>
      </c>
      <c r="EF68" s="2268"/>
      <c r="EG68" s="1698">
        <f t="array" ref="EG68:EG89">TRANSPOSE(ОТЧЁТ!U185:AP185)</f>
        <v>1</v>
      </c>
      <c r="EH68" s="2268"/>
      <c r="EI68" s="2269">
        <f t="array" ref="EI68:EI89">TRANSPOSE(ОТЧЁТ!U74:AP74)</f>
        <v>0</v>
      </c>
      <c r="EJ68" s="2269"/>
      <c r="EK68" s="1825">
        <f t="array" ref="EK68:EK89">TRANSPOSE(ОТЧЁТ!U151:AP151)</f>
        <v>1</v>
      </c>
      <c r="EL68" s="2269"/>
      <c r="FC68" s="2269">
        <v>1</v>
      </c>
      <c r="FD68" s="2269">
        <v>1</v>
      </c>
      <c r="FE68" s="572">
        <v>1</v>
      </c>
      <c r="FI68" s="2081">
        <v>1995</v>
      </c>
      <c r="FJ68" s="2268">
        <f t="array" ref="FJ68:FJ88">TRANSPOSE(ОТЧЁТ!U183:AO183)</f>
        <v>1</v>
      </c>
      <c r="FK68" s="1698">
        <f t="array" ref="FK68:FK88">TRANSPOSE(ОТЧЁТ!U151:AO151)</f>
        <v>1</v>
      </c>
      <c r="FL68" s="2269">
        <f t="array" ref="FL68:FL88">TRANSPOSE(ОТЧЁТ!U188:AO188)</f>
        <v>1</v>
      </c>
    </row>
    <row r="69" ht="18" customHeight="1" spans="12:168" x14ac:dyDescent="0.25">
      <c r="L69" s="2226">
        <v>1997</v>
      </c>
      <c r="M69" s="2262">
        <v>13286.272</v>
      </c>
      <c r="N69" s="224">
        <v>5279.491224</v>
      </c>
      <c r="O69" s="123">
        <v>0.996</v>
      </c>
      <c r="P69" s="224">
        <v>2342.5137</v>
      </c>
      <c r="Q69" s="224">
        <v>1396.3734656664</v>
      </c>
      <c r="R69" s="265">
        <v>1.014</v>
      </c>
      <c r="S69" s="123">
        <v>60.021</v>
      </c>
      <c r="T69" s="123">
        <v>68.079</v>
      </c>
      <c r="U69" s="2263">
        <f t="shared" si="22"/>
        <v>23.26474843248863</v>
      </c>
      <c r="V69" s="2264">
        <f t="shared" ref="V69:V86" si="23">N69/S69</f>
        <v>87.96073414304993</v>
      </c>
      <c r="Y69" s="2270">
        <v>1995</v>
      </c>
      <c r="Z69" s="2271">
        <f t="array" ref="Z69:Z90">TRANSPOSE(ОТЧЁТ!U199:AP199)</f>
        <v>1428.5209</v>
      </c>
      <c r="AA69" s="2272">
        <f t="array" ref="AA69:AA90">TRANSPOSE(ОТЧЁТ!U97:AP97)</f>
        <v>70.74</v>
      </c>
      <c r="AB69" s="2273">
        <f t="array" ref="AB69:AB90">TRANSPOSE(ОТЧЁТ!U91:AP91)</f>
        <v>64.055</v>
      </c>
      <c r="BD69" s="2259">
        <v>1998</v>
      </c>
      <c r="BE69" s="2260">
        <f>СЧЁТ!CB9</f>
        <v>44.298503885723704</v>
      </c>
      <c r="BF69" s="2261"/>
      <c r="BV69" s="2259">
        <v>1998</v>
      </c>
      <c r="BW69" s="2260">
        <f>СЧЁТ!CC9</f>
        <v>0.4918013771726725</v>
      </c>
      <c r="BX69" s="2261"/>
      <c r="CO69" s="2103">
        <v>1996</v>
      </c>
      <c r="CP69" s="2201">
        <v>2007.8252000000007</v>
      </c>
      <c r="CQ69" s="2201">
        <v>375.958</v>
      </c>
      <c r="CR69" s="2201"/>
      <c r="DI69" s="559">
        <v>1996</v>
      </c>
      <c r="DJ69" s="2202">
        <v>2007.8252000000002</v>
      </c>
      <c r="DK69" s="2202">
        <v>1007.827</v>
      </c>
      <c r="DL69" s="2202" t="e">
        <v>#REF!</v>
      </c>
      <c r="DM69" s="2202">
        <v>375.958</v>
      </c>
      <c r="ED69" s="559">
        <v>1996</v>
      </c>
      <c r="EE69" s="2274">
        <v>1.7194377618988257</v>
      </c>
      <c r="EF69" s="2274"/>
      <c r="EG69" s="957">
        <v>1.3930686182271845</v>
      </c>
      <c r="EH69" s="2274"/>
      <c r="EI69" s="1742">
        <v>0</v>
      </c>
      <c r="EJ69" s="1742"/>
      <c r="EK69" s="1827">
        <v>1.218</v>
      </c>
      <c r="EL69" s="1742"/>
      <c r="FC69" s="1742">
        <f t="shared" ref="FC69:FC89" si="24">EE69</f>
        <v>1.7194377618988257</v>
      </c>
      <c r="FD69" s="1742">
        <f>EI69</f>
        <v>0</v>
      </c>
      <c r="FE69" s="316">
        <f t="shared" ref="FE69:FE89" si="25">EG69</f>
        <v>1.3930686182271845</v>
      </c>
      <c r="FI69" s="2103">
        <v>1996</v>
      </c>
      <c r="FJ69" s="2274">
        <v>1.5208627234830072</v>
      </c>
      <c r="FK69" s="957">
        <v>1.218</v>
      </c>
      <c r="FL69" s="1742">
        <v>1.170751567490661</v>
      </c>
    </row>
    <row r="70" ht="18" customHeight="1" spans="12:168" x14ac:dyDescent="0.25">
      <c r="L70" s="2226">
        <v>1998</v>
      </c>
      <c r="M70" s="2262">
        <v>14125.67</v>
      </c>
      <c r="N70" s="224">
        <v>5263.652750328</v>
      </c>
      <c r="O70" s="123">
        <v>0.997</v>
      </c>
      <c r="P70" s="224">
        <v>2629.6229</v>
      </c>
      <c r="Q70" s="224">
        <v>1322.3656719860808</v>
      </c>
      <c r="R70" s="265">
        <v>0.947</v>
      </c>
      <c r="S70" s="123">
        <v>58.437</v>
      </c>
      <c r="T70" s="123">
        <v>67.339</v>
      </c>
      <c r="U70" s="2263">
        <f t="shared" si="22"/>
        <v>22.628910997930777</v>
      </c>
      <c r="V70" s="2264">
        <f t="shared" si="23"/>
        <v>90.07397283104883</v>
      </c>
      <c r="Y70" s="2275">
        <v>1996</v>
      </c>
      <c r="Z70" s="2276">
        <v>1377.0941476</v>
      </c>
      <c r="AA70" s="2272">
        <v>69.66</v>
      </c>
      <c r="AB70" s="773">
        <v>62.928</v>
      </c>
      <c r="BD70" s="2259">
        <v>1999</v>
      </c>
      <c r="BE70" s="2260">
        <f>СЧЁТ!CB10</f>
        <v>43.41673739769028</v>
      </c>
      <c r="BF70" s="2261"/>
      <c r="BV70" s="2259">
        <v>1999</v>
      </c>
      <c r="BW70" s="2260">
        <f>СЧЁТ!CC10</f>
        <v>0.5192872824837201</v>
      </c>
      <c r="BX70" s="2261"/>
      <c r="CO70" s="2103">
        <v>1997</v>
      </c>
      <c r="CP70" s="2201">
        <v>2342.5136999999995</v>
      </c>
      <c r="CQ70" s="2201">
        <v>408.797</v>
      </c>
      <c r="CR70" s="2201"/>
      <c r="DI70" s="559">
        <v>1997</v>
      </c>
      <c r="DJ70" s="2202">
        <v>2342.5137</v>
      </c>
      <c r="DK70" s="2202">
        <v>1235.2137</v>
      </c>
      <c r="DL70" s="2202" t="e">
        <v>#REF!</v>
      </c>
      <c r="DM70" s="2202">
        <v>408.797</v>
      </c>
      <c r="ED70" s="559">
        <v>1997</v>
      </c>
      <c r="EE70" s="2274">
        <v>1.9680277801214476</v>
      </c>
      <c r="EF70" s="2274"/>
      <c r="EG70" s="957">
        <v>1.8000080782573098</v>
      </c>
      <c r="EH70" s="2274"/>
      <c r="EI70" s="1742">
        <v>0</v>
      </c>
      <c r="EJ70" s="1742"/>
      <c r="EK70" s="1827">
        <v>1.3519800000000002</v>
      </c>
      <c r="EL70" s="1742"/>
      <c r="FC70" s="1742">
        <f t="shared" si="24"/>
        <v>1.9680277801214476</v>
      </c>
      <c r="FD70" s="1742">
        <f t="shared" ref="FD70:FD89" si="26">EI70</f>
        <v>0</v>
      </c>
      <c r="FE70" s="316">
        <f t="shared" si="25"/>
        <v>1.8000080782573098</v>
      </c>
      <c r="FI70" s="2103">
        <v>1997</v>
      </c>
      <c r="FJ70" s="2274">
        <v>1.7178414165358655</v>
      </c>
      <c r="FK70" s="957">
        <v>1.3519800000000002</v>
      </c>
      <c r="FL70" s="1742">
        <v>1.4027022303089887</v>
      </c>
    </row>
    <row r="71" ht="18" customHeight="1" spans="12:168" x14ac:dyDescent="0.25">
      <c r="L71" s="2226">
        <v>1999</v>
      </c>
      <c r="M71" s="2262">
        <v>14246.427</v>
      </c>
      <c r="N71" s="224">
        <v>5274.180055828657</v>
      </c>
      <c r="O71" s="123">
        <v>1.002</v>
      </c>
      <c r="P71" s="224">
        <v>4823.2329</v>
      </c>
      <c r="Q71" s="224">
        <v>1406.99707499319</v>
      </c>
      <c r="R71" s="265">
        <v>1.064</v>
      </c>
      <c r="S71" s="123">
        <v>63.082</v>
      </c>
      <c r="T71" s="123">
        <v>72.175</v>
      </c>
      <c r="U71" s="2263">
        <f t="shared" si="22"/>
        <v>22.3042559683141</v>
      </c>
      <c r="V71" s="2264">
        <f t="shared" si="23"/>
        <v>83.60832021541259</v>
      </c>
      <c r="Y71" s="2275">
        <v>1997</v>
      </c>
      <c r="Z71" s="2276">
        <v>1396.3734656664</v>
      </c>
      <c r="AA71" s="2272">
        <v>68.079</v>
      </c>
      <c r="AB71" s="773">
        <v>60.021</v>
      </c>
      <c r="BD71" s="2259">
        <v>2000</v>
      </c>
      <c r="BE71" s="2260">
        <f>СЧЁТ!CB11</f>
        <v>46.04676815125376</v>
      </c>
      <c r="BF71" s="2261"/>
      <c r="BR71" s="123"/>
      <c r="BS71" s="123"/>
      <c r="BT71" s="123"/>
      <c r="BU71" s="268">
        <f>BW71</f>
        <v>0.5652739174499402</v>
      </c>
      <c r="BV71" s="2259">
        <v>2000</v>
      </c>
      <c r="BW71" s="2260">
        <f>СЧЁТ!CC11</f>
        <v>0.5652739174499402</v>
      </c>
      <c r="BX71" s="2261"/>
      <c r="CO71" s="2103">
        <v>1998</v>
      </c>
      <c r="CP71" s="2201">
        <v>2629.6229</v>
      </c>
      <c r="CQ71" s="2201">
        <v>407.086</v>
      </c>
      <c r="CR71" s="2201"/>
      <c r="DI71" s="559">
        <v>1998</v>
      </c>
      <c r="DJ71" s="2202">
        <v>2629.6229</v>
      </c>
      <c r="DK71" s="2202">
        <v>1462.284</v>
      </c>
      <c r="DL71" s="2202" t="e">
        <v>#REF!</v>
      </c>
      <c r="DM71" s="2202">
        <v>407.086</v>
      </c>
      <c r="ED71" s="559">
        <v>1998</v>
      </c>
      <c r="EE71" s="2274">
        <v>2.2270348811115843</v>
      </c>
      <c r="EF71" s="2274"/>
      <c r="EG71" s="957">
        <v>1.7787455021088285</v>
      </c>
      <c r="EH71" s="2274"/>
      <c r="EI71" s="1742">
        <v>0</v>
      </c>
      <c r="EJ71" s="1742"/>
      <c r="EK71" s="1827">
        <v>2.4930511200000005</v>
      </c>
      <c r="EL71" s="1742"/>
      <c r="FC71" s="1742">
        <f t="shared" si="24"/>
        <v>2.2270348811115843</v>
      </c>
      <c r="FD71" s="1742">
        <f t="shared" si="26"/>
        <v>0</v>
      </c>
      <c r="FE71" s="316">
        <f t="shared" si="25"/>
        <v>1.7787455021088285</v>
      </c>
      <c r="FI71" s="2103">
        <v>1998</v>
      </c>
      <c r="FJ71" s="2274">
        <v>2.396006361037087</v>
      </c>
      <c r="FK71" s="957">
        <v>2.4930511200000005</v>
      </c>
      <c r="FL71" s="1742">
        <v>2.077665776266209</v>
      </c>
    </row>
    <row r="72" ht="18" customHeight="1" spans="12:168" x14ac:dyDescent="0.25">
      <c r="L72" s="2226">
        <v>2000</v>
      </c>
      <c r="M72" s="2262">
        <v>17464</v>
      </c>
      <c r="N72" s="224">
        <v>5300.5509561078</v>
      </c>
      <c r="O72" s="123">
        <v>1.005</v>
      </c>
      <c r="P72" s="224">
        <v>7305.6466</v>
      </c>
      <c r="Q72" s="224">
        <v>1547.696782492509</v>
      </c>
      <c r="R72" s="265">
        <v>1.1</v>
      </c>
      <c r="S72" s="265">
        <v>65.07</v>
      </c>
      <c r="T72" s="123">
        <v>72.77</v>
      </c>
      <c r="U72" s="2263">
        <f t="shared" si="22"/>
        <v>23.785105002190093</v>
      </c>
      <c r="V72" s="2264">
        <f t="shared" si="23"/>
        <v>81.4592124805256</v>
      </c>
      <c r="Y72" s="2275">
        <v>1998</v>
      </c>
      <c r="Z72" s="2276">
        <v>1322.3656719860808</v>
      </c>
      <c r="AA72" s="2272">
        <v>67.339</v>
      </c>
      <c r="AB72" s="773">
        <v>58.437</v>
      </c>
      <c r="BD72" s="2259">
        <v>2001</v>
      </c>
      <c r="BE72" s="2260">
        <f>СЧЁТ!CB12</f>
        <v>48.263748607689806</v>
      </c>
      <c r="BF72" s="2261"/>
      <c r="BR72" s="123"/>
      <c r="BS72" s="123"/>
      <c r="BT72" s="123"/>
      <c r="BU72" s="268">
        <f>BU71+(BW$78-BW$71)/7</f>
        <v>0.5985864932000623</v>
      </c>
      <c r="BV72" s="2259">
        <v>2001</v>
      </c>
      <c r="BW72" s="2260">
        <f>СЧЁТ!CC12</f>
        <v>0.587683190688788</v>
      </c>
      <c r="BX72" s="2261"/>
      <c r="CO72" s="2103">
        <v>1999</v>
      </c>
      <c r="CP72" s="2201">
        <v>4823.232900000001</v>
      </c>
      <c r="CQ72" s="2201">
        <v>670.439</v>
      </c>
      <c r="CR72" s="2201"/>
      <c r="DI72" s="559">
        <v>1999</v>
      </c>
      <c r="DJ72" s="2202">
        <v>4823.2329</v>
      </c>
      <c r="DK72" s="2202">
        <v>2526.1679</v>
      </c>
      <c r="DL72" s="2202" t="e">
        <v>#REF!</v>
      </c>
      <c r="DM72" s="2202">
        <v>670.439</v>
      </c>
      <c r="ED72" s="559">
        <v>1999</v>
      </c>
      <c r="EE72" s="2274">
        <v>3.493098424873764</v>
      </c>
      <c r="EF72" s="2274"/>
      <c r="EG72" s="957">
        <v>2.4627881934761957</v>
      </c>
      <c r="EH72" s="2274"/>
      <c r="EI72" s="1742">
        <v>0</v>
      </c>
      <c r="EJ72" s="1742"/>
      <c r="EK72" s="1827">
        <v>3.4030147788000007</v>
      </c>
      <c r="EL72" s="1742"/>
      <c r="FC72" s="1742">
        <f t="shared" si="24"/>
        <v>3.493098424873764</v>
      </c>
      <c r="FD72" s="1742">
        <f t="shared" si="26"/>
        <v>0</v>
      </c>
      <c r="FE72" s="316">
        <f t="shared" si="25"/>
        <v>2.4627881934761957</v>
      </c>
      <c r="FI72" s="2103">
        <v>1999</v>
      </c>
      <c r="FJ72" s="2274">
        <v>4.663543841500785</v>
      </c>
      <c r="FK72" s="957">
        <v>3.4030147788000007</v>
      </c>
      <c r="FL72" s="1742">
        <v>4.894300618534394</v>
      </c>
    </row>
    <row r="73" ht="22.5" customHeight="1" spans="12:168" x14ac:dyDescent="0.25">
      <c r="L73" s="2226">
        <v>2001</v>
      </c>
      <c r="M73" s="2262">
        <v>20241.428</v>
      </c>
      <c r="N73" s="224">
        <v>5348.25591471277</v>
      </c>
      <c r="O73" s="123">
        <v>1.0090000000000001</v>
      </c>
      <c r="P73" s="224">
        <v>8943.5826</v>
      </c>
      <c r="Q73" s="224">
        <v>1626.629318399627</v>
      </c>
      <c r="R73" s="265">
        <v>1.051</v>
      </c>
      <c r="S73" s="265">
        <v>65.123</v>
      </c>
      <c r="T73" s="123">
        <v>71.545</v>
      </c>
      <c r="U73" s="2263">
        <f t="shared" si="22"/>
        <v>24.97780075241661</v>
      </c>
      <c r="V73" s="2264">
        <f t="shared" si="23"/>
        <v>82.12545359877109</v>
      </c>
      <c r="Y73" s="2275">
        <v>1999</v>
      </c>
      <c r="Z73" s="2276">
        <v>1406.99707499319</v>
      </c>
      <c r="AA73" s="2272">
        <v>72.175</v>
      </c>
      <c r="AB73" s="773">
        <v>63.082</v>
      </c>
      <c r="BB73" s="268">
        <f>BE73</f>
        <v>49.22629539903151</v>
      </c>
      <c r="BC73" s="123"/>
      <c r="BD73" s="2259">
        <v>2002</v>
      </c>
      <c r="BE73" s="2260">
        <f>СЧЁТ!CB13</f>
        <v>49.22629539903151</v>
      </c>
      <c r="BF73" s="2261"/>
      <c r="BR73" s="123"/>
      <c r="BS73" s="123"/>
      <c r="BT73" s="123"/>
      <c r="BU73" s="268">
        <f t="shared" ref="BU73:BU84" si="27">BU72+(BW$78-BW$71)/7</f>
        <v>0.6318990689501844</v>
      </c>
      <c r="BV73" s="2259">
        <v>2002</v>
      </c>
      <c r="BW73" s="2260">
        <f>СЧЁТ!CC13</f>
        <v>0.6074665852268265</v>
      </c>
      <c r="BX73" s="2261"/>
      <c r="CO73" s="2103">
        <v>2000</v>
      </c>
      <c r="CP73" s="2201">
        <v>7305.6466</v>
      </c>
      <c r="CQ73" s="2201">
        <v>1165.234</v>
      </c>
      <c r="CR73" s="2201"/>
      <c r="DI73" s="559">
        <v>2000</v>
      </c>
      <c r="DJ73" s="2202">
        <v>7305.6466</v>
      </c>
      <c r="DK73" s="2202">
        <v>3295.2373</v>
      </c>
      <c r="DL73" s="2202" t="e">
        <v>#REF!</v>
      </c>
      <c r="DM73" s="2202">
        <v>1165.234</v>
      </c>
      <c r="ED73" s="559">
        <v>2000</v>
      </c>
      <c r="EE73" s="2274">
        <v>5.171262749607017</v>
      </c>
      <c r="EF73" s="2274"/>
      <c r="EG73" s="957">
        <v>3.785470488529565</v>
      </c>
      <c r="EH73" s="2274"/>
      <c r="EI73" s="1742">
        <v>0</v>
      </c>
      <c r="EJ73" s="1742"/>
      <c r="EK73" s="1827">
        <v>4.090423764117601</v>
      </c>
      <c r="EL73" s="1742"/>
      <c r="FC73" s="1742">
        <f t="shared" si="24"/>
        <v>5.171262749607017</v>
      </c>
      <c r="FD73" s="1742">
        <f t="shared" si="26"/>
        <v>0</v>
      </c>
      <c r="FE73" s="316">
        <f t="shared" si="25"/>
        <v>3.785470488529565</v>
      </c>
      <c r="FI73" s="2103">
        <v>2000</v>
      </c>
      <c r="FJ73" s="2274">
        <v>5.082155573958843</v>
      </c>
      <c r="FK73" s="957">
        <v>4.090423764117601</v>
      </c>
      <c r="FL73" s="1742">
        <v>5.1416113994451775</v>
      </c>
    </row>
    <row r="74" ht="20.25" customHeight="1" spans="12:168" x14ac:dyDescent="0.25">
      <c r="L74" s="2226">
        <v>2002</v>
      </c>
      <c r="M74" s="2262">
        <v>24431</v>
      </c>
      <c r="N74" s="224">
        <v>5401.7384738598985</v>
      </c>
      <c r="O74" s="265">
        <v>1.01</v>
      </c>
      <c r="P74" s="224">
        <v>10819.270899999998</v>
      </c>
      <c r="Q74" s="224">
        <v>1703.0808963644092</v>
      </c>
      <c r="R74" s="265">
        <v>1.047</v>
      </c>
      <c r="S74" s="265">
        <v>66.659</v>
      </c>
      <c r="T74" s="123">
        <v>72.357</v>
      </c>
      <c r="U74" s="2263">
        <f t="shared" si="22"/>
        <v>25.549151597899893</v>
      </c>
      <c r="V74" s="2264">
        <f t="shared" si="23"/>
        <v>81.035396178459</v>
      </c>
      <c r="Y74" s="2275">
        <v>2000</v>
      </c>
      <c r="Z74" s="2276">
        <v>1547.696782492509</v>
      </c>
      <c r="AA74" s="2272">
        <v>72.77</v>
      </c>
      <c r="AB74" s="773">
        <v>65.07</v>
      </c>
      <c r="BB74" s="268">
        <f>BB73+(BE$79-BE$73)/6</f>
        <v>52.79214655727312</v>
      </c>
      <c r="BC74" s="123"/>
      <c r="BD74" s="2259">
        <v>2003</v>
      </c>
      <c r="BE74" s="2260">
        <f>СЧЁТ!CB14</f>
        <v>53.22299360111471</v>
      </c>
      <c r="BF74" s="2261"/>
      <c r="BR74" s="123"/>
      <c r="BS74" s="123"/>
      <c r="BT74" s="123"/>
      <c r="BU74" s="268">
        <f t="shared" si="27"/>
        <v>0.6652116447003066</v>
      </c>
      <c r="BV74" s="2259">
        <v>2003</v>
      </c>
      <c r="BW74" s="2260">
        <f>СЧЁТ!CC14</f>
        <v>0.6452458496585048</v>
      </c>
      <c r="BX74" s="2261"/>
      <c r="CO74" s="2103">
        <v>2001</v>
      </c>
      <c r="CP74" s="2201">
        <v>8943.582600000002</v>
      </c>
      <c r="CQ74" s="2201">
        <v>1504.7</v>
      </c>
      <c r="CR74" s="2201"/>
      <c r="DI74" s="559">
        <v>2001</v>
      </c>
      <c r="DJ74" s="2202">
        <v>8943.5826</v>
      </c>
      <c r="DK74" s="2202">
        <v>4318.1211</v>
      </c>
      <c r="DL74" s="2202" t="e">
        <v>#REF!</v>
      </c>
      <c r="DM74" s="2202">
        <v>1504.7</v>
      </c>
      <c r="ED74" s="559">
        <v>2001</v>
      </c>
      <c r="EE74" s="2274">
        <v>6.070726846853919</v>
      </c>
      <c r="EF74" s="2274"/>
      <c r="EG74" s="957">
        <v>5.08786459563914</v>
      </c>
      <c r="EH74" s="2274"/>
      <c r="EI74" s="1742">
        <v>0</v>
      </c>
      <c r="EJ74" s="1742"/>
      <c r="EK74" s="1827">
        <v>4.851242584243474</v>
      </c>
      <c r="EL74" s="1742"/>
      <c r="FC74" s="1742">
        <f t="shared" si="24"/>
        <v>6.070726846853919</v>
      </c>
      <c r="FD74" s="1742">
        <f t="shared" si="26"/>
        <v>0</v>
      </c>
      <c r="FE74" s="316">
        <f t="shared" si="25"/>
        <v>5.08786459563914</v>
      </c>
      <c r="FI74" s="2103">
        <v>2001</v>
      </c>
      <c r="FJ74" s="2274">
        <v>6.259732367609962</v>
      </c>
      <c r="FK74" s="957">
        <v>4.851242584243474</v>
      </c>
      <c r="FL74" s="1742">
        <v>5.343385559062672</v>
      </c>
    </row>
    <row r="75" ht="18" customHeight="1" spans="12:168" x14ac:dyDescent="0.25">
      <c r="L75" s="2226">
        <v>2003</v>
      </c>
      <c r="M75" s="2262">
        <v>30329.1</v>
      </c>
      <c r="N75" s="224">
        <v>5471.961074020077</v>
      </c>
      <c r="O75" s="123">
        <v>1.013</v>
      </c>
      <c r="P75" s="224">
        <v>13208.250299999998</v>
      </c>
      <c r="Q75" s="224">
        <v>1827.405801799011</v>
      </c>
      <c r="R75" s="265">
        <v>1.073</v>
      </c>
      <c r="S75" s="265">
        <v>66.339</v>
      </c>
      <c r="T75" s="123">
        <v>72.273</v>
      </c>
      <c r="U75" s="2263">
        <f t="shared" si="22"/>
        <v>27.546477966188984</v>
      </c>
      <c r="V75" s="2264">
        <f t="shared" si="23"/>
        <v>82.48482904505761</v>
      </c>
      <c r="Y75" s="2275">
        <v>2001</v>
      </c>
      <c r="Z75" s="2276">
        <v>1626.629318399627</v>
      </c>
      <c r="AA75" s="2272">
        <v>71.545</v>
      </c>
      <c r="AB75" s="773">
        <v>65.123</v>
      </c>
      <c r="BB75" s="268" t="e">
        <f t="shared" ref="BB75:BB86" si="28">BB74+(BB$79-BB$73)/6</f>
        <v>#DIV/0!</v>
      </c>
      <c r="BC75" s="123"/>
      <c r="BD75" s="2259">
        <v>2004</v>
      </c>
      <c r="BE75" s="2260">
        <f>СЧЁТ!CB15</f>
        <v>56.64405273852399</v>
      </c>
      <c r="BF75" s="2261"/>
      <c r="BR75" s="123"/>
      <c r="BS75" s="123"/>
      <c r="BT75" s="123"/>
      <c r="BU75" s="268">
        <f t="shared" si="27"/>
        <v>0.6985242204504287</v>
      </c>
      <c r="BV75" s="2259">
        <v>2004</v>
      </c>
      <c r="BW75" s="2260">
        <f>СЧЁТ!CC15</f>
        <v>0.6858912575110091</v>
      </c>
      <c r="BX75" s="2261"/>
      <c r="CO75" s="2103">
        <v>2002</v>
      </c>
      <c r="CP75" s="2201">
        <v>10819.2123</v>
      </c>
      <c r="CQ75" s="2201">
        <v>1762.4</v>
      </c>
      <c r="CR75" s="2201"/>
      <c r="DI75" s="559">
        <v>2002</v>
      </c>
      <c r="DJ75" s="2202">
        <v>10819.270899999998</v>
      </c>
      <c r="DK75" s="2202">
        <v>5409.1577</v>
      </c>
      <c r="DL75" s="2202" t="e">
        <v>#REF!</v>
      </c>
      <c r="DM75" s="2202">
        <v>1762.4</v>
      </c>
      <c r="ED75" s="559">
        <v>2002</v>
      </c>
      <c r="EE75" s="2274">
        <v>6.916750986271128</v>
      </c>
      <c r="EF75" s="2274"/>
      <c r="EG75" s="957">
        <v>6.552867571558401</v>
      </c>
      <c r="EH75" s="2274"/>
      <c r="EI75" s="1742">
        <v>0</v>
      </c>
      <c r="EJ75" s="1742"/>
      <c r="EK75" s="1827">
        <v>5.583780214464239</v>
      </c>
      <c r="EL75" s="1742"/>
      <c r="FC75" s="1742">
        <f t="shared" si="24"/>
        <v>6.916750986271128</v>
      </c>
      <c r="FD75" s="1742">
        <f t="shared" si="26"/>
        <v>0</v>
      </c>
      <c r="FE75" s="316">
        <f t="shared" si="25"/>
        <v>6.552867571558401</v>
      </c>
      <c r="FI75" s="2103">
        <v>2002</v>
      </c>
      <c r="FJ75" s="2274">
        <v>7.072806931090497</v>
      </c>
      <c r="FK75" s="957">
        <v>5.583780214464239</v>
      </c>
      <c r="FL75" s="1742">
        <v>5.696540648389541</v>
      </c>
    </row>
    <row r="76" ht="22.5" customHeight="1" spans="12:168" x14ac:dyDescent="0.25">
      <c r="L76" s="2226">
        <v>2004</v>
      </c>
      <c r="M76" s="2262">
        <v>34874</v>
      </c>
      <c r="N76" s="224">
        <v>5559.5124512043985</v>
      </c>
      <c r="O76" s="123">
        <v>1.016</v>
      </c>
      <c r="P76" s="224">
        <v>17027.166999999998</v>
      </c>
      <c r="Q76" s="224">
        <v>1958.97901952854</v>
      </c>
      <c r="R76" s="265">
        <v>1.072</v>
      </c>
      <c r="S76" s="265">
        <v>67.319</v>
      </c>
      <c r="T76" s="123">
        <v>72.985</v>
      </c>
      <c r="U76" s="2263">
        <f t="shared" si="22"/>
        <v>29.099942356965194</v>
      </c>
      <c r="V76" s="2264">
        <f t="shared" si="23"/>
        <v>82.58459649139765</v>
      </c>
      <c r="Y76" s="2275">
        <v>2002</v>
      </c>
      <c r="Z76" s="2276">
        <v>1703.0808963644092</v>
      </c>
      <c r="AA76" s="2272">
        <v>72.357</v>
      </c>
      <c r="AB76" s="773">
        <v>66.659</v>
      </c>
      <c r="BB76" s="268" t="e">
        <f t="shared" si="28"/>
        <v>#DIV/0!</v>
      </c>
      <c r="BC76" s="123"/>
      <c r="BD76" s="2259">
        <v>2005</v>
      </c>
      <c r="BE76" s="2260">
        <f>СЧЁТ!CB16</f>
        <v>58.97912732881757</v>
      </c>
      <c r="BF76" s="2261"/>
      <c r="BR76" s="123"/>
      <c r="BS76" s="123"/>
      <c r="BT76" s="123"/>
      <c r="BU76" s="268">
        <f t="shared" si="27"/>
        <v>0.7318367962005509</v>
      </c>
      <c r="BV76" s="2259">
        <v>2005</v>
      </c>
      <c r="BW76" s="2260">
        <f>СЧЁТ!CC16</f>
        <v>0.7114691454260417</v>
      </c>
      <c r="BX76" s="2261"/>
      <c r="CO76" s="2103">
        <v>2003</v>
      </c>
      <c r="CP76" s="2201">
        <v>13208.2338</v>
      </c>
      <c r="CQ76" s="2201">
        <v>2186.4</v>
      </c>
      <c r="CR76" s="2201"/>
      <c r="DI76" s="559">
        <v>2003</v>
      </c>
      <c r="DJ76" s="2202">
        <v>13208.250299999998</v>
      </c>
      <c r="DK76" s="2202">
        <v>6537.4015</v>
      </c>
      <c r="DL76" s="2202" t="e">
        <v>#REF!</v>
      </c>
      <c r="DM76" s="2202">
        <v>2186.4</v>
      </c>
      <c r="ED76" s="559">
        <v>2003</v>
      </c>
      <c r="EE76" s="2274">
        <v>7.6273689193439225</v>
      </c>
      <c r="EF76" s="2274"/>
      <c r="EG76" s="957">
        <v>7.795892317615872</v>
      </c>
      <c r="EH76" s="2274"/>
      <c r="EI76" s="1742">
        <v>0</v>
      </c>
      <c r="EJ76" s="1742"/>
      <c r="EK76" s="1827">
        <v>6.253833840199949</v>
      </c>
      <c r="EL76" s="1742"/>
      <c r="FC76" s="1742">
        <f t="shared" si="24"/>
        <v>7.6273689193439225</v>
      </c>
      <c r="FD76" s="1742">
        <f t="shared" si="26"/>
        <v>0</v>
      </c>
      <c r="FE76" s="316">
        <f t="shared" si="25"/>
        <v>7.795892317615872</v>
      </c>
      <c r="FI76" s="2103">
        <v>2003</v>
      </c>
      <c r="FJ76" s="2274">
        <v>7.858642990356408</v>
      </c>
      <c r="FK76" s="957">
        <v>6.253833840199949</v>
      </c>
      <c r="FL76" s="1742">
        <v>5.788123461724906</v>
      </c>
    </row>
    <row r="77" ht="20.25" customHeight="1" spans="12:168" x14ac:dyDescent="0.25">
      <c r="L77" s="2226">
        <v>2005</v>
      </c>
      <c r="M77" s="2262">
        <v>41494</v>
      </c>
      <c r="N77" s="224">
        <v>5665.143187777283</v>
      </c>
      <c r="O77" s="123">
        <v>1.0190000000000001</v>
      </c>
      <c r="P77" s="224">
        <v>21609.765799999997</v>
      </c>
      <c r="Q77" s="224">
        <v>2084.3536767783667</v>
      </c>
      <c r="R77" s="265">
        <v>1.064</v>
      </c>
      <c r="S77" s="265">
        <v>68.339</v>
      </c>
      <c r="T77" s="123">
        <v>73.581</v>
      </c>
      <c r="U77" s="2263">
        <f t="shared" si="22"/>
        <v>30.500207447846275</v>
      </c>
      <c r="V77" s="2264">
        <f t="shared" si="23"/>
        <v>82.89766001517849</v>
      </c>
      <c r="Y77" s="2275">
        <v>2003</v>
      </c>
      <c r="Z77" s="2276">
        <v>1827.405801799011</v>
      </c>
      <c r="AA77" s="2272">
        <v>72.273</v>
      </c>
      <c r="AB77" s="773">
        <v>66.339</v>
      </c>
      <c r="BB77" s="268" t="e">
        <f t="shared" si="28"/>
        <v>#DIV/0!</v>
      </c>
      <c r="BC77" s="123"/>
      <c r="BD77" s="2259">
        <v>2006</v>
      </c>
      <c r="BE77" s="2260">
        <f>СЧЁТ!CB17</f>
        <v>63.457556425113935</v>
      </c>
      <c r="BF77" s="2261"/>
      <c r="BR77" s="123"/>
      <c r="BS77" s="123"/>
      <c r="BT77" s="123"/>
      <c r="BU77" s="268">
        <f t="shared" si="27"/>
        <v>0.765149371950673</v>
      </c>
      <c r="BV77" s="2259">
        <v>2006</v>
      </c>
      <c r="BW77" s="2260">
        <f>СЧЁТ!CC17</f>
        <v>0.7566307611024994</v>
      </c>
      <c r="BX77" s="2261"/>
      <c r="CO77" s="2103">
        <v>2004</v>
      </c>
      <c r="CP77" s="2201">
        <v>17027.1909</v>
      </c>
      <c r="CQ77" s="2201">
        <v>2865</v>
      </c>
      <c r="CR77" s="2201"/>
      <c r="DI77" s="559">
        <v>2004</v>
      </c>
      <c r="DJ77" s="2202">
        <v>17027.166999999998</v>
      </c>
      <c r="DK77" s="2202">
        <v>8438.4841</v>
      </c>
      <c r="DL77" s="2202" t="e">
        <v>#REF!</v>
      </c>
      <c r="DM77" s="2202">
        <v>2865</v>
      </c>
      <c r="ED77" s="559">
        <v>2004</v>
      </c>
      <c r="EE77" s="2274">
        <v>8.79041331779647</v>
      </c>
      <c r="EF77" s="2274"/>
      <c r="EG77" s="957">
        <v>9.32454487174126</v>
      </c>
      <c r="EH77" s="2274"/>
      <c r="EI77" s="1742">
        <v>0</v>
      </c>
      <c r="EJ77" s="1742"/>
      <c r="EK77" s="1827">
        <v>6.9855323995033425</v>
      </c>
      <c r="EL77" s="1742"/>
      <c r="FC77" s="1742">
        <f t="shared" si="24"/>
        <v>8.79041331779647</v>
      </c>
      <c r="FD77" s="1742">
        <f t="shared" si="26"/>
        <v>0</v>
      </c>
      <c r="FE77" s="316">
        <f t="shared" si="25"/>
        <v>9.32454487174126</v>
      </c>
      <c r="FI77" s="2103">
        <v>2004</v>
      </c>
      <c r="FJ77" s="2274">
        <v>9.04805344120045</v>
      </c>
      <c r="FK77" s="957">
        <v>6.9855323995033425</v>
      </c>
      <c r="FL77" s="1742">
        <v>5.617164966343532</v>
      </c>
    </row>
    <row r="78" ht="20.25" customHeight="1" spans="12:168" x14ac:dyDescent="0.25">
      <c r="L78" s="2226">
        <v>2006</v>
      </c>
      <c r="M78" s="2262">
        <v>47489</v>
      </c>
      <c r="N78" s="224">
        <v>5801.106624283938</v>
      </c>
      <c r="O78" s="123">
        <v>1.024</v>
      </c>
      <c r="P78" s="224">
        <v>26917.2037</v>
      </c>
      <c r="Q78" s="224">
        <v>2255.270678274193</v>
      </c>
      <c r="R78" s="265">
        <v>1.082</v>
      </c>
      <c r="S78" s="265">
        <v>69.169</v>
      </c>
      <c r="T78" s="123">
        <v>74.419</v>
      </c>
      <c r="U78" s="2263">
        <f t="shared" si="22"/>
        <v>32.605223124148</v>
      </c>
      <c r="V78" s="2264">
        <f t="shared" si="23"/>
        <v>83.86859177209354</v>
      </c>
      <c r="Y78" s="2275">
        <v>2004</v>
      </c>
      <c r="Z78" s="2276">
        <v>1958.97901952854</v>
      </c>
      <c r="AA78" s="2272">
        <v>72.985</v>
      </c>
      <c r="AB78" s="773">
        <v>67.319</v>
      </c>
      <c r="BB78" s="268" t="e">
        <f t="shared" si="28"/>
        <v>#DIV/0!</v>
      </c>
      <c r="BC78" s="123"/>
      <c r="BD78" s="2259">
        <v>2007</v>
      </c>
      <c r="BE78" s="2260">
        <f>СЧЁТ!CB18</f>
        <v>67.47991724969835</v>
      </c>
      <c r="BF78" s="1742"/>
      <c r="BR78" s="123"/>
      <c r="BS78" s="123"/>
      <c r="BT78" s="123"/>
      <c r="BU78" s="268">
        <f t="shared" si="27"/>
        <v>0.7984619477007951</v>
      </c>
      <c r="BV78" s="2259">
        <v>2007</v>
      </c>
      <c r="BW78" s="2260">
        <f>СЧЁТ!CC18</f>
        <v>0.7984619477007948</v>
      </c>
      <c r="BX78" s="1742"/>
      <c r="CO78" s="2103">
        <v>2005</v>
      </c>
      <c r="CP78" s="2201">
        <v>21609.7655</v>
      </c>
      <c r="CQ78" s="2201">
        <v>3611.1</v>
      </c>
      <c r="CR78" s="2201"/>
      <c r="DI78" s="559">
        <v>2005</v>
      </c>
      <c r="DJ78" s="2202">
        <v>21609.765799999997</v>
      </c>
      <c r="DK78" s="2202">
        <v>10652.8578</v>
      </c>
      <c r="DL78" s="2202" t="e">
        <v>#REF!</v>
      </c>
      <c r="DM78" s="2202">
        <v>3611.1</v>
      </c>
      <c r="ED78" s="559">
        <v>2005</v>
      </c>
      <c r="EE78" s="2274">
        <v>10.054085870175701</v>
      </c>
      <c r="EF78" s="2274"/>
      <c r="EG78" s="957">
        <v>11.601834838997735</v>
      </c>
      <c r="EH78" s="2274"/>
      <c r="EI78" s="1742">
        <v>0</v>
      </c>
      <c r="EJ78" s="1742"/>
      <c r="EK78" s="1827">
        <v>7.746955431049207</v>
      </c>
      <c r="EL78" s="1742"/>
      <c r="EQ78" s="1420" t="s">
        <v>324</v>
      </c>
      <c r="FC78" s="1742">
        <f t="shared" si="24"/>
        <v>10.054085870175701</v>
      </c>
      <c r="FD78" s="1742">
        <f t="shared" si="26"/>
        <v>0</v>
      </c>
      <c r="FE78" s="316">
        <f t="shared" si="25"/>
        <v>11.601834838997735</v>
      </c>
      <c r="FI78" s="2103">
        <v>2005</v>
      </c>
      <c r="FJ78" s="2274">
        <v>10.070168753275144</v>
      </c>
      <c r="FK78" s="957">
        <v>7.746955431049207</v>
      </c>
      <c r="FL78" s="1742">
        <v>5.933656338117276</v>
      </c>
    </row>
    <row r="79" ht="21.75" customHeight="1" spans="12:168" x14ac:dyDescent="0.25">
      <c r="L79" s="2226">
        <v>2007</v>
      </c>
      <c r="M79" s="2262">
        <v>60391</v>
      </c>
      <c r="N79" s="224">
        <v>5980.940929636739</v>
      </c>
      <c r="O79" s="123">
        <v>1.031</v>
      </c>
      <c r="P79" s="224">
        <v>33247.5132</v>
      </c>
      <c r="Q79" s="224">
        <v>2446.9686859274993</v>
      </c>
      <c r="R79" s="265">
        <v>1.085</v>
      </c>
      <c r="S79" s="265">
        <v>70.77</v>
      </c>
      <c r="T79" s="123">
        <v>75.289</v>
      </c>
      <c r="U79" s="2263">
        <f t="shared" si="22"/>
        <v>34.57635560163204</v>
      </c>
      <c r="V79" s="2264">
        <f t="shared" si="23"/>
        <v>84.51237713207206</v>
      </c>
      <c r="Y79" s="2275">
        <v>2005</v>
      </c>
      <c r="Z79" s="2276">
        <v>2084.3536767783667</v>
      </c>
      <c r="AA79" s="2272">
        <v>73.581</v>
      </c>
      <c r="AB79" s="773">
        <v>68.339</v>
      </c>
      <c r="BB79" s="268" t="e">
        <f t="shared" si="28"/>
        <v>#DIV/0!</v>
      </c>
      <c r="BC79" s="123"/>
      <c r="BD79" s="2259">
        <v>2008</v>
      </c>
      <c r="BE79" s="2260">
        <f>СЧЁТ!CB19</f>
        <v>70.62140234848118</v>
      </c>
      <c r="BF79" s="1742"/>
      <c r="BR79" s="123"/>
      <c r="BS79" s="123"/>
      <c r="BT79" s="123"/>
      <c r="BU79" s="268">
        <f t="shared" si="27"/>
        <v>0.8317745234509173</v>
      </c>
      <c r="BV79" s="2259">
        <v>2008</v>
      </c>
      <c r="BW79" s="2260">
        <f>СЧЁТ!CC19</f>
        <v>0.8092519740210758</v>
      </c>
      <c r="BX79" s="1742"/>
      <c r="CO79" s="2103">
        <v>2006</v>
      </c>
      <c r="CP79" s="2201">
        <v>26917.2014</v>
      </c>
      <c r="CQ79" s="2201">
        <v>4730</v>
      </c>
      <c r="CR79" s="2201"/>
      <c r="DI79" s="559">
        <v>2006</v>
      </c>
      <c r="DJ79" s="2202">
        <v>26917.2037</v>
      </c>
      <c r="DK79" s="2202">
        <v>12974.7434</v>
      </c>
      <c r="DL79" s="2202" t="e">
        <v>#REF!</v>
      </c>
      <c r="DM79" s="2202">
        <v>4730</v>
      </c>
      <c r="ED79" s="559">
        <v>2006</v>
      </c>
      <c r="EE79" s="2274">
        <v>11.28478682823815</v>
      </c>
      <c r="EF79" s="2274"/>
      <c r="EG79" s="957">
        <v>14.558879763670303</v>
      </c>
      <c r="EH79" s="2274"/>
      <c r="EI79" s="1742">
        <v>0</v>
      </c>
      <c r="EJ79" s="1742"/>
      <c r="EK79" s="1827">
        <v>8.444181419843636</v>
      </c>
      <c r="EL79" s="1742"/>
      <c r="FC79" s="1742">
        <f t="shared" si="24"/>
        <v>11.28478682823815</v>
      </c>
      <c r="FD79" s="1742">
        <f t="shared" si="26"/>
        <v>0</v>
      </c>
      <c r="FE79" s="316">
        <f t="shared" si="25"/>
        <v>14.558879763670303</v>
      </c>
      <c r="FI79" s="2103">
        <v>2006</v>
      </c>
      <c r="FJ79" s="2274">
        <v>11.237649593940652</v>
      </c>
      <c r="FK79" s="957">
        <v>8.444181419843636</v>
      </c>
      <c r="FL79" s="1742">
        <v>5.949475526803209</v>
      </c>
    </row>
    <row r="80" ht="19.5" customHeight="1" spans="12:168" x14ac:dyDescent="0.25">
      <c r="L80" s="2226">
        <v>2008</v>
      </c>
      <c r="M80" s="2262">
        <v>74447</v>
      </c>
      <c r="N80" s="224">
        <v>6196.254803103662</v>
      </c>
      <c r="O80" s="123">
        <v>1.036</v>
      </c>
      <c r="P80" s="224">
        <v>41276.8492</v>
      </c>
      <c r="Q80" s="224">
        <v>2574.2110575957295</v>
      </c>
      <c r="R80" s="265">
        <v>1.052</v>
      </c>
      <c r="S80" s="265">
        <v>71.003</v>
      </c>
      <c r="T80" s="265">
        <v>75.7</v>
      </c>
      <c r="U80" s="2263">
        <f t="shared" si="22"/>
        <v>36.254961869156645</v>
      </c>
      <c r="V80" s="2264">
        <f>N80/S80</f>
        <v>87.2675070504579</v>
      </c>
      <c r="Y80" s="2275">
        <v>2006</v>
      </c>
      <c r="Z80" s="2276">
        <v>2255.270678274193</v>
      </c>
      <c r="AA80" s="2272">
        <v>74.419</v>
      </c>
      <c r="AB80" s="773">
        <v>69.169</v>
      </c>
      <c r="BB80" s="268" t="e">
        <f t="shared" si="28"/>
        <v>#DIV/0!</v>
      </c>
      <c r="BC80" s="123"/>
      <c r="BD80" s="2259">
        <v>2009</v>
      </c>
      <c r="BE80" s="2260">
        <f>СЧЁТ!CB20</f>
        <v>66.89628158851706</v>
      </c>
      <c r="BF80" s="1742"/>
      <c r="BR80" s="2277"/>
      <c r="BS80" s="2277"/>
      <c r="BT80" s="2277"/>
      <c r="BU80" s="268">
        <f t="shared" si="27"/>
        <v>0.8650870992010394</v>
      </c>
      <c r="BV80" s="2259">
        <v>2009</v>
      </c>
      <c r="BW80" s="2260">
        <f>СЧЁТ!CC20</f>
        <v>0.7261311317282134</v>
      </c>
      <c r="BX80" s="1742"/>
      <c r="BZ80" s="2278"/>
      <c r="CA80" s="2278"/>
      <c r="CB80" s="2278"/>
      <c r="CC80" s="2279"/>
      <c r="CD80" s="2279"/>
      <c r="CE80" s="2280"/>
      <c r="CF80" s="2281"/>
      <c r="CG80" s="2281"/>
      <c r="CH80" s="2281"/>
      <c r="CI80" s="2281"/>
      <c r="CJ80" s="2280"/>
      <c r="CK80" s="2280"/>
      <c r="CO80" s="2103">
        <v>2007</v>
      </c>
      <c r="CP80" s="2201">
        <v>33247.5132</v>
      </c>
      <c r="CQ80" s="2201">
        <v>6716.222</v>
      </c>
      <c r="CR80" s="2201"/>
      <c r="DI80" s="559">
        <v>2007</v>
      </c>
      <c r="DJ80" s="2202">
        <v>33247.5132</v>
      </c>
      <c r="DK80" s="2202">
        <v>16031.7398</v>
      </c>
      <c r="DL80" s="2202" t="e">
        <v>#REF!</v>
      </c>
      <c r="DM80" s="2202">
        <v>6716.222</v>
      </c>
      <c r="ED80" s="559">
        <v>2007</v>
      </c>
      <c r="EE80" s="2274">
        <v>13.059083510568804</v>
      </c>
      <c r="EF80" s="2274"/>
      <c r="EG80" s="957">
        <v>17.41864233141954</v>
      </c>
      <c r="EH80" s="2274"/>
      <c r="EI80" s="1742">
        <v>0</v>
      </c>
      <c r="EJ80" s="1742"/>
      <c r="EK80" s="1827">
        <v>9.446505754379075</v>
      </c>
      <c r="EL80" s="1742"/>
      <c r="FC80" s="1742">
        <f t="shared" si="24"/>
        <v>13.059083510568804</v>
      </c>
      <c r="FD80" s="1742">
        <f t="shared" si="26"/>
        <v>0</v>
      </c>
      <c r="FE80" s="316">
        <f t="shared" si="25"/>
        <v>17.41864233141954</v>
      </c>
      <c r="FI80" s="2103">
        <v>2007</v>
      </c>
      <c r="FJ80" s="2274">
        <v>12.985985567555964</v>
      </c>
      <c r="FK80" s="957">
        <v>9.446505754379075</v>
      </c>
      <c r="FL80" s="1742">
        <v>5.972486590341229</v>
      </c>
    </row>
    <row r="81" ht="20.5" customHeight="1" spans="12:168" x14ac:dyDescent="0.25">
      <c r="L81" s="2226">
        <v>2009</v>
      </c>
      <c r="M81" s="2262">
        <v>82302.969</v>
      </c>
      <c r="N81" s="224">
        <v>6394.53495680298</v>
      </c>
      <c r="O81" s="123">
        <v>1.032</v>
      </c>
      <c r="P81" s="224">
        <v>38807.270899999996</v>
      </c>
      <c r="Q81" s="224">
        <v>2370.848384045667</v>
      </c>
      <c r="R81" s="265">
        <v>0.921</v>
      </c>
      <c r="S81" s="265">
        <v>69.41</v>
      </c>
      <c r="T81" s="265">
        <v>75.694</v>
      </c>
      <c r="U81" s="2263">
        <f t="shared" si="22"/>
        <v>34.15715868096336</v>
      </c>
      <c r="V81" s="2264">
        <f t="shared" si="23"/>
        <v>92.12699836915401</v>
      </c>
      <c r="Y81" s="2275">
        <v>2007</v>
      </c>
      <c r="Z81" s="2276">
        <v>2446.9686859274993</v>
      </c>
      <c r="AA81" s="2272">
        <v>75.289</v>
      </c>
      <c r="AB81" s="773">
        <v>70.77</v>
      </c>
      <c r="BB81" s="268" t="e">
        <f t="shared" si="28"/>
        <v>#DIV/0!</v>
      </c>
      <c r="BC81" s="123"/>
      <c r="BD81" s="2259">
        <v>2010</v>
      </c>
      <c r="BE81" s="2260">
        <f>СЧЁТ!CB21</f>
        <v>69.7150852939227</v>
      </c>
      <c r="BF81" s="1742"/>
      <c r="BR81" s="187"/>
      <c r="BS81" s="187"/>
      <c r="BT81" s="187"/>
      <c r="BU81" s="268">
        <f t="shared" si="27"/>
        <v>0.8983996749511616</v>
      </c>
      <c r="BV81" s="2259">
        <v>2010</v>
      </c>
      <c r="BW81" s="2260">
        <f>СЧЁТ!CC21</f>
        <v>0.7402307653540039</v>
      </c>
      <c r="BX81" s="1742"/>
      <c r="BZ81" s="2279"/>
      <c r="CA81" s="2279"/>
      <c r="CB81" s="2279"/>
      <c r="CC81" s="2279"/>
      <c r="CD81" s="2279"/>
      <c r="CE81" s="2280"/>
      <c r="CF81" s="2280"/>
      <c r="CG81" s="2280"/>
      <c r="CH81" s="2280"/>
      <c r="CI81" s="2280"/>
      <c r="CJ81" s="2280"/>
      <c r="CK81" s="2280"/>
      <c r="CO81" s="2103">
        <v>2008</v>
      </c>
      <c r="CP81" s="2201">
        <v>41276.8492</v>
      </c>
      <c r="CQ81" s="2201">
        <v>8781.616</v>
      </c>
      <c r="CR81" s="2201"/>
      <c r="DI81" s="559">
        <v>2008</v>
      </c>
      <c r="DJ81" s="2202">
        <v>41276.8492</v>
      </c>
      <c r="DK81" s="2202">
        <v>19966.9547</v>
      </c>
      <c r="DL81" s="2202" t="e">
        <v>#REF!</v>
      </c>
      <c r="DM81" s="2202">
        <v>8781.616</v>
      </c>
      <c r="ED81" s="559">
        <v>2008</v>
      </c>
      <c r="EE81" s="2274">
        <v>15.593657080025292</v>
      </c>
      <c r="EF81" s="2274"/>
      <c r="EG81" s="957">
        <v>21.558658204106848</v>
      </c>
      <c r="EH81" s="2274"/>
      <c r="EI81" s="1742">
        <v>0</v>
      </c>
      <c r="EJ81" s="1742"/>
      <c r="EK81" s="1827">
        <v>10.701001718560617</v>
      </c>
      <c r="EL81" s="1742"/>
      <c r="FC81" s="1742">
        <f t="shared" si="24"/>
        <v>15.593657080025292</v>
      </c>
      <c r="FD81" s="1742">
        <f t="shared" si="26"/>
        <v>0</v>
      </c>
      <c r="FE81" s="316">
        <f t="shared" si="25"/>
        <v>21.558658204106848</v>
      </c>
      <c r="FI81" s="2103">
        <v>2008</v>
      </c>
      <c r="FJ81" s="2274">
        <v>15.397267606350976</v>
      </c>
      <c r="FK81" s="957">
        <v>10.701001718560617</v>
      </c>
      <c r="FL81" s="1742">
        <v>6.61807370062663</v>
      </c>
    </row>
    <row r="82" ht="19.5" customHeight="1" spans="12:168" x14ac:dyDescent="0.25">
      <c r="L82" s="2226">
        <v>2010</v>
      </c>
      <c r="M82" s="2282">
        <v>93186</v>
      </c>
      <c r="N82" s="224">
        <v>6586.37100550707</v>
      </c>
      <c r="O82" s="265">
        <v>1.03</v>
      </c>
      <c r="P82" s="224">
        <v>46308.53100000001</v>
      </c>
      <c r="Q82" s="224">
        <v>2477.5365613277218</v>
      </c>
      <c r="R82" s="265">
        <v>1.045</v>
      </c>
      <c r="S82" s="265">
        <v>69.93370846147305</v>
      </c>
      <c r="T82" s="265">
        <v>75.478</v>
      </c>
      <c r="U82" s="2263">
        <f t="shared" si="22"/>
        <v>35.426929528449264</v>
      </c>
      <c r="V82" s="2264">
        <f t="shared" si="23"/>
        <v>94.18020508858824</v>
      </c>
      <c r="Y82" s="2275">
        <v>2008</v>
      </c>
      <c r="Z82" s="2276">
        <v>2574.2110575957295</v>
      </c>
      <c r="AA82" s="2272">
        <v>75.7</v>
      </c>
      <c r="AB82" s="773">
        <v>71.003</v>
      </c>
      <c r="BB82" s="268" t="e">
        <f t="shared" si="28"/>
        <v>#DIV/0!</v>
      </c>
      <c r="BC82" s="123"/>
      <c r="BD82" s="2259">
        <v>2011</v>
      </c>
      <c r="BE82" s="2260">
        <f>СЧЁТ!CB22</f>
        <v>71.76575210476639</v>
      </c>
      <c r="BF82" s="1742"/>
      <c r="BR82" s="187"/>
      <c r="BS82" s="2283"/>
      <c r="BT82" s="2283"/>
      <c r="BU82" s="268">
        <f t="shared" si="27"/>
        <v>0.9317122507012837</v>
      </c>
      <c r="BV82" s="2259">
        <v>2011</v>
      </c>
      <c r="BW82" s="2260">
        <f>СЧЁТ!CC22</f>
        <v>0.7423660464079096</v>
      </c>
      <c r="BX82" s="1742"/>
      <c r="BZ82" s="2284"/>
      <c r="CA82" s="2284"/>
      <c r="CB82" s="2278"/>
      <c r="CC82" s="2279"/>
      <c r="CD82" s="2279"/>
      <c r="CE82" s="2280"/>
      <c r="CF82" s="2280"/>
      <c r="CG82" s="2285"/>
      <c r="CH82" s="2285"/>
      <c r="CI82" s="2285"/>
      <c r="CJ82" s="2280"/>
      <c r="CK82" s="2280"/>
      <c r="CN82" s="268"/>
      <c r="CO82" s="2103">
        <v>2009</v>
      </c>
      <c r="CP82" s="2201">
        <v>38807.219</v>
      </c>
      <c r="CQ82" s="2201">
        <v>7976.013</v>
      </c>
      <c r="CR82" s="2201">
        <f t="shared" ref="CR82:CR88" si="29">CQ82</f>
        <v>7976.013</v>
      </c>
      <c r="DI82" s="559">
        <v>2009</v>
      </c>
      <c r="DJ82" s="2202">
        <v>38807.270899999996</v>
      </c>
      <c r="DK82" s="2202">
        <v>20986.036</v>
      </c>
      <c r="DL82" s="2202" t="e">
        <v>#REF!</v>
      </c>
      <c r="DM82" s="2202">
        <v>7976.013</v>
      </c>
      <c r="ED82" s="559">
        <v>2009</v>
      </c>
      <c r="EE82" s="2274">
        <v>16.373566297801105</v>
      </c>
      <c r="EF82" s="2274"/>
      <c r="EG82" s="957">
        <v>23.77183065299093</v>
      </c>
      <c r="EH82" s="2274"/>
      <c r="EI82" s="1742">
        <v>0</v>
      </c>
      <c r="EJ82" s="1742"/>
      <c r="EK82" s="1827">
        <v>11.642689869793951</v>
      </c>
      <c r="EL82" s="1742"/>
      <c r="FC82" s="1742">
        <f t="shared" si="24"/>
        <v>16.373566297801105</v>
      </c>
      <c r="FD82" s="1742">
        <f t="shared" si="26"/>
        <v>0</v>
      </c>
      <c r="FE82" s="316">
        <f t="shared" si="25"/>
        <v>23.77183065299093</v>
      </c>
      <c r="FI82" s="2103">
        <v>2009</v>
      </c>
      <c r="FJ82" s="2274">
        <v>18.209619166526906</v>
      </c>
      <c r="FK82" s="957">
        <v>11.642689869793951</v>
      </c>
      <c r="FL82" s="1742">
        <v>8.30157321960723</v>
      </c>
    </row>
    <row r="83" ht="21.75" customHeight="1" spans="12:168" x14ac:dyDescent="0.25">
      <c r="L83" s="2226">
        <v>2011</v>
      </c>
      <c r="M83" s="2282">
        <v>108001</v>
      </c>
      <c r="N83" s="224">
        <v>6849.825845727352</v>
      </c>
      <c r="O83" s="123">
        <v>1.04</v>
      </c>
      <c r="P83" s="224">
        <v>60282.540400000005</v>
      </c>
      <c r="Q83" s="224">
        <v>2584.0706334648135</v>
      </c>
      <c r="R83" s="265">
        <v>1.043</v>
      </c>
      <c r="S83" s="123">
        <v>70.85661311334043</v>
      </c>
      <c r="T83" s="123">
        <v>75.779</v>
      </c>
      <c r="U83" s="2263">
        <f t="shared" si="22"/>
        <v>36.46901142919998</v>
      </c>
      <c r="V83" s="2264">
        <f t="shared" si="23"/>
        <v>96.67165201320793</v>
      </c>
      <c r="Y83" s="2275">
        <v>2009</v>
      </c>
      <c r="Z83" s="2276">
        <v>2370.848384045667</v>
      </c>
      <c r="AA83" s="2272">
        <v>75.694</v>
      </c>
      <c r="AB83" s="773">
        <v>69.41</v>
      </c>
      <c r="BB83" s="268" t="e">
        <f t="shared" si="28"/>
        <v>#DIV/0!</v>
      </c>
      <c r="BC83" s="268">
        <f>BE83</f>
        <v>73.84674636436351</v>
      </c>
      <c r="BD83" s="2259">
        <v>2012</v>
      </c>
      <c r="BE83" s="2260">
        <f>СЧЁТ!CB23</f>
        <v>73.84674636436351</v>
      </c>
      <c r="BF83" s="1742"/>
      <c r="BR83" s="187"/>
      <c r="BS83" s="2283"/>
      <c r="BT83" s="2283"/>
      <c r="BU83" s="268">
        <f t="shared" si="27"/>
        <v>0.9650248264514059</v>
      </c>
      <c r="BV83" s="2259">
        <v>2012</v>
      </c>
      <c r="BW83" s="2260">
        <f>СЧЁТ!CC23</f>
        <v>0.7395190050027021</v>
      </c>
      <c r="BX83" s="1742"/>
      <c r="BZ83" s="2284"/>
      <c r="CA83" s="2284"/>
      <c r="CB83" s="2279"/>
      <c r="CC83" s="2279"/>
      <c r="CD83" s="2279"/>
      <c r="CE83" s="2280"/>
      <c r="CF83" s="2280"/>
      <c r="CG83" s="2285"/>
      <c r="CH83" s="2285"/>
      <c r="CI83" s="2285"/>
      <c r="CJ83" s="2280"/>
      <c r="CK83" s="2280"/>
      <c r="CN83" s="268">
        <f>BW83</f>
        <v>0.7395190050027021</v>
      </c>
      <c r="CO83" s="2103">
        <v>2010</v>
      </c>
      <c r="CP83" s="2201">
        <v>46308.541</v>
      </c>
      <c r="CQ83" s="2201">
        <v>9152.1</v>
      </c>
      <c r="CR83" s="2201">
        <f t="shared" si="29"/>
        <v>9152.1</v>
      </c>
      <c r="DI83" s="559">
        <v>2010</v>
      </c>
      <c r="DJ83" s="2202">
        <v>46308.53100000001</v>
      </c>
      <c r="DK83" s="2202">
        <v>23617.623</v>
      </c>
      <c r="DL83" s="2202" t="e">
        <v>#REF!</v>
      </c>
      <c r="DM83" s="2202">
        <v>9152.1</v>
      </c>
      <c r="ED83" s="559">
        <v>2010</v>
      </c>
      <c r="EE83" s="2274">
        <v>17.674409856030426</v>
      </c>
      <c r="EF83" s="2274"/>
      <c r="EG83" s="957">
        <v>25.942740710668115</v>
      </c>
      <c r="EH83" s="2274"/>
      <c r="EI83" s="1742">
        <v>0</v>
      </c>
      <c r="EJ83" s="1742"/>
      <c r="EK83" s="1827">
        <v>12.664918040361862</v>
      </c>
      <c r="EL83" s="1742"/>
      <c r="FC83" s="1742">
        <f t="shared" si="24"/>
        <v>17.674409856030426</v>
      </c>
      <c r="FD83" s="1742">
        <f t="shared" si="26"/>
        <v>0</v>
      </c>
      <c r="FE83" s="316">
        <f t="shared" si="25"/>
        <v>25.942740710668115</v>
      </c>
      <c r="FI83" s="2103">
        <v>2010</v>
      </c>
      <c r="FJ83" s="2274">
        <v>20.20580339197264</v>
      </c>
      <c r="FK83" s="957">
        <v>12.664918040361862</v>
      </c>
      <c r="FL83" s="1742">
        <v>8.121605375451491</v>
      </c>
    </row>
    <row r="84" ht="20.5" customHeight="1" spans="12:168" x14ac:dyDescent="0.25">
      <c r="L84" s="2226">
        <v>2012</v>
      </c>
      <c r="M84" s="2282">
        <v>121269</v>
      </c>
      <c r="N84" s="224">
        <v>7144.368357093628</v>
      </c>
      <c r="O84" s="123">
        <v>1.043</v>
      </c>
      <c r="P84" s="224">
        <v>68163.8831</v>
      </c>
      <c r="Q84" s="224">
        <v>2678.541712402734</v>
      </c>
      <c r="R84" s="265">
        <v>1.0365590157306384</v>
      </c>
      <c r="S84" s="123">
        <v>71.54541586357954</v>
      </c>
      <c r="T84" s="123">
        <v>75.676</v>
      </c>
      <c r="U84" s="2263">
        <f t="shared" si="22"/>
        <v>37.43834150758296</v>
      </c>
      <c r="V84" s="2264">
        <f t="shared" si="23"/>
        <v>99.85780739210848</v>
      </c>
      <c r="Y84" s="2275">
        <v>2010</v>
      </c>
      <c r="Z84" s="2276">
        <v>2477.5365613277218</v>
      </c>
      <c r="AA84" s="2272">
        <v>75.478</v>
      </c>
      <c r="AB84" s="773">
        <v>69.93370846147305</v>
      </c>
      <c r="BB84" s="268" t="e">
        <f t="shared" si="28"/>
        <v>#DIV/0!</v>
      </c>
      <c r="BC84" s="268">
        <f t="shared" ref="BC84:BC101" si="30">BC83+(BE$85-BE$83)/2</f>
        <v>74.92711217028948</v>
      </c>
      <c r="BD84" s="2259">
        <v>2013</v>
      </c>
      <c r="BE84" s="2260">
        <f>СЧЁТ!CB24</f>
        <v>75.56012344053151</v>
      </c>
      <c r="BF84" s="1742"/>
      <c r="BR84" s="187"/>
      <c r="BS84" s="2286"/>
      <c r="BT84" s="2286"/>
      <c r="BU84" s="268">
        <f t="shared" si="27"/>
        <v>0.998337402201528</v>
      </c>
      <c r="BV84" s="2259">
        <v>2013</v>
      </c>
      <c r="BW84" s="2260">
        <f>СЧЁТ!CC24</f>
        <v>0.7253111470775782</v>
      </c>
      <c r="BX84" s="1742"/>
      <c r="BZ84" s="2287"/>
      <c r="CA84" s="2288"/>
      <c r="CB84" s="2288"/>
      <c r="CC84" s="2279"/>
      <c r="CD84" s="2279"/>
      <c r="CE84" s="2280"/>
      <c r="CF84" s="2280"/>
      <c r="CG84" s="2285"/>
      <c r="CH84" s="2289"/>
      <c r="CI84" s="2290"/>
      <c r="CJ84" s="2280"/>
      <c r="CK84" s="2280"/>
      <c r="CN84" s="268">
        <f t="shared" ref="CN84:CN94" si="31">CN83-(BW$83-BW$84)</f>
        <v>0.7253111470775782</v>
      </c>
      <c r="CO84" s="2103">
        <v>2011</v>
      </c>
      <c r="CP84" s="2201">
        <v>60282.5404</v>
      </c>
      <c r="CQ84" s="2201">
        <v>11035.652</v>
      </c>
      <c r="CR84" s="2201">
        <f t="shared" si="29"/>
        <v>11035.652</v>
      </c>
      <c r="DI84" s="559">
        <v>2011</v>
      </c>
      <c r="DJ84" s="2202">
        <v>60282.540400000005</v>
      </c>
      <c r="DK84" s="2202">
        <v>29939.4635</v>
      </c>
      <c r="DL84" s="2202" t="e">
        <v>#REF!</v>
      </c>
      <c r="DM84" s="2202">
        <v>11035.652</v>
      </c>
      <c r="ED84" s="559">
        <v>2011</v>
      </c>
      <c r="EE84" s="2274">
        <v>19.234566440524752</v>
      </c>
      <c r="EF84" s="2274"/>
      <c r="EG84" s="957">
        <v>31.060937552257776</v>
      </c>
      <c r="EH84" s="2274"/>
      <c r="EI84" s="1742">
        <v>0</v>
      </c>
      <c r="EJ84" s="1742"/>
      <c r="EK84" s="1827">
        <v>13.437478040823935</v>
      </c>
      <c r="EL84" s="1742"/>
      <c r="FC84" s="1742">
        <f t="shared" si="24"/>
        <v>19.234566440524752</v>
      </c>
      <c r="FD84" s="1742">
        <f t="shared" si="26"/>
        <v>0</v>
      </c>
      <c r="FE84" s="316">
        <f t="shared" si="25"/>
        <v>31.060937552257776</v>
      </c>
      <c r="FI84" s="2103">
        <v>2011</v>
      </c>
      <c r="FJ84" s="2274">
        <v>23.496938857350884</v>
      </c>
      <c r="FK84" s="957">
        <v>13.437478040823935</v>
      </c>
      <c r="FL84" s="1742">
        <v>8.282874191876036</v>
      </c>
    </row>
    <row r="85" ht="20.5" customHeight="1" spans="12:168" x14ac:dyDescent="0.25">
      <c r="L85" s="2226">
        <v>2013</v>
      </c>
      <c r="M85" s="2282">
        <v>133522.8</v>
      </c>
      <c r="N85" s="224">
        <v>7437.287459734466</v>
      </c>
      <c r="O85" s="123">
        <v>1.041</v>
      </c>
      <c r="P85" s="224">
        <v>73133.89509999998</v>
      </c>
      <c r="Q85" s="224">
        <v>2726.3631774238834</v>
      </c>
      <c r="R85" s="265">
        <v>1.0178535450091057</v>
      </c>
      <c r="S85" s="265">
        <v>71.391459581339</v>
      </c>
      <c r="T85" s="123">
        <v>75.529</v>
      </c>
      <c r="U85" s="2263">
        <f t="shared" si="22"/>
        <v>38.1889261462379</v>
      </c>
      <c r="V85" s="2264">
        <f t="shared" si="23"/>
        <v>104.1761508077991</v>
      </c>
      <c r="Y85" s="2275">
        <v>2011</v>
      </c>
      <c r="Z85" s="2276">
        <v>2584.0706334648135</v>
      </c>
      <c r="AA85" s="2272">
        <v>75.779</v>
      </c>
      <c r="AB85" s="773">
        <v>70.85661311334043</v>
      </c>
      <c r="BB85" s="268" t="e">
        <f t="shared" si="28"/>
        <v>#DIV/0!</v>
      </c>
      <c r="BC85" s="268">
        <f t="shared" si="30"/>
        <v>76.00747797621544</v>
      </c>
      <c r="BD85" s="2259">
        <v>2014</v>
      </c>
      <c r="BE85" s="2260">
        <f>СЧЁТ!CB25</f>
        <v>76.00747797621544</v>
      </c>
      <c r="BF85" s="1742"/>
      <c r="BR85" s="187"/>
      <c r="BS85" s="2286"/>
      <c r="BT85" s="2286"/>
      <c r="BU85" s="187"/>
      <c r="BV85" s="2259">
        <v>2014</v>
      </c>
      <c r="BW85" s="2260">
        <f>СЧЁТ!CC25</f>
        <v>0.7050276145170674</v>
      </c>
      <c r="BX85" s="1742"/>
      <c r="BZ85" s="2287"/>
      <c r="CA85" s="2288"/>
      <c r="CB85" s="2288"/>
      <c r="CC85" s="2279"/>
      <c r="CD85" s="2279"/>
      <c r="CE85" s="2280"/>
      <c r="CF85" s="2280"/>
      <c r="CG85" s="2285"/>
      <c r="CH85" s="2289"/>
      <c r="CI85" s="2290"/>
      <c r="CJ85" s="2280"/>
      <c r="CK85" s="2280"/>
      <c r="CN85" s="268">
        <f t="shared" si="31"/>
        <v>0.7111032891524542</v>
      </c>
      <c r="CO85" s="2103">
        <v>2012</v>
      </c>
      <c r="CP85" s="2201">
        <v>68163.88309999999</v>
      </c>
      <c r="CQ85" s="2201">
        <v>12586.090400000001</v>
      </c>
      <c r="CR85" s="2201">
        <f t="shared" si="29"/>
        <v>12586.090400000001</v>
      </c>
      <c r="DI85" s="559">
        <v>2012</v>
      </c>
      <c r="DJ85" s="2202">
        <v>68163.8831</v>
      </c>
      <c r="DK85" s="2202">
        <v>34492.3617</v>
      </c>
      <c r="DL85" s="2202" t="e">
        <v>#REF!</v>
      </c>
      <c r="DM85" s="2202">
        <v>12586.090400000001</v>
      </c>
      <c r="ED85" s="559">
        <v>2012</v>
      </c>
      <c r="EE85" s="2274">
        <v>20.540168341333807</v>
      </c>
      <c r="EF85" s="2274"/>
      <c r="EG85" s="957">
        <v>34.957056458668305</v>
      </c>
      <c r="EH85" s="2274"/>
      <c r="EI85" s="1742">
        <v>0</v>
      </c>
      <c r="EJ85" s="1742"/>
      <c r="EK85" s="1827">
        <v>14.321664095910151</v>
      </c>
      <c r="EL85" s="1742"/>
      <c r="FC85" s="1742">
        <f t="shared" si="24"/>
        <v>20.540168341333807</v>
      </c>
      <c r="FD85" s="1742">
        <f t="shared" si="26"/>
        <v>0</v>
      </c>
      <c r="FE85" s="316">
        <f t="shared" si="25"/>
        <v>34.957056458668305</v>
      </c>
      <c r="FI85" s="2103">
        <v>2012</v>
      </c>
      <c r="FJ85" s="2274">
        <v>25.552634846384674</v>
      </c>
      <c r="FK85" s="957">
        <v>14.321664095910151</v>
      </c>
      <c r="FL85" s="1742">
        <v>8.667019917064364</v>
      </c>
    </row>
    <row r="86" ht="20.5" customHeight="1" spans="12:168" x14ac:dyDescent="0.25">
      <c r="L86" s="2226">
        <v>2014</v>
      </c>
      <c r="M86" s="2282">
        <v>147430</v>
      </c>
      <c r="N86" s="224">
        <v>7712.467095744641</v>
      </c>
      <c r="O86" s="123">
        <v>1.037</v>
      </c>
      <c r="P86" s="123">
        <v>79199.6585</v>
      </c>
      <c r="Q86" s="224">
        <v>2746.5001169353304</v>
      </c>
      <c r="R86" s="265">
        <v>1.0073860077330101</v>
      </c>
      <c r="S86" s="265">
        <v>71.539043569578</v>
      </c>
      <c r="T86" s="123">
        <v>75.428</v>
      </c>
      <c r="U86" s="2263">
        <f t="shared" si="22"/>
        <v>38.39162476730791</v>
      </c>
      <c r="V86" s="2264">
        <f t="shared" si="23"/>
        <v>107.80780271745721</v>
      </c>
      <c r="Y86" s="2275">
        <v>2012</v>
      </c>
      <c r="Z86" s="2276">
        <v>2678.541712402734</v>
      </c>
      <c r="AA86" s="2272">
        <v>75.676</v>
      </c>
      <c r="AB86" s="773">
        <v>71.54541586357954</v>
      </c>
      <c r="BB86" s="268" t="e">
        <f t="shared" si="28"/>
        <v>#DIV/0!</v>
      </c>
      <c r="BC86" s="268">
        <f t="shared" si="30"/>
        <v>77.0878437821414</v>
      </c>
      <c r="BD86" s="2259">
        <v>2015</v>
      </c>
      <c r="BE86" s="2260">
        <f>СЧЁТ!CB26</f>
        <v>74.20555775569582</v>
      </c>
      <c r="BF86" s="1742"/>
      <c r="BR86" s="187"/>
      <c r="BS86" s="2286"/>
      <c r="BT86" s="2277"/>
      <c r="BU86" s="187"/>
      <c r="BV86" s="2259">
        <v>2015</v>
      </c>
      <c r="BW86" s="2260">
        <f>СЧЁТ!CC26</f>
        <v>0.674285131325916</v>
      </c>
      <c r="BX86" s="1742"/>
      <c r="BZ86" s="2287"/>
      <c r="CA86" s="2288"/>
      <c r="CB86" s="2288"/>
      <c r="CC86" s="2279"/>
      <c r="CD86" s="2279"/>
      <c r="CE86" s="2280"/>
      <c r="CF86" s="2280"/>
      <c r="CG86" s="2285"/>
      <c r="CH86" s="2289"/>
      <c r="CI86" s="2290"/>
      <c r="CJ86" s="2280"/>
      <c r="CK86" s="2280"/>
      <c r="CN86" s="268">
        <f t="shared" si="31"/>
        <v>0.6968954312273303</v>
      </c>
      <c r="CO86" s="2103">
        <v>2013</v>
      </c>
      <c r="CP86" s="2201">
        <v>73133.8951</v>
      </c>
      <c r="CQ86" s="2201">
        <v>13450.2382</v>
      </c>
      <c r="CR86" s="2201">
        <f t="shared" si="29"/>
        <v>13450.2382</v>
      </c>
      <c r="DI86" s="559">
        <v>2013</v>
      </c>
      <c r="DJ86" s="2202">
        <v>73133.89509999998</v>
      </c>
      <c r="DK86" s="2202">
        <v>38465.140799999994</v>
      </c>
      <c r="DL86" s="2202" t="e">
        <v>#REF!</v>
      </c>
      <c r="DM86" s="2202">
        <v>13450.2382</v>
      </c>
      <c r="ED86" s="559">
        <v>2013</v>
      </c>
      <c r="EE86" s="2274">
        <v>21.77622501158156</v>
      </c>
      <c r="EF86" s="2274"/>
      <c r="EG86" s="957">
        <v>38.62386007303689</v>
      </c>
      <c r="EH86" s="2274"/>
      <c r="EI86" s="1742">
        <v>0</v>
      </c>
      <c r="EJ86" s="1742"/>
      <c r="EK86" s="1827">
        <v>15.245411430096356</v>
      </c>
      <c r="EL86" s="1742"/>
      <c r="FC86" s="1742">
        <f t="shared" si="24"/>
        <v>21.77622501158156</v>
      </c>
      <c r="FD86" s="1742">
        <f t="shared" si="26"/>
        <v>0</v>
      </c>
      <c r="FE86" s="316">
        <f t="shared" si="25"/>
        <v>38.62386007303689</v>
      </c>
      <c r="FI86" s="2103">
        <v>2013</v>
      </c>
      <c r="FJ86" s="2274">
        <v>27.368855432385324</v>
      </c>
      <c r="FK86" s="957">
        <v>15.245411430096356</v>
      </c>
      <c r="FL86" s="1742">
        <v>9.0619465420278</v>
      </c>
    </row>
    <row r="87" ht="20.5" customHeight="1" spans="12:168" x14ac:dyDescent="0.25">
      <c r="L87" s="2226">
        <v>2015</v>
      </c>
      <c r="M87" s="2282">
        <v>160725</v>
      </c>
      <c r="N87" s="224">
        <v>7959.266042808469</v>
      </c>
      <c r="O87" s="123">
        <v>1.032</v>
      </c>
      <c r="P87" s="224">
        <v>83232.6184</v>
      </c>
      <c r="Q87" s="224">
        <v>2668.822479684652</v>
      </c>
      <c r="R87" s="265">
        <v>0.9717175918647495</v>
      </c>
      <c r="S87" s="123">
        <v>72.323622532452</v>
      </c>
      <c r="T87" s="123">
        <v>76.588</v>
      </c>
      <c r="U87" s="2263">
        <f>Q87/S87</f>
        <v>36.90111731456948</v>
      </c>
      <c r="V87" s="2264">
        <f>N87/S87</f>
        <v>110.05071046098531</v>
      </c>
      <c r="Y87" s="2275">
        <v>2013</v>
      </c>
      <c r="Z87" s="2276">
        <v>2726.3631774238834</v>
      </c>
      <c r="AA87" s="2272">
        <v>75.529</v>
      </c>
      <c r="AB87" s="773">
        <v>71.391459581339</v>
      </c>
      <c r="BB87" s="268"/>
      <c r="BC87" s="268">
        <f t="shared" si="30"/>
        <v>78.16820958806737</v>
      </c>
      <c r="BD87" s="2259">
        <v>2016</v>
      </c>
      <c r="BE87" s="2260">
        <f>СЧЁТ!CB27</f>
        <v>75.0240565513269</v>
      </c>
      <c r="BF87" s="1742">
        <f>СЧЁТ!CB27</f>
        <v>75.0240565513269</v>
      </c>
      <c r="BR87" s="187"/>
      <c r="BS87" s="2286"/>
      <c r="BT87" s="2277"/>
      <c r="BU87" s="187"/>
      <c r="BV87" s="2259">
        <v>2016</v>
      </c>
      <c r="BW87" s="2260">
        <f>СЧЁТ!CC27</f>
        <v>0.656762803562875</v>
      </c>
      <c r="BX87" s="1742">
        <f>СЧЁТ!CC27</f>
        <v>0.656762803562875</v>
      </c>
      <c r="BZ87" s="2287"/>
      <c r="CA87" s="2291"/>
      <c r="CB87" s="2291"/>
      <c r="CC87" s="2279"/>
      <c r="CD87" s="2279"/>
      <c r="CE87" s="2280"/>
      <c r="CF87" s="2280"/>
      <c r="CG87" s="2285"/>
      <c r="CH87" s="2290"/>
      <c r="CI87" s="2290"/>
      <c r="CJ87" s="2280"/>
      <c r="CK87" s="2280"/>
      <c r="CN87" s="268">
        <f t="shared" si="31"/>
        <v>0.6826875733022064</v>
      </c>
      <c r="CO87" s="2103">
        <v>2014</v>
      </c>
      <c r="CP87" s="2201">
        <v>79058.48</v>
      </c>
      <c r="CQ87" s="2201">
        <v>13902.6453</v>
      </c>
      <c r="CR87" s="2201">
        <f t="shared" si="29"/>
        <v>13902.6453</v>
      </c>
      <c r="DI87" s="559">
        <v>2014</v>
      </c>
      <c r="DJ87" s="2202">
        <v>79058</v>
      </c>
      <c r="DK87" s="2202">
        <v>41954.83</v>
      </c>
      <c r="DL87" s="2202" t="e">
        <v>#REF!</v>
      </c>
      <c r="DM87" s="2202">
        <v>13902.6453</v>
      </c>
      <c r="ED87" s="559">
        <v>2014</v>
      </c>
      <c r="EE87" s="2274">
        <v>22.851453644141124</v>
      </c>
      <c r="EF87" s="2274"/>
      <c r="EG87" s="957">
        <v>41.26092184765976</v>
      </c>
      <c r="EH87" s="2274"/>
      <c r="EI87" s="1742">
        <v>0</v>
      </c>
      <c r="EJ87" s="1742"/>
      <c r="EK87" s="1827">
        <v>17.31878738458946</v>
      </c>
      <c r="EL87" s="1742"/>
      <c r="FC87" s="1742">
        <f t="shared" si="24"/>
        <v>22.851453644141124</v>
      </c>
      <c r="FD87" s="1742">
        <f t="shared" si="26"/>
        <v>0</v>
      </c>
      <c r="FE87" s="316">
        <f t="shared" si="25"/>
        <v>41.26092184765976</v>
      </c>
      <c r="FI87" s="2103">
        <v>2014</v>
      </c>
      <c r="FJ87" s="2274">
        <v>30.814371333057377</v>
      </c>
      <c r="FK87" s="957">
        <v>17.31878738458946</v>
      </c>
      <c r="FL87" s="1742">
        <v>10.713774916786434</v>
      </c>
    </row>
    <row r="88" ht="20.5" customHeight="1" spans="12:168" x14ac:dyDescent="0.25">
      <c r="L88" s="2226">
        <v>2016</v>
      </c>
      <c r="M88" s="2282">
        <v>171764</v>
      </c>
      <c r="N88" s="224">
        <v>8198.044024092724</v>
      </c>
      <c r="O88" s="123">
        <v>1.03</v>
      </c>
      <c r="P88" s="224">
        <v>86043.64890000001</v>
      </c>
      <c r="Q88" s="224">
        <v>2662.820004777798</v>
      </c>
      <c r="R88" s="265">
        <v>0.9977508901575337</v>
      </c>
      <c r="S88" s="123">
        <v>72.393</v>
      </c>
      <c r="T88" s="123">
        <v>76.636</v>
      </c>
      <c r="U88" s="2263">
        <f>Q88/S88</f>
        <v>36.78283818570578</v>
      </c>
      <c r="V88" s="2264">
        <f>N88/S88</f>
        <v>113.24360123344417</v>
      </c>
      <c r="Y88" s="2275">
        <v>2014</v>
      </c>
      <c r="Z88" s="2276">
        <v>2746.5001169353304</v>
      </c>
      <c r="AA88" s="2272">
        <v>75.42841742637</v>
      </c>
      <c r="AB88" s="773">
        <v>71.539043569578</v>
      </c>
      <c r="BB88" s="268"/>
      <c r="BC88" s="268">
        <f t="shared" si="30"/>
        <v>79.24857539399333</v>
      </c>
      <c r="BD88" s="2259">
        <v>2017</v>
      </c>
      <c r="BE88" s="903"/>
      <c r="BF88" s="1742">
        <f>СЧЁТ!CB28</f>
        <v>77.16721104305692</v>
      </c>
      <c r="BR88" s="187"/>
      <c r="BS88" s="2286"/>
      <c r="BT88" s="2277"/>
      <c r="BU88" s="187"/>
      <c r="BV88" s="2259">
        <v>2017</v>
      </c>
      <c r="BW88" s="903"/>
      <c r="BX88" s="1742">
        <f>СЧЁТ!CC28</f>
        <v>0.6485374505317407</v>
      </c>
      <c r="BZ88" s="2287"/>
      <c r="CA88" s="2291"/>
      <c r="CB88" s="2291"/>
      <c r="CC88" s="2279"/>
      <c r="CD88" s="2279"/>
      <c r="CE88" s="2280"/>
      <c r="CF88" s="2280"/>
      <c r="CG88" s="2285"/>
      <c r="CH88" s="2290"/>
      <c r="CI88" s="2290"/>
      <c r="CJ88" s="2280"/>
      <c r="CK88" s="2280"/>
      <c r="CN88" s="268">
        <f t="shared" si="31"/>
        <v>0.6684797153770825</v>
      </c>
      <c r="CO88" s="2103">
        <v>2015</v>
      </c>
      <c r="CP88" s="2201">
        <v>83094.3</v>
      </c>
      <c r="CQ88" s="2201">
        <v>13897.2</v>
      </c>
      <c r="CR88" s="2201">
        <f t="shared" si="29"/>
        <v>13897.2</v>
      </c>
      <c r="DI88" s="559">
        <v>2015</v>
      </c>
      <c r="DJ88" s="2202">
        <v>83094</v>
      </c>
      <c r="DK88" s="2202">
        <v>43242.32</v>
      </c>
      <c r="DL88" s="2202" t="e">
        <v>#REF!</v>
      </c>
      <c r="DM88" s="2202">
        <v>13897.2</v>
      </c>
      <c r="ED88" s="559">
        <v>2015</v>
      </c>
      <c r="EE88" s="1239">
        <v>25.408791247612854</v>
      </c>
      <c r="EF88" s="1239"/>
      <c r="EG88" s="75">
        <v>44.34474977239534</v>
      </c>
      <c r="EH88" s="1239"/>
      <c r="EI88" s="1742">
        <v>0</v>
      </c>
      <c r="EJ88" s="1742">
        <f>EI88</f>
        <v>0</v>
      </c>
      <c r="EK88" s="1827">
        <v>19.5529109572015</v>
      </c>
      <c r="EL88" s="1742">
        <f>EK88</f>
        <v>19.5529109572015</v>
      </c>
      <c r="FC88" s="1742">
        <f t="shared" si="24"/>
        <v>25.408791247612854</v>
      </c>
      <c r="FD88" s="1742">
        <f t="shared" si="26"/>
        <v>0</v>
      </c>
      <c r="FE88" s="316">
        <f t="shared" si="25"/>
        <v>44.34474977239534</v>
      </c>
      <c r="FI88" s="2103">
        <v>2015</v>
      </c>
      <c r="FJ88" s="1239">
        <v>36.34296976353653</v>
      </c>
      <c r="FK88" s="75">
        <v>19.5529109572015</v>
      </c>
      <c r="FL88" s="1742">
        <v>15.00558323794657</v>
      </c>
    </row>
    <row r="89" ht="21" customHeight="1" spans="12:168" x14ac:dyDescent="0.25">
      <c r="L89" s="2292">
        <v>2017</v>
      </c>
      <c r="M89" s="2293"/>
      <c r="N89" s="261"/>
      <c r="O89" s="446"/>
      <c r="P89" s="446"/>
      <c r="Q89" s="446"/>
      <c r="R89" s="446"/>
      <c r="S89" s="446"/>
      <c r="T89" s="446"/>
      <c r="U89" s="2294"/>
      <c r="V89" s="2295"/>
      <c r="Y89" s="2275">
        <v>2015</v>
      </c>
      <c r="Z89" s="2276">
        <v>2683.3306142458177</v>
      </c>
      <c r="AA89" s="2272">
        <v>76.58754912579</v>
      </c>
      <c r="AB89" s="773">
        <v>72.323622532452</v>
      </c>
      <c r="BB89" s="268"/>
      <c r="BC89" s="268">
        <f t="shared" si="30"/>
        <v>80.3289411999193</v>
      </c>
      <c r="BD89" s="2259">
        <v>2018</v>
      </c>
      <c r="BE89" s="903"/>
      <c r="BF89" s="1742">
        <f>СЧЁТ!CB29</f>
        <v>78.86463585351076</v>
      </c>
      <c r="BR89" s="2279"/>
      <c r="BS89" s="2296"/>
      <c r="BT89" s="2296"/>
      <c r="BU89" s="2279"/>
      <c r="BV89" s="2259">
        <v>2018</v>
      </c>
      <c r="BW89" s="903"/>
      <c r="BX89" s="1742">
        <f>СЧЁТ!CC29</f>
        <v>0.6379567051775759</v>
      </c>
      <c r="BZ89" s="2287"/>
      <c r="CA89" s="2291"/>
      <c r="CB89" s="2291"/>
      <c r="CC89" s="2279"/>
      <c r="CD89" s="2279"/>
      <c r="CE89" s="2280"/>
      <c r="CF89" s="2280"/>
      <c r="CG89" s="2285"/>
      <c r="CH89" s="2290"/>
      <c r="CI89" s="2290"/>
      <c r="CJ89" s="2280"/>
      <c r="CK89" s="2280"/>
      <c r="CN89" s="268">
        <f t="shared" si="31"/>
        <v>0.6542718574519586</v>
      </c>
      <c r="CO89" s="2103">
        <v>2016</v>
      </c>
      <c r="CP89" s="2201"/>
      <c r="CQ89" s="2201"/>
      <c r="CR89" s="2201"/>
      <c r="DI89" s="559">
        <v>2016</v>
      </c>
      <c r="DJ89" s="2202">
        <v>86014</v>
      </c>
      <c r="DK89" s="2202">
        <v>45317.05</v>
      </c>
      <c r="DL89" s="2202" t="e">
        <v>#REF!</v>
      </c>
      <c r="DM89" s="2202">
        <v>14748.8</v>
      </c>
      <c r="ED89" s="559">
        <v>2016</v>
      </c>
      <c r="EE89" s="1239">
        <v>27.019844336572895</v>
      </c>
      <c r="EF89" s="1239">
        <f>EE89</f>
        <v>27.019844336572895</v>
      </c>
      <c r="EG89" s="75">
        <v>46.796704667591264</v>
      </c>
      <c r="EH89" s="1239">
        <f>EG89</f>
        <v>46.796704667591264</v>
      </c>
      <c r="EI89" s="1742">
        <v>0</v>
      </c>
      <c r="EJ89" s="1742">
        <f>EI89</f>
        <v>0</v>
      </c>
      <c r="EK89" s="1827">
        <v>20.608768148890384</v>
      </c>
      <c r="EL89" s="1742">
        <f>EK89</f>
        <v>20.608768148890384</v>
      </c>
      <c r="FC89" s="1742">
        <f t="shared" si="24"/>
        <v>27.019844336572895</v>
      </c>
      <c r="FD89" s="1742">
        <f t="shared" si="26"/>
        <v>0</v>
      </c>
      <c r="FE89" s="316">
        <f t="shared" si="25"/>
        <v>46.796704667591264</v>
      </c>
      <c r="FI89" s="2103">
        <v>2016</v>
      </c>
      <c r="FJ89" s="2105"/>
      <c r="FK89" s="773"/>
      <c r="FL89" s="1994"/>
    </row>
    <row r="90" ht="20.5" customHeight="1" spans="25:168" x14ac:dyDescent="0.25">
      <c r="Y90" s="2275">
        <v>2016</v>
      </c>
      <c r="Z90" s="2276">
        <v>2688.697275474309</v>
      </c>
      <c r="AA90" s="2272">
        <v>76.636</v>
      </c>
      <c r="AB90" s="773">
        <v>72.393</v>
      </c>
      <c r="BB90" s="268"/>
      <c r="BC90" s="268">
        <f t="shared" si="30"/>
        <v>81.40930700584526</v>
      </c>
      <c r="BD90" s="2259">
        <v>2019</v>
      </c>
      <c r="BE90" s="903"/>
      <c r="BF90" s="1742">
        <f>СЧЁТ!CB30</f>
        <v>79.94097117410924</v>
      </c>
      <c r="BR90" s="2279"/>
      <c r="BS90" s="2296"/>
      <c r="BT90" s="2296"/>
      <c r="BU90" s="2279"/>
      <c r="BV90" s="2259">
        <v>2019</v>
      </c>
      <c r="BW90" s="903"/>
      <c r="BX90" s="1742">
        <f>СЧЁТ!CC30</f>
        <v>0.6383814847938489</v>
      </c>
      <c r="BZ90" s="2287"/>
      <c r="CA90" s="2288"/>
      <c r="CB90" s="2288"/>
      <c r="CC90" s="2279"/>
      <c r="CD90" s="2279"/>
      <c r="CE90" s="2280"/>
      <c r="CF90" s="2280"/>
      <c r="CG90" s="2285"/>
      <c r="CH90" s="2289"/>
      <c r="CI90" s="2290"/>
      <c r="CJ90" s="2280"/>
      <c r="CK90" s="2280"/>
      <c r="CN90" s="268">
        <f t="shared" si="31"/>
        <v>0.6400639995268347</v>
      </c>
      <c r="CO90" s="2103">
        <v>2017</v>
      </c>
      <c r="CP90" s="2201"/>
      <c r="CQ90" s="2201"/>
      <c r="CR90" s="2201"/>
      <c r="DI90" s="559">
        <v>2017</v>
      </c>
      <c r="DJ90" s="2202" t="e">
        <v>#N/A</v>
      </c>
      <c r="DK90" s="2202" t="e">
        <v>#N/A</v>
      </c>
      <c r="DL90" s="607" t="e">
        <v>#REF!</v>
      </c>
      <c r="DM90" s="2202" t="e">
        <v>#N/A</v>
      </c>
      <c r="ED90" s="559">
        <v>2017</v>
      </c>
      <c r="EE90" s="2109"/>
      <c r="EF90" s="1239">
        <f t="shared" ref="EF90:EF103" si="32">EF89+1.42*(EL90-EL89)</f>
        <v>-2.2446064348514483</v>
      </c>
      <c r="EG90" s="75"/>
      <c r="EH90" s="1239">
        <f>2.6121*EL90-5.5855</f>
        <v>-5.5855</v>
      </c>
      <c r="EI90" s="607"/>
      <c r="EJ90" s="1742">
        <f>EJ89+3*(EL90-EL89)</f>
        <v>-61.82630444667115</v>
      </c>
      <c r="EK90" s="2297"/>
      <c r="EL90" s="1742">
        <f>НАСТРОЙКА!DA158</f>
        <v>0</v>
      </c>
      <c r="FC90" s="1742">
        <f t="shared" ref="FC90:FC103" si="33">EF90</f>
        <v>-2.2446064348514483</v>
      </c>
      <c r="FD90" s="1742">
        <f>EJ90</f>
        <v>-61.82630444667115</v>
      </c>
      <c r="FE90" s="316">
        <f>EH90</f>
        <v>-5.5855</v>
      </c>
      <c r="FI90" s="2103">
        <v>2017</v>
      </c>
      <c r="FJ90" s="2105"/>
      <c r="FK90" s="773"/>
      <c r="FL90" s="1994"/>
    </row>
    <row r="91" ht="21" customHeight="1" spans="16:168" x14ac:dyDescent="0.25">
      <c r="P91" s="2298" t="s">
        <v>2012</v>
      </c>
      <c r="Q91" s="2299"/>
      <c r="R91" s="2300"/>
      <c r="S91" s="2301"/>
      <c r="T91" s="2302" t="s">
        <v>2013</v>
      </c>
      <c r="U91" s="2303">
        <f>(Q97-Q93)/(P97-P93)</f>
        <v>0.00557349403806953</v>
      </c>
      <c r="V91" s="2304" t="s">
        <v>2013</v>
      </c>
      <c r="W91" s="2305">
        <v>0.007</v>
      </c>
      <c r="Y91" s="2275">
        <v>2017</v>
      </c>
      <c r="Z91" s="2306"/>
      <c r="AA91" s="20"/>
      <c r="AB91" s="2307"/>
      <c r="BB91" s="268"/>
      <c r="BC91" s="268">
        <f t="shared" si="30"/>
        <v>82.48967281177123</v>
      </c>
      <c r="BD91" s="2259">
        <v>2020</v>
      </c>
      <c r="BE91" s="903"/>
      <c r="BF91" s="1742">
        <f>СЧЁТ!CB31</f>
        <v>80.0193699815814</v>
      </c>
      <c r="BR91" s="2279"/>
      <c r="BS91" s="2296"/>
      <c r="BT91" s="2296"/>
      <c r="BU91" s="2279"/>
      <c r="BV91" s="2259">
        <v>2020</v>
      </c>
      <c r="BW91" s="903"/>
      <c r="BX91" s="1742">
        <f>СЧЁТ!CC31</f>
        <v>0.6297136808012292</v>
      </c>
      <c r="BZ91" s="2287"/>
      <c r="CA91" s="2288"/>
      <c r="CB91" s="2288"/>
      <c r="CC91" s="2279"/>
      <c r="CD91" s="2279"/>
      <c r="CE91" s="2280"/>
      <c r="CF91" s="2280"/>
      <c r="CG91" s="2285"/>
      <c r="CH91" s="2289"/>
      <c r="CI91" s="2290"/>
      <c r="CJ91" s="2280"/>
      <c r="CK91" s="2280"/>
      <c r="CN91" s="268">
        <f t="shared" si="31"/>
        <v>0.6258561416017108</v>
      </c>
      <c r="CO91" s="2103">
        <v>2018</v>
      </c>
      <c r="CP91" s="2201"/>
      <c r="CQ91" s="2201"/>
      <c r="CR91" s="2201"/>
      <c r="DI91" s="559">
        <v>2018</v>
      </c>
      <c r="DJ91" s="2202" t="e">
        <v>#N/A</v>
      </c>
      <c r="DK91" s="576" t="e">
        <v>#N/A</v>
      </c>
      <c r="DL91" s="607" t="e">
        <v>#REF!</v>
      </c>
      <c r="DM91" s="2202" t="e">
        <v>#N/A</v>
      </c>
      <c r="ED91" s="559">
        <v>2018</v>
      </c>
      <c r="EE91" s="2109"/>
      <c r="EF91" s="1239">
        <f t="shared" si="32"/>
        <v>29.029371508305378</v>
      </c>
      <c r="EG91" s="75"/>
      <c r="EH91" s="1239">
        <f t="shared" ref="EH91:EH103" si="34">2.6121*EL91-5.5855</f>
        <v>51.943202665718275</v>
      </c>
      <c r="EI91" s="607"/>
      <c r="EJ91" s="1742">
        <f t="shared" ref="EJ91:EJ103" si="35">EJ90+3*(EL91-EL90)</f>
        <v>4.2454799402798855</v>
      </c>
      <c r="EK91" s="2297"/>
      <c r="EL91" s="1742">
        <f>НАСТРОЙКА!DA159</f>
        <v>22.02392812898368</v>
      </c>
      <c r="FC91" s="1742">
        <f t="shared" si="33"/>
        <v>29.029371508305378</v>
      </c>
      <c r="FD91" s="1742">
        <f t="shared" ref="FD91:FD103" si="36">EJ91</f>
        <v>4.2454799402798855</v>
      </c>
      <c r="FE91" s="316">
        <f t="shared" ref="FE91:FE103" si="37">EH91</f>
        <v>51.943202665718275</v>
      </c>
      <c r="FI91" s="2103">
        <v>2018</v>
      </c>
      <c r="FJ91" s="2105"/>
      <c r="FK91" s="773"/>
      <c r="FL91" s="1994"/>
    </row>
    <row r="92" ht="21" customHeight="1" spans="16:168" x14ac:dyDescent="0.25">
      <c r="P92" t="s">
        <v>293</v>
      </c>
      <c r="Q92" t="s">
        <v>304</v>
      </c>
      <c r="R92" s="2308" t="s">
        <v>2014</v>
      </c>
      <c r="S92" s="1100" t="s">
        <v>2015</v>
      </c>
      <c r="T92" s="2302" t="s">
        <v>2016</v>
      </c>
      <c r="U92" s="2303">
        <f>Q97-U91*P97</f>
        <v>56.19609066635469</v>
      </c>
      <c r="V92" s="2309" t="s">
        <v>2016</v>
      </c>
      <c r="W92" s="2310">
        <f>52.73</f>
        <v>52.73</v>
      </c>
      <c r="Y92" s="2275">
        <v>2018</v>
      </c>
      <c r="Z92" s="2306"/>
      <c r="AA92" s="20"/>
      <c r="AB92" s="2307"/>
      <c r="BB92" s="268"/>
      <c r="BC92" s="268">
        <f t="shared" si="30"/>
        <v>83.5700386176972</v>
      </c>
      <c r="BD92" s="2259">
        <v>2021</v>
      </c>
      <c r="BE92" s="903"/>
      <c r="BF92" s="1742">
        <f>СЧЁТ!CB32</f>
        <v>80.0913817731545</v>
      </c>
      <c r="BR92" s="2279"/>
      <c r="BS92" s="2296"/>
      <c r="BT92" s="2296"/>
      <c r="BU92" s="2279"/>
      <c r="BV92" s="2259">
        <v>2021</v>
      </c>
      <c r="BW92" s="903"/>
      <c r="BX92" s="1742">
        <f>СЧЁТ!CC32</f>
        <v>0.6324024605762723</v>
      </c>
      <c r="BZ92" s="2287"/>
      <c r="CA92" s="2288"/>
      <c r="CB92" s="2288"/>
      <c r="CC92" s="2279"/>
      <c r="CD92" s="2279"/>
      <c r="CE92" s="2280"/>
      <c r="CF92" s="2280"/>
      <c r="CG92" s="2285"/>
      <c r="CH92" s="2289"/>
      <c r="CI92" s="2290"/>
      <c r="CJ92" s="2280"/>
      <c r="CK92" s="187"/>
      <c r="CN92" s="268">
        <f t="shared" si="31"/>
        <v>0.6116482836765869</v>
      </c>
      <c r="CO92" s="2103">
        <v>2019</v>
      </c>
      <c r="CP92" s="2201"/>
      <c r="CQ92" s="2201"/>
      <c r="CR92" s="2201"/>
      <c r="DI92" s="559">
        <v>2019</v>
      </c>
      <c r="DJ92" s="2202" t="e">
        <v>#N/A</v>
      </c>
      <c r="DK92" s="576" t="e">
        <v>#N/A</v>
      </c>
      <c r="DL92" s="607" t="e">
        <v>#REF!</v>
      </c>
      <c r="DM92" s="2202" t="e">
        <v>#N/A</v>
      </c>
      <c r="ED92" s="559">
        <v>2019</v>
      </c>
      <c r="EE92" s="2109"/>
      <c r="EF92" s="1239">
        <f t="shared" si="32"/>
        <v>29.98010043777734</v>
      </c>
      <c r="EG92" s="576"/>
      <c r="EH92" s="1239">
        <f t="shared" si="34"/>
        <v>53.6920752267561</v>
      </c>
      <c r="EI92" s="607"/>
      <c r="EJ92" s="1742">
        <f t="shared" si="35"/>
        <v>6.254062185643193</v>
      </c>
      <c r="EK92" s="2297"/>
      <c r="EL92" s="1742">
        <f>НАСТРОЙКА!DA160</f>
        <v>22.693455544104783</v>
      </c>
      <c r="FC92" s="1742">
        <f t="shared" si="33"/>
        <v>29.98010043777734</v>
      </c>
      <c r="FD92" s="1742">
        <f t="shared" si="36"/>
        <v>6.254062185643193</v>
      </c>
      <c r="FE92" s="316">
        <f t="shared" si="37"/>
        <v>53.6920752267561</v>
      </c>
      <c r="FI92" s="2103">
        <v>2019</v>
      </c>
      <c r="FJ92" s="2105"/>
      <c r="FK92" s="1128"/>
      <c r="FL92" s="1994"/>
    </row>
    <row r="93" ht="20.5" customHeight="1" spans="15:168" x14ac:dyDescent="0.25">
      <c r="O93" s="666">
        <v>2009</v>
      </c>
      <c r="P93" s="2311">
        <f>Q81</f>
        <v>2370.848384045667</v>
      </c>
      <c r="Q93" s="2312">
        <f>S81</f>
        <v>69.41</v>
      </c>
      <c r="R93" s="2313">
        <f>U$91*P93+U$92</f>
        <v>69.41</v>
      </c>
      <c r="S93" s="1359">
        <f>R93-Q93</f>
        <v>0</v>
      </c>
      <c r="V93" s="666">
        <f>0.007*P93+52.73</f>
        <v>69.32593868831967</v>
      </c>
      <c r="W93" s="2314">
        <f>V93-Q93</f>
        <v>-0.08406131168032971</v>
      </c>
      <c r="Y93" s="2275">
        <v>2019</v>
      </c>
      <c r="Z93" s="2306"/>
      <c r="AA93" s="20"/>
      <c r="AB93" s="2307"/>
      <c r="BB93" s="268"/>
      <c r="BC93" s="268">
        <f t="shared" si="30"/>
        <v>84.65040442362316</v>
      </c>
      <c r="BD93" s="2259">
        <v>2022</v>
      </c>
      <c r="BE93" s="903"/>
      <c r="BF93" s="1742">
        <f>СЧЁТ!CB33</f>
        <v>81.91582001025247</v>
      </c>
      <c r="BR93" s="2279"/>
      <c r="BS93" s="2296"/>
      <c r="BT93" s="2296"/>
      <c r="BU93" s="2279"/>
      <c r="BV93" s="2259">
        <v>2022</v>
      </c>
      <c r="BW93" s="903"/>
      <c r="BX93" s="1742">
        <f>СЧЁТ!CC33</f>
        <v>0.6281964264244853</v>
      </c>
      <c r="BZ93" s="2287"/>
      <c r="CA93" s="2288"/>
      <c r="CB93" s="2288"/>
      <c r="CC93" s="2279"/>
      <c r="CD93" s="2279"/>
      <c r="CE93" s="2280"/>
      <c r="CF93" s="2280"/>
      <c r="CG93" s="2285"/>
      <c r="CH93" s="2289"/>
      <c r="CI93" s="2290"/>
      <c r="CJ93" s="2280"/>
      <c r="CN93" s="268">
        <f t="shared" si="31"/>
        <v>0.597440425751463</v>
      </c>
      <c r="CO93" s="2103">
        <v>2020</v>
      </c>
      <c r="CP93" s="2105"/>
      <c r="CQ93" s="1994"/>
      <c r="CR93" s="2201"/>
      <c r="DI93" s="559">
        <v>2020</v>
      </c>
      <c r="DJ93" s="2109" t="e">
        <v>#N/A</v>
      </c>
      <c r="DK93" s="576" t="e">
        <v>#N/A</v>
      </c>
      <c r="DL93" s="607" t="e">
        <v>#REF!</v>
      </c>
      <c r="DM93" s="607" t="e">
        <v>#N/A</v>
      </c>
      <c r="ED93" s="559">
        <v>2020</v>
      </c>
      <c r="EE93" s="2109"/>
      <c r="EF93" s="1239">
        <f t="shared" si="32"/>
        <v>31.56233354522341</v>
      </c>
      <c r="EG93" s="576"/>
      <c r="EH93" s="1239">
        <f t="shared" si="34"/>
        <v>56.60260417038981</v>
      </c>
      <c r="EI93" s="607"/>
      <c r="EJ93" s="1742">
        <f t="shared" si="35"/>
        <v>9.596808187289817</v>
      </c>
      <c r="EK93" s="2297"/>
      <c r="EL93" s="1742">
        <f>НАСТРОЙКА!DA161</f>
        <v>23.807704211320324</v>
      </c>
      <c r="FC93" s="1742">
        <f t="shared" si="33"/>
        <v>31.56233354522341</v>
      </c>
      <c r="FD93" s="1742">
        <f t="shared" si="36"/>
        <v>9.596808187289817</v>
      </c>
      <c r="FE93" s="316">
        <f t="shared" si="37"/>
        <v>56.60260417038981</v>
      </c>
      <c r="FI93" s="2103">
        <v>2020</v>
      </c>
      <c r="FJ93" s="2105"/>
      <c r="FK93" s="1128"/>
      <c r="FL93" s="1994"/>
    </row>
    <row r="94" ht="20.5" customHeight="1" spans="15:168" x14ac:dyDescent="0.25">
      <c r="O94" s="2032">
        <v>2010</v>
      </c>
      <c r="P94" s="2315">
        <f>Q82</f>
        <v>2477.5365613277218</v>
      </c>
      <c r="Q94" s="2316">
        <f>S82</f>
        <v>69.93370846147305</v>
      </c>
      <c r="R94" s="2313">
        <f>U$91*P94+U$92</f>
        <v>70.00462592001404</v>
      </c>
      <c r="S94" s="1359">
        <f>R94-Q94</f>
        <v>0.07091745854098974</v>
      </c>
      <c r="V94" s="2032">
        <f>0.007*P94+52.73</f>
        <v>70.07275592929405</v>
      </c>
      <c r="W94" s="2317">
        <f>V94-Q94</f>
        <v>0.1390474678210012</v>
      </c>
      <c r="Y94" s="176">
        <v>2020</v>
      </c>
      <c r="Z94" s="2318"/>
      <c r="AA94" s="82"/>
      <c r="AB94" s="2319"/>
      <c r="BB94" s="123"/>
      <c r="BC94" s="268">
        <f t="shared" si="30"/>
        <v>85.73077022954912</v>
      </c>
      <c r="BD94" s="2259">
        <v>2023</v>
      </c>
      <c r="BE94" s="903"/>
      <c r="BF94" s="1742">
        <f>СЧЁТ!CB34</f>
        <v>82.89689973122265</v>
      </c>
      <c r="BR94" s="2279"/>
      <c r="BS94" s="2296"/>
      <c r="BT94" s="2296"/>
      <c r="BU94" s="2279"/>
      <c r="BV94" s="2259">
        <v>2023</v>
      </c>
      <c r="BW94" s="903"/>
      <c r="BX94" s="1742">
        <f>СЧЁТ!CC34</f>
        <v>0.6226811324471899</v>
      </c>
      <c r="BZ94" s="2287"/>
      <c r="CA94" s="2288"/>
      <c r="CB94" s="2288"/>
      <c r="CC94" s="2279"/>
      <c r="CD94" s="2279"/>
      <c r="CE94" s="2280"/>
      <c r="CF94" s="2280"/>
      <c r="CG94" s="2285"/>
      <c r="CH94" s="2289"/>
      <c r="CI94" s="2290"/>
      <c r="CJ94" s="2280"/>
      <c r="CK94" s="187"/>
      <c r="CN94" s="268">
        <f t="shared" si="31"/>
        <v>0.583232567826339</v>
      </c>
      <c r="CO94" s="2103">
        <v>2021</v>
      </c>
      <c r="CP94" s="2105"/>
      <c r="CQ94" s="1994"/>
      <c r="CR94" s="2201"/>
      <c r="DI94" s="559">
        <v>2021</v>
      </c>
      <c r="DJ94" s="2109"/>
      <c r="DK94" s="576"/>
      <c r="DL94" s="607"/>
      <c r="DM94" s="607"/>
      <c r="ED94" s="559">
        <v>2021</v>
      </c>
      <c r="EE94" s="2109"/>
      <c r="EF94" s="1239">
        <f t="shared" si="32"/>
        <v>33.252680544227154</v>
      </c>
      <c r="EG94" s="576"/>
      <c r="EH94" s="1239">
        <f t="shared" si="34"/>
        <v>59.712009378909315</v>
      </c>
      <c r="EI94" s="607"/>
      <c r="EJ94" s="1742">
        <f t="shared" si="35"/>
        <v>13.167963818987868</v>
      </c>
      <c r="EK94" s="2297"/>
      <c r="EL94" s="1742">
        <f>НАСТРОЙКА!DA162</f>
        <v>24.99808942188634</v>
      </c>
      <c r="FC94" s="1742">
        <f t="shared" si="33"/>
        <v>33.252680544227154</v>
      </c>
      <c r="FD94" s="1742">
        <f t="shared" si="36"/>
        <v>13.167963818987868</v>
      </c>
      <c r="FE94" s="316">
        <f t="shared" si="37"/>
        <v>59.712009378909315</v>
      </c>
      <c r="FI94" s="2103">
        <v>2021</v>
      </c>
      <c r="FJ94" s="2105"/>
      <c r="FK94" s="1128"/>
      <c r="FL94" s="1994"/>
    </row>
    <row r="95" ht="20.5" customHeight="1" spans="15:168" x14ac:dyDescent="0.25">
      <c r="O95" s="2032">
        <v>2011</v>
      </c>
      <c r="P95" s="2315">
        <f>Q83</f>
        <v>2584.0706334648135</v>
      </c>
      <c r="Q95" s="2316">
        <f>S83</f>
        <v>70.85661311334043</v>
      </c>
      <c r="R95" s="2313">
        <f>U$91*P95+U$92</f>
        <v>70.59839293592138</v>
      </c>
      <c r="S95" s="1359">
        <f>R95-Q95</f>
        <v>-0.258220177419048</v>
      </c>
      <c r="V95" s="2032">
        <f>0.007*P95+52.73</f>
        <v>70.8184944342537</v>
      </c>
      <c r="W95" s="2317">
        <f>V95-Q95</f>
        <v>-0.03811867908673605</v>
      </c>
      <c r="BB95" s="123"/>
      <c r="BC95" s="268">
        <f t="shared" si="30"/>
        <v>86.81113603547509</v>
      </c>
      <c r="BD95" s="2259">
        <v>2024</v>
      </c>
      <c r="BE95" s="903"/>
      <c r="BF95" s="1742">
        <f>СЧЁТ!CB35</f>
        <v>83.89855076436079</v>
      </c>
      <c r="BR95" s="2279"/>
      <c r="BS95" s="2296"/>
      <c r="BT95" s="2296"/>
      <c r="BU95" s="2279"/>
      <c r="BV95" s="2259">
        <v>2024</v>
      </c>
      <c r="BW95" s="903"/>
      <c r="BX95" s="1742">
        <f>СЧЁТ!CC35</f>
        <v>0.6164947311910577</v>
      </c>
      <c r="BZ95" s="2287"/>
      <c r="CA95" s="2288"/>
      <c r="CB95" s="2288"/>
      <c r="CC95" s="2279"/>
      <c r="CD95" s="2279"/>
      <c r="CE95" s="2280"/>
      <c r="CF95" s="2280"/>
      <c r="CG95" s="2285"/>
      <c r="CH95" s="2289"/>
      <c r="CI95" s="2290"/>
      <c r="CJ95" s="2280"/>
      <c r="CK95" s="187"/>
      <c r="CO95" s="2103">
        <v>2022</v>
      </c>
      <c r="CP95" s="2105"/>
      <c r="CQ95" s="1994"/>
      <c r="CR95" s="2201"/>
      <c r="DI95" s="559">
        <v>2022</v>
      </c>
      <c r="DJ95" s="2109"/>
      <c r="DK95" s="576"/>
      <c r="DL95" s="607"/>
      <c r="DM95" s="607"/>
      <c r="ED95" s="559">
        <v>2022</v>
      </c>
      <c r="EE95" s="2109"/>
      <c r="EF95" s="1239">
        <f t="shared" si="32"/>
        <v>35.02754489318109</v>
      </c>
      <c r="EG95" s="576"/>
      <c r="EH95" s="1239">
        <f t="shared" si="34"/>
        <v>62.97688484785478</v>
      </c>
      <c r="EI95" s="607"/>
      <c r="EJ95" s="1742">
        <f t="shared" si="35"/>
        <v>16.917677232270822</v>
      </c>
      <c r="EK95" s="2297"/>
      <c r="EL95" s="1742">
        <f>НАСТРОЙКА!DA163</f>
        <v>26.24799389298066</v>
      </c>
      <c r="FC95" s="1742">
        <f t="shared" si="33"/>
        <v>35.02754489318109</v>
      </c>
      <c r="FD95" s="1742">
        <f t="shared" si="36"/>
        <v>16.917677232270822</v>
      </c>
      <c r="FE95" s="316">
        <f t="shared" si="37"/>
        <v>62.97688484785478</v>
      </c>
      <c r="FI95" s="2103">
        <v>2022</v>
      </c>
      <c r="FJ95" s="2105"/>
      <c r="FK95" s="1128"/>
      <c r="FL95" s="1994"/>
    </row>
    <row r="96" ht="20.5" customHeight="1" spans="15:168" x14ac:dyDescent="0.25">
      <c r="O96" s="2032">
        <v>2012</v>
      </c>
      <c r="P96" s="2315">
        <f>Q84</f>
        <v>2678.541712402734</v>
      </c>
      <c r="Q96" s="2316">
        <f>S84</f>
        <v>71.54541586357954</v>
      </c>
      <c r="R96" s="2313">
        <f>U$91*P96+U$92</f>
        <v>71.12492693115188</v>
      </c>
      <c r="S96" s="1359">
        <f>R96-Q96</f>
        <v>-0.4204889324276593</v>
      </c>
      <c r="V96" s="2032">
        <f>0.007*P96+52.73</f>
        <v>71.47979198681914</v>
      </c>
      <c r="W96" s="2317">
        <f>V96-Q96</f>
        <v>-0.06562387676039805</v>
      </c>
      <c r="Z96" s="2320" t="s">
        <v>816</v>
      </c>
      <c r="AA96" s="1355"/>
      <c r="AB96" s="2320" t="s">
        <v>815</v>
      </c>
      <c r="AE96" s="2321" t="s">
        <v>2017</v>
      </c>
      <c r="AF96" s="2320"/>
      <c r="AH96" s="2321" t="s">
        <v>2018</v>
      </c>
      <c r="AI96" s="2320" t="s">
        <v>2019</v>
      </c>
      <c r="BB96" s="123"/>
      <c r="BC96" s="268">
        <f t="shared" si="30"/>
        <v>87.89150184140105</v>
      </c>
      <c r="BD96" s="2259">
        <v>2025</v>
      </c>
      <c r="BE96" s="2134"/>
      <c r="BF96" s="1742">
        <f>СЧЁТ!CB36</f>
        <v>84.91977961666092</v>
      </c>
      <c r="BR96" s="2279"/>
      <c r="BS96" s="2296"/>
      <c r="BT96" s="2296"/>
      <c r="BU96" s="2279"/>
      <c r="BV96" s="2259">
        <v>2025</v>
      </c>
      <c r="BW96" s="2134"/>
      <c r="BX96" s="1742">
        <f>СЧЁТ!CC36</f>
        <v>0.6100750717867982</v>
      </c>
      <c r="BZ96" s="2287"/>
      <c r="CA96" s="2288"/>
      <c r="CB96" s="2288"/>
      <c r="CC96" s="2279"/>
      <c r="CD96" s="2279"/>
      <c r="CE96" s="2280"/>
      <c r="CF96" s="2280"/>
      <c r="CG96" s="2285"/>
      <c r="CH96" s="2289"/>
      <c r="CI96" s="2290"/>
      <c r="CJ96" s="2280"/>
      <c r="CK96" s="187"/>
      <c r="CO96" s="2103">
        <v>2023</v>
      </c>
      <c r="CP96" s="2105"/>
      <c r="CQ96" s="1994"/>
      <c r="CR96" s="2201"/>
      <c r="DI96" s="559">
        <v>2023</v>
      </c>
      <c r="DJ96" s="2109"/>
      <c r="DK96" s="576"/>
      <c r="DL96" s="607"/>
      <c r="DM96" s="607"/>
      <c r="ED96" s="559">
        <v>2023</v>
      </c>
      <c r="EE96" s="2109"/>
      <c r="EF96" s="1239">
        <f t="shared" si="32"/>
        <v>36.89115245958271</v>
      </c>
      <c r="EG96" s="576"/>
      <c r="EH96" s="1239">
        <f t="shared" si="34"/>
        <v>66.40500409024752</v>
      </c>
      <c r="EI96" s="607"/>
      <c r="EJ96" s="1742">
        <f t="shared" si="35"/>
        <v>20.854876316217926</v>
      </c>
      <c r="EK96" s="2297"/>
      <c r="EL96" s="1742">
        <f>НАСТРОЙКА!DA164</f>
        <v>27.560393587629694</v>
      </c>
      <c r="FC96" s="1742">
        <f t="shared" si="33"/>
        <v>36.89115245958271</v>
      </c>
      <c r="FD96" s="1742">
        <f t="shared" si="36"/>
        <v>20.854876316217926</v>
      </c>
      <c r="FE96" s="316">
        <f t="shared" si="37"/>
        <v>66.40500409024752</v>
      </c>
      <c r="FI96" s="2103">
        <v>2023</v>
      </c>
      <c r="FJ96" s="2105"/>
      <c r="FK96" s="1128"/>
      <c r="FL96" s="1994"/>
    </row>
    <row r="97" ht="21.5" customHeight="1" spans="15:168" x14ac:dyDescent="0.25">
      <c r="O97" s="1752">
        <v>2013</v>
      </c>
      <c r="P97" s="2322">
        <f>Q85</f>
        <v>2726.3631774238834</v>
      </c>
      <c r="Q97" s="2323">
        <f>S85</f>
        <v>71.391459581339</v>
      </c>
      <c r="R97" s="2313">
        <f>U$91*P97+U$92</f>
        <v>71.391459581339</v>
      </c>
      <c r="S97" s="1359">
        <f>R97-Q97</f>
        <v>0</v>
      </c>
      <c r="V97" s="1752">
        <f>0.007*P97+52.73</f>
        <v>71.81454224196719</v>
      </c>
      <c r="W97" s="2324">
        <f>V97-Q97</f>
        <v>0.42308266062818234</v>
      </c>
      <c r="Z97" s="682" t="s">
        <v>2020</v>
      </c>
      <c r="AA97" s="2325"/>
      <c r="AB97" s="685"/>
      <c r="AE97" s="2326" t="s">
        <v>973</v>
      </c>
      <c r="AF97" s="2327" t="s">
        <v>2021</v>
      </c>
      <c r="AH97" s="2326" t="s">
        <v>973</v>
      </c>
      <c r="AI97" s="2327" t="s">
        <v>2022</v>
      </c>
      <c r="BB97" s="123"/>
      <c r="BC97" s="268">
        <f t="shared" si="30"/>
        <v>88.97186764732702</v>
      </c>
      <c r="BD97" s="2259">
        <v>2026</v>
      </c>
      <c r="BE97" s="2134"/>
      <c r="BF97" s="1742">
        <f>СЧЁТ!CB37</f>
        <v>85.9595949391839</v>
      </c>
      <c r="BR97" s="2279"/>
      <c r="BS97" s="2296"/>
      <c r="BT97" s="2296"/>
      <c r="BU97" s="2279"/>
      <c r="BV97" s="2259">
        <v>2026</v>
      </c>
      <c r="BW97" s="2134"/>
      <c r="BX97" s="1742">
        <f>СЧЁТ!CC37</f>
        <v>0.603656387780898</v>
      </c>
      <c r="BZ97" s="2287"/>
      <c r="CA97" s="2288"/>
      <c r="CB97" s="2288"/>
      <c r="CC97" s="2279"/>
      <c r="CD97" s="2279"/>
      <c r="CE97" s="2280"/>
      <c r="CF97" s="2280"/>
      <c r="CG97" s="2285"/>
      <c r="CH97" s="2289"/>
      <c r="CI97" s="2290"/>
      <c r="CJ97" s="2280"/>
      <c r="CK97" s="187"/>
      <c r="CO97" s="2103">
        <v>2024</v>
      </c>
      <c r="CP97" s="2105"/>
      <c r="CQ97" s="1994"/>
      <c r="CR97" s="2201"/>
      <c r="DI97" s="559">
        <v>2024</v>
      </c>
      <c r="DJ97" s="2109"/>
      <c r="DK97" s="576"/>
      <c r="DL97" s="607"/>
      <c r="DM97" s="607"/>
      <c r="ED97" s="559">
        <v>2024</v>
      </c>
      <c r="EE97" s="2109"/>
      <c r="EF97" s="1239">
        <f t="shared" si="32"/>
        <v>38.847940404304424</v>
      </c>
      <c r="EG97" s="576"/>
      <c r="EH97" s="1239">
        <f t="shared" si="34"/>
        <v>70.0045292947599</v>
      </c>
      <c r="EI97" s="607"/>
      <c r="EJ97" s="1742">
        <f t="shared" si="35"/>
        <v>24.98893535436238</v>
      </c>
      <c r="EK97" s="2297"/>
      <c r="EL97" s="1742">
        <f>НАСТРОЙКА!DA165</f>
        <v>28.938413267011178</v>
      </c>
      <c r="FC97" s="1742">
        <f t="shared" si="33"/>
        <v>38.847940404304424</v>
      </c>
      <c r="FD97" s="1742">
        <f t="shared" si="36"/>
        <v>24.98893535436238</v>
      </c>
      <c r="FE97" s="316">
        <f t="shared" si="37"/>
        <v>70.0045292947599</v>
      </c>
      <c r="FI97" s="2103">
        <v>2024</v>
      </c>
      <c r="FJ97" s="2105"/>
      <c r="FK97" s="1128"/>
      <c r="FL97" s="1994"/>
    </row>
    <row r="98" ht="20.5" customHeight="1" spans="26:168" x14ac:dyDescent="0.25">
      <c r="Z98" s="682" t="s">
        <v>2023</v>
      </c>
      <c r="AA98" s="636"/>
      <c r="AB98" s="685"/>
      <c r="AE98" s="2328">
        <f t="shared" ref="AE98:AE104" si="38">AH98</f>
        <v>1827.405801799011</v>
      </c>
      <c r="AF98" s="2329">
        <f t="shared" ref="AF98:AF108" si="39">AI98-4</f>
        <v>68.27</v>
      </c>
      <c r="AH98" s="2330">
        <v>1827.405801799011</v>
      </c>
      <c r="AI98" s="2329">
        <v>72.27</v>
      </c>
      <c r="BB98" s="123"/>
      <c r="BC98" s="268">
        <f t="shared" si="30"/>
        <v>90.05223345325298</v>
      </c>
      <c r="BD98" s="2259">
        <v>2027</v>
      </c>
      <c r="BE98" s="2134"/>
      <c r="BF98" s="1742">
        <f>СЧЁТ!CB38</f>
        <v>87.01700617028455</v>
      </c>
      <c r="BR98" s="2279"/>
      <c r="BS98" s="2296"/>
      <c r="BT98" s="2296"/>
      <c r="BU98" s="2279"/>
      <c r="BV98" s="2259">
        <v>2027</v>
      </c>
      <c r="BW98" s="2134"/>
      <c r="BX98" s="1742">
        <f>СЧЁТ!CC38</f>
        <v>0.597383262909517</v>
      </c>
      <c r="BZ98" s="2287"/>
      <c r="CA98" s="2288"/>
      <c r="CB98" s="2288"/>
      <c r="CC98" s="2279"/>
      <c r="CD98" s="2279"/>
      <c r="CE98" s="2280"/>
      <c r="CF98" s="2280"/>
      <c r="CG98" s="2285"/>
      <c r="CH98" s="2289"/>
      <c r="CI98" s="2290"/>
      <c r="CJ98" s="2280"/>
      <c r="CK98" s="187"/>
      <c r="CO98" s="2103">
        <v>2025</v>
      </c>
      <c r="CP98" s="2105"/>
      <c r="CQ98" s="1994"/>
      <c r="CR98" s="2201"/>
      <c r="DI98" s="559">
        <v>2025</v>
      </c>
      <c r="DJ98" s="2109"/>
      <c r="DK98" s="576"/>
      <c r="DL98" s="607"/>
      <c r="DM98" s="607"/>
      <c r="ED98" s="559">
        <v>2025</v>
      </c>
      <c r="EE98" s="2109"/>
      <c r="EF98" s="1239">
        <f t="shared" si="32"/>
        <v>40.90256774626222</v>
      </c>
      <c r="EG98" s="576"/>
      <c r="EH98" s="1239">
        <f t="shared" si="34"/>
        <v>73.7840307594979</v>
      </c>
      <c r="EI98" s="607"/>
      <c r="EJ98" s="1742">
        <f t="shared" si="35"/>
        <v>29.32969734441406</v>
      </c>
      <c r="EK98" s="2297"/>
      <c r="EL98" s="1742">
        <f>НАСТРОЙКА!DA166</f>
        <v>30.38533393036174</v>
      </c>
      <c r="FC98" s="1742">
        <f t="shared" si="33"/>
        <v>40.90256774626222</v>
      </c>
      <c r="FD98" s="1742">
        <f t="shared" si="36"/>
        <v>29.32969734441406</v>
      </c>
      <c r="FE98" s="316">
        <f t="shared" si="37"/>
        <v>73.7840307594979</v>
      </c>
      <c r="FI98" s="2103">
        <v>2025</v>
      </c>
      <c r="FJ98" s="2105"/>
      <c r="FK98" s="1128"/>
      <c r="FL98" s="1994"/>
    </row>
    <row r="99" ht="20.5" customHeight="1" spans="26:168" x14ac:dyDescent="0.25">
      <c r="Z99" s="2032"/>
      <c r="AA99" s="2331" t="s">
        <v>973</v>
      </c>
      <c r="AB99" s="2327" t="s">
        <v>2021</v>
      </c>
      <c r="AE99" s="2328">
        <f t="shared" si="38"/>
        <v>1958.97901952854</v>
      </c>
      <c r="AF99" s="2329">
        <f t="shared" si="39"/>
        <v>69</v>
      </c>
      <c r="AH99" s="2330">
        <v>1958.97901952854</v>
      </c>
      <c r="AI99" s="2329">
        <v>73</v>
      </c>
      <c r="BB99" s="123"/>
      <c r="BC99" s="268">
        <f t="shared" si="30"/>
        <v>91.13259925917895</v>
      </c>
      <c r="BD99" s="2259">
        <v>2028</v>
      </c>
      <c r="BE99" s="2134"/>
      <c r="BF99" s="1742">
        <f>СЧЁТ!CB39</f>
        <v>88.09102250992701</v>
      </c>
      <c r="BR99" s="2279"/>
      <c r="BS99" s="2296"/>
      <c r="BT99" s="2296"/>
      <c r="BU99" s="2279"/>
      <c r="BV99" s="2259">
        <v>2028</v>
      </c>
      <c r="BW99" s="2134"/>
      <c r="BX99" s="1742">
        <f>СЧЁТ!CC39</f>
        <v>0.591345710103804</v>
      </c>
      <c r="BZ99" s="2287"/>
      <c r="CA99" s="2288"/>
      <c r="CB99" s="2288"/>
      <c r="CC99" s="2279"/>
      <c r="CD99" s="2279"/>
      <c r="CE99" s="2280"/>
      <c r="CF99" s="2280"/>
      <c r="CG99" s="2285"/>
      <c r="CH99" s="2289"/>
      <c r="CI99" s="2290"/>
      <c r="CJ99" s="2280"/>
      <c r="CK99" s="2280"/>
      <c r="CO99" s="2103">
        <v>2026</v>
      </c>
      <c r="CP99" s="2105"/>
      <c r="CQ99" s="1994"/>
      <c r="CR99" s="1128"/>
      <c r="DI99" s="559">
        <v>2026</v>
      </c>
      <c r="DJ99" s="2109"/>
      <c r="DK99" s="576"/>
      <c r="DL99" s="607"/>
      <c r="DM99" s="607"/>
      <c r="ED99" s="559">
        <v>2026</v>
      </c>
      <c r="EE99" s="2109"/>
      <c r="EF99" s="1239">
        <f t="shared" si="32"/>
        <v>43.05992645531791</v>
      </c>
      <c r="EG99" s="576"/>
      <c r="EH99" s="1239">
        <f t="shared" si="34"/>
        <v>77.75250729747279</v>
      </c>
      <c r="EI99" s="607"/>
      <c r="EJ99" s="1742">
        <f t="shared" si="35"/>
        <v>33.88749743396832</v>
      </c>
      <c r="EK99" s="2297"/>
      <c r="EL99" s="1742">
        <f>НАСТРОЙКА!DA167</f>
        <v>31.904600626879827</v>
      </c>
      <c r="FC99" s="1742">
        <f t="shared" si="33"/>
        <v>43.05992645531791</v>
      </c>
      <c r="FD99" s="1742">
        <f t="shared" si="36"/>
        <v>33.88749743396832</v>
      </c>
      <c r="FE99" s="316">
        <f t="shared" si="37"/>
        <v>77.75250729747279</v>
      </c>
      <c r="FI99" s="2103">
        <v>2026</v>
      </c>
      <c r="FJ99" s="2105"/>
      <c r="FK99" s="1128"/>
      <c r="FL99" s="1994"/>
    </row>
    <row r="100" ht="20.5" customHeight="1" spans="26:168" x14ac:dyDescent="0.25">
      <c r="Z100" s="2332">
        <f>AB100+1.1</f>
        <v>64.272</v>
      </c>
      <c r="AA100" s="2333">
        <v>1200</v>
      </c>
      <c r="AB100" s="2334">
        <f>0.0055*AA100+56.572</f>
        <v>63.172000000000004</v>
      </c>
      <c r="AE100" s="2328">
        <f t="shared" si="38"/>
        <v>2084.3536767783667</v>
      </c>
      <c r="AF100" s="2329">
        <f t="shared" si="39"/>
        <v>69.581</v>
      </c>
      <c r="AH100" s="2330">
        <v>2084.3536767783667</v>
      </c>
      <c r="AI100" s="2329">
        <f>T77</f>
        <v>73.581</v>
      </c>
      <c r="BB100" s="123"/>
      <c r="BC100" s="268">
        <f t="shared" si="30"/>
        <v>92.21296506510491</v>
      </c>
      <c r="BD100" s="2259">
        <v>2029</v>
      </c>
      <c r="BE100" s="2134"/>
      <c r="BF100" s="1742">
        <f>СЧЁТ!CB40</f>
        <v>89.18065218920745</v>
      </c>
      <c r="BR100" s="2279"/>
      <c r="BS100" s="2296"/>
      <c r="BT100" s="2296"/>
      <c r="BU100" s="2279"/>
      <c r="BV100" s="2259">
        <v>2029</v>
      </c>
      <c r="BW100" s="2134"/>
      <c r="BX100" s="1742">
        <f>СЧЁТ!CC40</f>
        <v>0.5856002424023217</v>
      </c>
      <c r="BZ100" s="2287"/>
      <c r="CA100" s="2288"/>
      <c r="CB100" s="2288"/>
      <c r="CC100" s="2279"/>
      <c r="CD100" s="2279"/>
      <c r="CE100" s="2280"/>
      <c r="CF100" s="2280"/>
      <c r="CG100" s="2285"/>
      <c r="CH100" s="2289"/>
      <c r="CI100" s="2290"/>
      <c r="CJ100" s="2280"/>
      <c r="CK100" s="2280"/>
      <c r="CO100" s="2103">
        <v>2027</v>
      </c>
      <c r="CP100" s="2105"/>
      <c r="CQ100" s="1994"/>
      <c r="CR100" s="1128"/>
      <c r="DI100" s="559">
        <v>2027</v>
      </c>
      <c r="DJ100" s="2109"/>
      <c r="DK100" s="576"/>
      <c r="DL100" s="607"/>
      <c r="DM100" s="607"/>
      <c r="ED100" s="559">
        <v>2027</v>
      </c>
      <c r="EE100" s="2109"/>
      <c r="EF100" s="1239">
        <f t="shared" si="32"/>
        <v>45.32515309982638</v>
      </c>
      <c r="EG100" s="576"/>
      <c r="EH100" s="1239">
        <f t="shared" si="34"/>
        <v>81.91940766234644</v>
      </c>
      <c r="EI100" s="607"/>
      <c r="EJ100" s="1742">
        <f t="shared" si="35"/>
        <v>38.673187528000305</v>
      </c>
      <c r="EK100" s="2297"/>
      <c r="EL100" s="1742">
        <f>НАСТРОЙКА!DA168</f>
        <v>33.49983065822382</v>
      </c>
      <c r="FC100" s="1742">
        <f t="shared" si="33"/>
        <v>45.32515309982638</v>
      </c>
      <c r="FD100" s="1742">
        <f t="shared" si="36"/>
        <v>38.673187528000305</v>
      </c>
      <c r="FE100" s="316">
        <f t="shared" si="37"/>
        <v>81.91940766234644</v>
      </c>
      <c r="FI100" s="2103">
        <v>2027</v>
      </c>
      <c r="FJ100" s="2105"/>
      <c r="FK100" s="1128"/>
      <c r="FL100" s="1994"/>
    </row>
    <row r="101" ht="20.5" customHeight="1" spans="26:168" x14ac:dyDescent="0.25">
      <c r="Z101" s="2332">
        <f t="shared" ref="Z101:Z106" si="40">AB101+1.1</f>
        <v>65.922</v>
      </c>
      <c r="AA101" s="2333">
        <v>1500</v>
      </c>
      <c r="AB101" s="2334">
        <f t="shared" ref="AB101:AB106" si="41">0.0055*AA101+56.572</f>
        <v>64.822</v>
      </c>
      <c r="AE101" s="2328">
        <f t="shared" si="38"/>
        <v>2255.270678274193</v>
      </c>
      <c r="AF101" s="2329">
        <f t="shared" si="39"/>
        <v>70.419</v>
      </c>
      <c r="AH101" s="2330">
        <v>2255.270678274193</v>
      </c>
      <c r="AI101" s="2329">
        <f>T78</f>
        <v>74.419</v>
      </c>
      <c r="BB101" s="123"/>
      <c r="BC101" s="268">
        <f t="shared" si="30"/>
        <v>93.29333087103088</v>
      </c>
      <c r="BD101" s="2335">
        <v>2030</v>
      </c>
      <c r="BE101" s="2336"/>
      <c r="BF101" s="1742">
        <f>СЧЁТ!CB41</f>
        <v>90.28490200272066</v>
      </c>
      <c r="BR101" s="2279"/>
      <c r="BS101" s="2296"/>
      <c r="BT101" s="2296"/>
      <c r="BU101" s="2337"/>
      <c r="BV101" s="2335">
        <v>2030</v>
      </c>
      <c r="BW101" s="2336"/>
      <c r="BX101" s="1742">
        <f>СЧЁТ!CC41</f>
        <v>0.5801825912411898</v>
      </c>
      <c r="BZ101" s="2287"/>
      <c r="CA101" s="2288"/>
      <c r="CB101" s="2288"/>
      <c r="CC101" s="2279"/>
      <c r="CD101" s="2279"/>
      <c r="CE101" s="2280"/>
      <c r="CF101" s="2280"/>
      <c r="CG101" s="2285"/>
      <c r="CH101" s="2289"/>
      <c r="CI101" s="2290"/>
      <c r="CJ101" s="2280"/>
      <c r="CK101" s="2280"/>
      <c r="CO101" s="2103">
        <v>2028</v>
      </c>
      <c r="CP101" s="2105"/>
      <c r="CQ101" s="1994"/>
      <c r="CR101" s="1128"/>
      <c r="DI101" s="559">
        <v>2028</v>
      </c>
      <c r="DJ101" s="2109"/>
      <c r="DK101" s="576"/>
      <c r="DL101" s="607"/>
      <c r="DM101" s="607"/>
      <c r="ED101" s="559">
        <v>2028</v>
      </c>
      <c r="EE101" s="2109"/>
      <c r="EF101" s="1239">
        <f t="shared" si="32"/>
        <v>47.703641076560274</v>
      </c>
      <c r="EG101" s="576"/>
      <c r="EH101" s="1239">
        <f t="shared" si="34"/>
        <v>86.29465304546378</v>
      </c>
      <c r="EI101" s="607"/>
      <c r="EJ101" s="1742">
        <f t="shared" si="35"/>
        <v>43.698162126733884</v>
      </c>
      <c r="EK101" s="2297"/>
      <c r="EL101" s="1742">
        <f>НАСТРОЙКА!DA169</f>
        <v>35.174822191135014</v>
      </c>
      <c r="FC101" s="1742">
        <f t="shared" si="33"/>
        <v>47.703641076560274</v>
      </c>
      <c r="FD101" s="1742">
        <f t="shared" si="36"/>
        <v>43.698162126733884</v>
      </c>
      <c r="FE101" s="316">
        <f t="shared" si="37"/>
        <v>86.29465304546378</v>
      </c>
      <c r="FI101" s="2103">
        <v>2028</v>
      </c>
      <c r="FJ101" s="2105"/>
      <c r="FK101" s="1128"/>
      <c r="FL101" s="1994"/>
    </row>
    <row r="102" ht="20.5" customHeight="1" spans="26:168" x14ac:dyDescent="0.25">
      <c r="Z102" s="2332">
        <f t="shared" si="40"/>
        <v>68.672</v>
      </c>
      <c r="AA102" s="2333">
        <v>2000</v>
      </c>
      <c r="AB102" s="2334">
        <f t="shared" si="41"/>
        <v>67.572</v>
      </c>
      <c r="AE102" s="2328">
        <f t="shared" si="38"/>
        <v>2446.9686859274993</v>
      </c>
      <c r="AF102" s="2329">
        <f t="shared" si="39"/>
        <v>71.289</v>
      </c>
      <c r="AH102" s="2330">
        <v>2446.9686859274993</v>
      </c>
      <c r="AI102" s="2329">
        <f>T79</f>
        <v>75.289</v>
      </c>
      <c r="BR102" s="2279"/>
      <c r="BS102" s="2296"/>
      <c r="BT102" s="2296"/>
      <c r="BU102" s="2337"/>
      <c r="BV102" s="24"/>
      <c r="BW102" s="24"/>
      <c r="BX102" s="2279"/>
      <c r="BY102" s="2279"/>
      <c r="BZ102" s="2287"/>
      <c r="CA102" s="2288"/>
      <c r="CB102" s="2288"/>
      <c r="CC102" s="2279"/>
      <c r="CD102" s="2279"/>
      <c r="CE102" s="2280"/>
      <c r="CF102" s="2280"/>
      <c r="CG102" s="2285"/>
      <c r="CH102" s="2289"/>
      <c r="CI102" s="2290"/>
      <c r="CJ102" s="2280"/>
      <c r="CK102" s="2280"/>
      <c r="CO102" s="2103">
        <v>2029</v>
      </c>
      <c r="CP102" s="2105"/>
      <c r="CQ102" s="1994"/>
      <c r="CR102" s="1128"/>
      <c r="DI102" s="559">
        <v>2029</v>
      </c>
      <c r="DJ102" s="2109"/>
      <c r="DK102" s="576"/>
      <c r="DL102" s="607"/>
      <c r="DM102" s="607"/>
      <c r="ED102" s="559">
        <v>2029</v>
      </c>
      <c r="EE102" s="2109"/>
      <c r="EF102" s="1239">
        <f t="shared" si="32"/>
        <v>50.201053452130864</v>
      </c>
      <c r="EG102" s="576"/>
      <c r="EH102" s="1239">
        <f t="shared" si="34"/>
        <v>90.88866069773697</v>
      </c>
      <c r="EI102" s="607"/>
      <c r="EJ102" s="1742">
        <f t="shared" si="35"/>
        <v>48.97438545540414</v>
      </c>
      <c r="EK102" s="2297"/>
      <c r="EL102" s="1742">
        <f>НАСТРОЙКА!DA170</f>
        <v>36.933563300691766</v>
      </c>
      <c r="FC102" s="1742">
        <f t="shared" si="33"/>
        <v>50.201053452130864</v>
      </c>
      <c r="FD102" s="1742">
        <f t="shared" si="36"/>
        <v>48.97438545540414</v>
      </c>
      <c r="FE102" s="316">
        <f t="shared" si="37"/>
        <v>90.88866069773697</v>
      </c>
      <c r="FI102" s="2103">
        <v>2029</v>
      </c>
      <c r="FJ102" s="2105"/>
      <c r="FK102" s="1128"/>
      <c r="FL102" s="1994"/>
    </row>
    <row r="103" ht="21" customHeight="1" spans="26:168" x14ac:dyDescent="0.25">
      <c r="Z103" s="2332">
        <f t="shared" si="40"/>
        <v>71.422</v>
      </c>
      <c r="AA103" s="2333">
        <v>2500</v>
      </c>
      <c r="AB103" s="2334">
        <f t="shared" si="41"/>
        <v>70.322</v>
      </c>
      <c r="AE103" s="2328">
        <f t="shared" si="38"/>
        <v>2574.2110575957295</v>
      </c>
      <c r="AF103" s="2329">
        <f t="shared" si="39"/>
        <v>71.7</v>
      </c>
      <c r="AH103" s="2330">
        <v>2574.2110575957295</v>
      </c>
      <c r="AI103" s="2329">
        <v>75.7</v>
      </c>
      <c r="BR103" s="2279"/>
      <c r="BS103" s="2296"/>
      <c r="BT103" s="2296"/>
      <c r="BU103" s="2279"/>
      <c r="BV103" s="24"/>
      <c r="BW103" s="24"/>
      <c r="BX103" s="779"/>
      <c r="BY103" s="779"/>
      <c r="BZ103" s="2287"/>
      <c r="CA103" s="2288"/>
      <c r="CB103" s="2288"/>
      <c r="CC103" s="779"/>
      <c r="CD103" s="779"/>
      <c r="CE103" s="2280"/>
      <c r="CF103" s="2280"/>
      <c r="CG103" s="2285"/>
      <c r="CH103" s="2289"/>
      <c r="CI103" s="2290"/>
      <c r="CJ103" s="2280"/>
      <c r="CK103" s="2280"/>
      <c r="CO103" s="1952">
        <v>2030</v>
      </c>
      <c r="CP103" s="2142"/>
      <c r="CQ103" s="2056"/>
      <c r="CR103" s="2236"/>
      <c r="DI103" s="960">
        <v>2030</v>
      </c>
      <c r="DJ103" s="616"/>
      <c r="DK103" s="581"/>
      <c r="DL103" s="2166"/>
      <c r="DM103" s="2166"/>
      <c r="ED103" s="960">
        <v>2030</v>
      </c>
      <c r="EE103" s="616"/>
      <c r="EF103" s="1251">
        <f t="shared" si="32"/>
        <v>68.03759374939501</v>
      </c>
      <c r="EG103" s="581"/>
      <c r="EH103" s="1251">
        <f t="shared" si="34"/>
        <v>123.69910218399306</v>
      </c>
      <c r="EI103" s="2166"/>
      <c r="EJ103" s="1779">
        <f t="shared" si="35"/>
        <v>86.65721706934248</v>
      </c>
      <c r="EK103" s="2166"/>
      <c r="EL103" s="1838">
        <f>НАСТРОЙКА!DA176</f>
        <v>49.494507172004546</v>
      </c>
      <c r="FC103" s="1779">
        <f t="shared" si="33"/>
        <v>68.03759374939501</v>
      </c>
      <c r="FD103" s="1779">
        <f t="shared" si="36"/>
        <v>86.65721706934248</v>
      </c>
      <c r="FE103" s="386">
        <f t="shared" si="37"/>
        <v>123.69910218399306</v>
      </c>
      <c r="FI103" s="1952">
        <v>2030</v>
      </c>
      <c r="FJ103" s="2142"/>
      <c r="FK103" s="2236"/>
      <c r="FL103" s="2056"/>
    </row>
    <row r="104" ht="21" customHeight="1" spans="26:89" x14ac:dyDescent="0.25">
      <c r="Z104" s="2332">
        <f t="shared" si="40"/>
        <v>72.3515</v>
      </c>
      <c r="AA104" s="2333">
        <v>2669</v>
      </c>
      <c r="AB104" s="2334">
        <f t="shared" si="41"/>
        <v>71.25150000000001</v>
      </c>
      <c r="AE104" s="2328">
        <f t="shared" si="38"/>
        <v>3000</v>
      </c>
      <c r="AF104" s="2329">
        <f t="shared" si="39"/>
        <v>73.2</v>
      </c>
      <c r="AH104" s="2330">
        <v>3000</v>
      </c>
      <c r="AI104" s="2329">
        <v>77.2</v>
      </c>
      <c r="BR104" s="2279"/>
      <c r="BS104" s="2338"/>
      <c r="BT104" s="2338"/>
      <c r="BU104" s="2279"/>
      <c r="BV104" s="24"/>
      <c r="BW104" s="24"/>
      <c r="BX104" s="779"/>
      <c r="BY104" s="779"/>
      <c r="BZ104" s="2281"/>
      <c r="CA104" s="2290"/>
      <c r="CB104" s="2281"/>
      <c r="CC104" s="779"/>
      <c r="CD104" s="779"/>
      <c r="CE104" s="2280"/>
      <c r="CF104" s="2280"/>
      <c r="CG104" s="2281"/>
      <c r="CH104" s="2281"/>
      <c r="CI104" s="2281"/>
      <c r="CJ104" s="2280"/>
      <c r="CK104" s="2280"/>
    </row>
    <row r="105" ht="21" customHeight="1" spans="26:89" x14ac:dyDescent="0.25">
      <c r="Z105" s="2332">
        <f t="shared" si="40"/>
        <v>74.172</v>
      </c>
      <c r="AA105" s="2333">
        <v>3000</v>
      </c>
      <c r="AB105" s="2334">
        <f t="shared" si="41"/>
        <v>73.072</v>
      </c>
      <c r="AE105" s="2032">
        <v>3100</v>
      </c>
      <c r="AF105" s="2329">
        <f t="shared" si="39"/>
        <v>73.2</v>
      </c>
      <c r="AH105" s="2330">
        <v>3100</v>
      </c>
      <c r="AI105" s="2329">
        <v>77.2</v>
      </c>
      <c r="BR105" s="2279"/>
      <c r="BS105" s="2338"/>
      <c r="BT105" s="2338"/>
      <c r="BU105" s="2279"/>
      <c r="BV105" s="24"/>
      <c r="BW105" s="24"/>
      <c r="BX105" s="779"/>
      <c r="BY105" s="779"/>
      <c r="BZ105" s="2287"/>
      <c r="CA105" s="2288"/>
      <c r="CB105" s="2288"/>
      <c r="CC105" s="779"/>
      <c r="CD105" s="779"/>
      <c r="CE105" s="2280"/>
      <c r="CF105" s="2280"/>
      <c r="CG105" s="2281"/>
      <c r="CH105" s="2281"/>
      <c r="CI105" s="2281"/>
      <c r="CJ105" s="2280"/>
      <c r="CK105" s="2280"/>
    </row>
    <row r="106" ht="21" customHeight="1" spans="26:89" x14ac:dyDescent="0.25">
      <c r="Z106" s="2332">
        <f t="shared" si="40"/>
        <v>75.822</v>
      </c>
      <c r="AA106" s="2339">
        <v>3300</v>
      </c>
      <c r="AB106" s="2334">
        <f t="shared" si="41"/>
        <v>74.72200000000001</v>
      </c>
      <c r="AE106" s="2032">
        <v>3200</v>
      </c>
      <c r="AF106" s="2329">
        <f t="shared" si="39"/>
        <v>73.2</v>
      </c>
      <c r="AH106" s="2330">
        <v>3200</v>
      </c>
      <c r="AI106" s="2329">
        <v>77.2</v>
      </c>
      <c r="BR106" s="2279"/>
      <c r="BS106" s="2338"/>
      <c r="BT106" s="2338"/>
      <c r="BU106" s="2279"/>
      <c r="BV106" s="24"/>
      <c r="BW106" s="24"/>
      <c r="BX106" s="779"/>
      <c r="BY106" s="779"/>
      <c r="BZ106" s="2287"/>
      <c r="CA106" s="2281"/>
      <c r="CB106" s="2281"/>
      <c r="CC106" s="779"/>
      <c r="CD106" s="779"/>
      <c r="CE106" s="2280"/>
      <c r="CF106" s="2280"/>
      <c r="CG106" s="2281"/>
      <c r="CH106" s="2281"/>
      <c r="CI106" s="2281"/>
      <c r="CJ106" s="2280"/>
      <c r="CK106" s="2280"/>
    </row>
    <row r="107" ht="21" customHeight="1" spans="31:89" x14ac:dyDescent="0.25">
      <c r="AE107" s="2032">
        <v>3300</v>
      </c>
      <c r="AF107" s="2329">
        <f t="shared" si="39"/>
        <v>73.2</v>
      </c>
      <c r="AH107" s="2330">
        <v>3300</v>
      </c>
      <c r="AI107" s="2329">
        <v>77.2</v>
      </c>
      <c r="BR107" s="2279"/>
      <c r="BS107" s="2279"/>
      <c r="BT107" s="2279"/>
      <c r="BU107" s="2279"/>
      <c r="BV107" s="24"/>
      <c r="BW107" s="24"/>
      <c r="BX107" s="779"/>
      <c r="BY107" s="779"/>
      <c r="BZ107" s="779"/>
      <c r="CA107" s="779"/>
      <c r="CB107" s="779"/>
      <c r="CC107" s="779"/>
      <c r="CD107" s="779"/>
      <c r="CE107" s="2280"/>
      <c r="CF107" s="2280"/>
      <c r="CG107" s="2280"/>
      <c r="CH107" s="2280"/>
      <c r="CI107" s="2280"/>
      <c r="CJ107" s="2280"/>
      <c r="CK107" s="2280"/>
    </row>
    <row r="108" ht="20.5" customHeight="1" spans="31:89" x14ac:dyDescent="0.25">
      <c r="AE108" s="2340">
        <f>AH108</f>
        <v>3500</v>
      </c>
      <c r="AF108" s="2341">
        <f t="shared" si="39"/>
        <v>73.2</v>
      </c>
      <c r="AH108" s="2342">
        <v>3500</v>
      </c>
      <c r="AI108" s="2329">
        <v>77.2</v>
      </c>
      <c r="BR108" s="2279"/>
      <c r="BS108" s="2279"/>
      <c r="BT108" s="2279"/>
      <c r="BU108" s="2279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80"/>
      <c r="CF108" s="2280"/>
      <c r="CG108" s="2280"/>
      <c r="CH108" s="2280"/>
      <c r="CI108" s="2280"/>
      <c r="CJ108" s="2280"/>
      <c r="CK108" s="2280"/>
    </row>
    <row r="109" ht="20.5" customHeight="1" spans="31:88" x14ac:dyDescent="0.25">
      <c r="AE109" s="24"/>
      <c r="AF109" s="24"/>
      <c r="BR109" s="24"/>
      <c r="BS109" s="24"/>
      <c r="BT109" s="24"/>
      <c r="BU109" s="2279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</row>
    <row r="110" ht="15" customHeight="1" spans="31:32" x14ac:dyDescent="0.25">
      <c r="AE110" s="24"/>
      <c r="AF110" s="24"/>
    </row>
    <row r="111" ht="15.5" customHeight="1" spans="3:32" x14ac:dyDescent="0.25">
      <c r="C111" s="2343" t="s">
        <v>2024</v>
      </c>
      <c r="D111" s="2343"/>
      <c r="AE111" s="24"/>
      <c r="AF111" s="24"/>
    </row>
    <row r="112" ht="15.5" customHeight="1" spans="3:4" x14ac:dyDescent="0.25">
      <c r="C112" s="2333"/>
      <c r="D112" s="2333"/>
    </row>
    <row r="113" ht="107.5" customHeight="1" spans="3:4" x14ac:dyDescent="0.25">
      <c r="C113" s="2344" t="s">
        <v>1503</v>
      </c>
      <c r="D113" s="2345" t="s">
        <v>2025</v>
      </c>
    </row>
    <row r="114" ht="30" customHeight="1" spans="3:19" x14ac:dyDescent="0.25">
      <c r="C114" s="2346" t="s">
        <v>2026</v>
      </c>
      <c r="D114" s="2347" t="s">
        <v>2027</v>
      </c>
      <c r="M114" s="1135" t="s">
        <v>2028</v>
      </c>
      <c r="N114" s="1135"/>
      <c r="O114" s="1135"/>
      <c r="P114" s="1135"/>
      <c r="Q114" s="1135"/>
      <c r="R114" s="1135"/>
      <c r="S114" s="1135"/>
    </row>
    <row r="115" ht="30" customHeight="1" spans="3:19" x14ac:dyDescent="0.25">
      <c r="C115" s="2346" t="s">
        <v>2029</v>
      </c>
      <c r="D115" s="2347" t="s">
        <v>2030</v>
      </c>
      <c r="M115" s="1135" t="s">
        <v>2031</v>
      </c>
      <c r="N115" s="1135"/>
      <c r="O115" s="1135"/>
      <c r="P115" s="1135"/>
      <c r="Q115" s="1135"/>
      <c r="R115" s="1135"/>
      <c r="S115" s="1135"/>
    </row>
    <row r="116" ht="30" customHeight="1" spans="3:19" x14ac:dyDescent="0.25">
      <c r="C116" s="2346" t="s">
        <v>2032</v>
      </c>
      <c r="D116" s="2347" t="s">
        <v>2033</v>
      </c>
      <c r="M116" s="1135"/>
      <c r="N116" s="1135"/>
      <c r="O116" s="1135"/>
      <c r="P116" s="1135"/>
      <c r="Q116" s="1135"/>
      <c r="R116" s="1135"/>
      <c r="S116" s="1135"/>
    </row>
    <row r="117" ht="60" customHeight="1" spans="3:16" x14ac:dyDescent="0.25">
      <c r="C117" s="2346" t="s">
        <v>2034</v>
      </c>
      <c r="D117" s="2348">
        <v>28</v>
      </c>
      <c r="M117" s="682" t="s">
        <v>1503</v>
      </c>
      <c r="N117" s="682" t="s">
        <v>2035</v>
      </c>
      <c r="O117" s="682"/>
      <c r="P117" s="682"/>
    </row>
    <row r="118" ht="15" customHeight="1" spans="3:14" x14ac:dyDescent="0.25">
      <c r="C118" s="2346">
        <v>1940</v>
      </c>
      <c r="D118" s="2347" t="s">
        <v>2036</v>
      </c>
      <c r="M118" s="2184">
        <v>1971</v>
      </c>
      <c r="N118">
        <v>108.1</v>
      </c>
    </row>
    <row r="119" ht="75" customHeight="1" spans="3:17" x14ac:dyDescent="0.25">
      <c r="C119" s="2346" t="s">
        <v>2037</v>
      </c>
      <c r="D119" s="2347" t="s">
        <v>2038</v>
      </c>
      <c r="L119" s="2161"/>
      <c r="M119" s="2349">
        <v>1972</v>
      </c>
      <c r="N119" s="2161">
        <v>107.3</v>
      </c>
      <c r="O119" s="2161"/>
      <c r="P119" s="2161"/>
      <c r="Q119" s="2161"/>
    </row>
    <row r="120" ht="15.5" customHeight="1" spans="3:142" x14ac:dyDescent="0.25">
      <c r="C120" s="2346">
        <v>1946</v>
      </c>
      <c r="D120" s="2347" t="s">
        <v>2039</v>
      </c>
      <c r="L120" s="2161"/>
      <c r="M120" s="2349">
        <v>1973</v>
      </c>
      <c r="N120" s="2161">
        <v>104.6</v>
      </c>
      <c r="O120" s="2161"/>
      <c r="P120" s="2161"/>
      <c r="Q120" s="2161"/>
      <c r="AT120" t="s">
        <v>2040</v>
      </c>
      <c r="EI120" s="2073" t="s">
        <v>974</v>
      </c>
      <c r="EJ120" s="2073" t="s">
        <v>974</v>
      </c>
      <c r="EK120" s="2073" t="s">
        <v>1949</v>
      </c>
      <c r="EL120" s="2074" t="s">
        <v>974</v>
      </c>
    </row>
    <row r="121" ht="17.5" customHeight="1" spans="3:142" x14ac:dyDescent="0.25">
      <c r="C121" s="2346">
        <v>1947</v>
      </c>
      <c r="D121" s="2347" t="s">
        <v>2041</v>
      </c>
      <c r="L121" s="2161"/>
      <c r="M121" s="2349">
        <v>1974</v>
      </c>
      <c r="N121" s="2161">
        <v>107.5</v>
      </c>
      <c r="O121" s="2161"/>
      <c r="P121" s="2161"/>
      <c r="Q121" s="2161"/>
      <c r="AT121" t="s">
        <v>2042</v>
      </c>
      <c r="EH121" s="1161" t="s">
        <v>520</v>
      </c>
      <c r="EI121" s="1162" t="s">
        <v>392</v>
      </c>
      <c r="EJ121" s="1029" t="s">
        <v>380</v>
      </c>
      <c r="EK121" s="1029" t="s">
        <v>2009</v>
      </c>
      <c r="EL121" s="391" t="s">
        <v>1769</v>
      </c>
    </row>
    <row r="122" ht="15" customHeight="1" spans="3:142" x14ac:dyDescent="0.25">
      <c r="C122" s="2346">
        <v>1948</v>
      </c>
      <c r="D122" s="2347" t="s">
        <v>2043</v>
      </c>
      <c r="L122" s="2161"/>
      <c r="M122" s="2349">
        <v>1975</v>
      </c>
      <c r="N122" s="2161">
        <v>110.2</v>
      </c>
      <c r="O122" s="2161"/>
      <c r="P122" s="2161"/>
      <c r="Q122" s="2161"/>
      <c r="AT122" t="s">
        <v>2044</v>
      </c>
      <c r="EH122" s="2197">
        <v>43187</v>
      </c>
      <c r="EI122" s="843" t="s">
        <v>840</v>
      </c>
      <c r="EJ122" s="843" t="s">
        <v>840</v>
      </c>
      <c r="EK122" s="843" t="s">
        <v>840</v>
      </c>
      <c r="EL122" s="843" t="s">
        <v>840</v>
      </c>
    </row>
    <row r="123" ht="17.5" customHeight="1" spans="3:142" x14ac:dyDescent="0.25">
      <c r="C123" s="2346">
        <v>1949</v>
      </c>
      <c r="D123" s="2347" t="s">
        <v>2045</v>
      </c>
      <c r="L123" s="2161"/>
      <c r="M123" s="2349">
        <v>1976</v>
      </c>
      <c r="N123" s="1357">
        <v>105</v>
      </c>
      <c r="O123" s="2161"/>
      <c r="P123" s="2161"/>
      <c r="Q123" s="2161"/>
      <c r="AT123" t="s">
        <v>2046</v>
      </c>
      <c r="EH123" s="828">
        <v>1995</v>
      </c>
      <c r="EI123" s="2268">
        <v>1</v>
      </c>
      <c r="EJ123" s="1698">
        <v>1</v>
      </c>
      <c r="EK123" s="2269">
        <v>1</v>
      </c>
      <c r="EL123" s="1825">
        <v>1</v>
      </c>
    </row>
    <row r="124" ht="17.5" customHeight="1" spans="3:142" x14ac:dyDescent="0.25">
      <c r="C124" s="2346">
        <v>1950</v>
      </c>
      <c r="D124" s="2347" t="s">
        <v>2047</v>
      </c>
      <c r="L124" s="2161"/>
      <c r="M124" s="2349">
        <v>1977</v>
      </c>
      <c r="N124" s="2161">
        <v>103.4</v>
      </c>
      <c r="O124" s="2161"/>
      <c r="P124" s="2161"/>
      <c r="Q124" s="2161"/>
      <c r="AT124" t="s">
        <v>2048</v>
      </c>
      <c r="EH124" s="559">
        <v>1996</v>
      </c>
      <c r="EI124" s="2274">
        <v>1.7194377618988257</v>
      </c>
      <c r="EJ124" s="957">
        <v>1.3930686182271845</v>
      </c>
      <c r="EK124" s="1742">
        <v>1.257401059618721</v>
      </c>
      <c r="EL124" s="1827">
        <v>1.218</v>
      </c>
    </row>
    <row r="125" ht="17.5" customHeight="1" spans="3:142" x14ac:dyDescent="0.25">
      <c r="C125" s="2346">
        <v>1951</v>
      </c>
      <c r="D125" s="2347" t="s">
        <v>2049</v>
      </c>
      <c r="L125" s="2161"/>
      <c r="M125" s="2349">
        <v>1978</v>
      </c>
      <c r="N125" s="2161">
        <v>106.1</v>
      </c>
      <c r="O125" s="2161"/>
      <c r="P125" s="2161"/>
      <c r="Q125" s="2161"/>
      <c r="AT125" t="s">
        <v>2050</v>
      </c>
      <c r="EH125" s="559">
        <v>1997</v>
      </c>
      <c r="EI125" s="2274">
        <v>1.9680277801214476</v>
      </c>
      <c r="EJ125" s="957">
        <v>1.8000080782573098</v>
      </c>
      <c r="EK125" s="1742">
        <v>1.537049212515165</v>
      </c>
      <c r="EL125" s="1827">
        <v>1.3519800000000002</v>
      </c>
    </row>
    <row r="126" ht="17.5" customHeight="1" spans="3:142" x14ac:dyDescent="0.25">
      <c r="C126" s="2346">
        <v>1952</v>
      </c>
      <c r="D126" s="2347" t="s">
        <v>2051</v>
      </c>
      <c r="L126" s="2161"/>
      <c r="M126" s="2349">
        <v>1979</v>
      </c>
      <c r="N126" s="1357">
        <v>101</v>
      </c>
      <c r="O126" s="2161"/>
      <c r="P126" s="2161"/>
      <c r="Q126" s="2161"/>
      <c r="AT126" t="s">
        <v>2052</v>
      </c>
      <c r="EH126" s="559">
        <v>1998</v>
      </c>
      <c r="EI126" s="2274">
        <v>2.2270348811115843</v>
      </c>
      <c r="EJ126" s="957">
        <v>1.7787455021088285</v>
      </c>
      <c r="EK126" s="1742">
        <v>1.6424177215539968</v>
      </c>
      <c r="EL126" s="1827">
        <v>2.4930511200000005</v>
      </c>
    </row>
    <row r="127" ht="17.5" customHeight="1" spans="3:142" x14ac:dyDescent="0.25">
      <c r="C127" s="2346">
        <v>1953</v>
      </c>
      <c r="D127" s="2347" t="s">
        <v>2053</v>
      </c>
      <c r="L127" s="2161"/>
      <c r="M127" s="2349">
        <v>1980</v>
      </c>
      <c r="N127" s="2161">
        <v>102.9</v>
      </c>
      <c r="O127" s="2161"/>
      <c r="P127" s="2161"/>
      <c r="Q127" s="2161"/>
      <c r="AT127" t="s">
        <v>2054</v>
      </c>
      <c r="EH127" s="559">
        <v>1999</v>
      </c>
      <c r="EI127" s="2274">
        <v>3.493098424873764</v>
      </c>
      <c r="EJ127" s="957">
        <v>2.4627881934761957</v>
      </c>
      <c r="EK127" s="1742">
        <v>2.6523824724539433</v>
      </c>
      <c r="EL127" s="1827">
        <v>3.4030147788000007</v>
      </c>
    </row>
    <row r="128" ht="17.5" customHeight="1" spans="3:142" x14ac:dyDescent="0.25">
      <c r="C128" s="2346">
        <v>1954</v>
      </c>
      <c r="D128" s="2347" t="s">
        <v>2055</v>
      </c>
      <c r="L128" s="2161"/>
      <c r="M128" s="2349">
        <v>1981</v>
      </c>
      <c r="N128" s="1357">
        <v>104</v>
      </c>
      <c r="O128" s="2161"/>
      <c r="P128" s="2161"/>
      <c r="Q128" s="2161"/>
      <c r="AT128" t="s">
        <v>2056</v>
      </c>
      <c r="EH128" s="559">
        <v>2000</v>
      </c>
      <c r="EI128" s="2274">
        <v>5.171262749607017</v>
      </c>
      <c r="EJ128" s="957">
        <v>3.785470488529565</v>
      </c>
      <c r="EK128" s="1742">
        <v>3.3750397713637965</v>
      </c>
      <c r="EL128" s="1827">
        <v>4.090423764117601</v>
      </c>
    </row>
    <row r="129" ht="17.5" customHeight="1" spans="3:142" x14ac:dyDescent="0.25">
      <c r="C129" s="2346">
        <v>1955</v>
      </c>
      <c r="D129" s="2347" t="s">
        <v>2057</v>
      </c>
      <c r="L129" s="2161"/>
      <c r="M129" s="2349">
        <v>1982</v>
      </c>
      <c r="N129" s="2161">
        <v>103.7</v>
      </c>
      <c r="O129" s="2161"/>
      <c r="P129" s="2161"/>
      <c r="Q129" s="2161"/>
      <c r="AT129" t="s">
        <v>97</v>
      </c>
      <c r="EH129" s="559">
        <v>2001</v>
      </c>
      <c r="EI129" s="2274">
        <v>6.070726846853919</v>
      </c>
      <c r="EJ129" s="957">
        <v>5.08786459563914</v>
      </c>
      <c r="EK129" s="1742">
        <v>4.542512885556114</v>
      </c>
      <c r="EL129" s="1827">
        <v>4.851242584243474</v>
      </c>
    </row>
    <row r="130" ht="17.5" customHeight="1" spans="3:142" x14ac:dyDescent="0.25">
      <c r="C130" s="2346">
        <v>1956</v>
      </c>
      <c r="D130" s="2347" t="s">
        <v>2058</v>
      </c>
      <c r="L130" s="2161"/>
      <c r="M130" s="2349">
        <v>1983</v>
      </c>
      <c r="N130" s="2161">
        <v>104.2</v>
      </c>
      <c r="O130" s="2161"/>
      <c r="P130" s="2161"/>
      <c r="Q130" s="2161"/>
      <c r="AT130" t="s">
        <v>97</v>
      </c>
      <c r="EH130" s="559">
        <v>2002</v>
      </c>
      <c r="EI130" s="2274">
        <v>6.916750986271128</v>
      </c>
      <c r="EJ130" s="957">
        <v>6.552867571558401</v>
      </c>
      <c r="EK130" s="1742">
        <v>5.392001022426679</v>
      </c>
      <c r="EL130" s="1827">
        <v>5.583780214464239</v>
      </c>
    </row>
    <row r="131" ht="17.5" customHeight="1" spans="3:142" x14ac:dyDescent="0.25">
      <c r="C131" s="2346">
        <v>1957</v>
      </c>
      <c r="D131" s="2347" t="s">
        <v>2059</v>
      </c>
      <c r="L131" s="2161"/>
      <c r="M131" s="2349">
        <v>1984</v>
      </c>
      <c r="N131" s="2161">
        <v>101.2</v>
      </c>
      <c r="O131" s="2161"/>
      <c r="P131" s="2161"/>
      <c r="Q131" s="2161"/>
      <c r="AT131" t="s">
        <v>2052</v>
      </c>
      <c r="EH131" s="559">
        <v>2003</v>
      </c>
      <c r="EI131" s="2274">
        <v>7.6273689193439225</v>
      </c>
      <c r="EJ131" s="957">
        <v>7.795892317615872</v>
      </c>
      <c r="EK131" s="1742">
        <v>6.290782357882741</v>
      </c>
      <c r="EL131" s="1827">
        <v>6.253833840199949</v>
      </c>
    </row>
    <row r="132" ht="17.5" customHeight="1" spans="3:142" x14ac:dyDescent="0.25">
      <c r="C132" s="2346">
        <v>1958</v>
      </c>
      <c r="D132" s="2347" t="s">
        <v>2060</v>
      </c>
      <c r="L132" s="2161"/>
      <c r="M132" s="2349">
        <v>1985</v>
      </c>
      <c r="N132" s="2161">
        <v>103.4</v>
      </c>
      <c r="O132" s="2161"/>
      <c r="P132" s="2161"/>
      <c r="Q132" s="2161"/>
      <c r="AT132" t="s">
        <v>2061</v>
      </c>
      <c r="EH132" s="559">
        <v>2004</v>
      </c>
      <c r="EI132" s="2274">
        <v>8.79041331779647</v>
      </c>
      <c r="EJ132" s="957">
        <v>9.32454487174126</v>
      </c>
      <c r="EK132" s="1742">
        <v>7.2515171193372</v>
      </c>
      <c r="EL132" s="1827">
        <v>6.9855323995033425</v>
      </c>
    </row>
    <row r="133" ht="17.5" customHeight="1" spans="3:147" x14ac:dyDescent="0.25">
      <c r="C133" s="2346">
        <v>1959</v>
      </c>
      <c r="D133" s="2347" t="s">
        <v>2062</v>
      </c>
      <c r="L133" s="2161"/>
      <c r="M133" s="2349">
        <v>1986</v>
      </c>
      <c r="N133" s="2161">
        <v>109.2</v>
      </c>
      <c r="O133" s="2161"/>
      <c r="P133" s="2161"/>
      <c r="Q133" s="2161"/>
      <c r="AT133" t="s">
        <v>2063</v>
      </c>
      <c r="EH133" s="559">
        <v>2005</v>
      </c>
      <c r="EI133" s="2274">
        <v>10.054085870175701</v>
      </c>
      <c r="EJ133" s="957">
        <v>11.601834838997735</v>
      </c>
      <c r="EK133" s="1742">
        <v>8.2840198096696</v>
      </c>
      <c r="EL133" s="1827">
        <v>7.746955431049207</v>
      </c>
      <c r="EQ133" s="1420" t="s">
        <v>324</v>
      </c>
    </row>
    <row r="134" ht="17.5" customHeight="1" spans="3:142" x14ac:dyDescent="0.25">
      <c r="C134" s="2346">
        <v>1960</v>
      </c>
      <c r="D134" s="2347" t="s">
        <v>2064</v>
      </c>
      <c r="L134" s="2161"/>
      <c r="M134" s="2349">
        <v>1987</v>
      </c>
      <c r="N134" s="1357">
        <v>106</v>
      </c>
      <c r="O134" s="2161"/>
      <c r="P134" s="2161"/>
      <c r="Q134" s="2161"/>
      <c r="AT134" t="s">
        <v>97</v>
      </c>
      <c r="EH134" s="559">
        <v>2006</v>
      </c>
      <c r="EI134" s="2274">
        <v>11.28478682823815</v>
      </c>
      <c r="EJ134" s="957">
        <v>14.558879763670303</v>
      </c>
      <c r="EK134" s="1742">
        <v>9.305188226626376</v>
      </c>
      <c r="EL134" s="1827">
        <v>8.444181419843636</v>
      </c>
    </row>
    <row r="135" ht="17.5" customHeight="1" spans="3:142" x14ac:dyDescent="0.25">
      <c r="C135" s="2346">
        <v>1961</v>
      </c>
      <c r="D135" s="2347" t="s">
        <v>2065</v>
      </c>
      <c r="L135" s="2161"/>
      <c r="M135" s="2349">
        <v>1988</v>
      </c>
      <c r="N135" s="2161">
        <v>107.7</v>
      </c>
      <c r="O135" s="2161"/>
      <c r="P135" s="2161"/>
      <c r="Q135" s="2161"/>
      <c r="AT135" t="s">
        <v>2066</v>
      </c>
      <c r="EH135" s="559">
        <v>2007</v>
      </c>
      <c r="EI135" s="2274">
        <v>13.059083510568804</v>
      </c>
      <c r="EJ135" s="957">
        <v>17.41864233141954</v>
      </c>
      <c r="EK135" s="1742">
        <v>9.901436982441352</v>
      </c>
      <c r="EL135" s="1827">
        <v>9.446505754379075</v>
      </c>
    </row>
    <row r="136" ht="17.5" customHeight="1" spans="3:142" x14ac:dyDescent="0.25">
      <c r="C136" s="2346">
        <v>1962</v>
      </c>
      <c r="D136" s="2347" t="s">
        <v>2067</v>
      </c>
      <c r="L136" s="2161"/>
      <c r="M136" s="2349">
        <v>1989</v>
      </c>
      <c r="N136" s="2161">
        <v>104.1</v>
      </c>
      <c r="O136" s="2161"/>
      <c r="P136" s="2161"/>
      <c r="Q136" s="2161"/>
      <c r="AT136" t="s">
        <v>2068</v>
      </c>
      <c r="EH136" s="559">
        <v>2008</v>
      </c>
      <c r="EI136" s="2274">
        <v>15.593657080025292</v>
      </c>
      <c r="EJ136" s="957">
        <v>21.558658204106848</v>
      </c>
      <c r="EK136" s="1742">
        <v>11.241989200565998</v>
      </c>
      <c r="EL136" s="1827">
        <v>10.701001718560617</v>
      </c>
    </row>
    <row r="137" ht="17.5" customHeight="1" spans="3:142" x14ac:dyDescent="0.25">
      <c r="C137" s="2346">
        <v>1963</v>
      </c>
      <c r="D137" s="2348">
        <v>57</v>
      </c>
      <c r="L137" s="2161"/>
      <c r="M137" s="2349">
        <v>1990</v>
      </c>
      <c r="N137" s="2161">
        <v>100.1</v>
      </c>
      <c r="O137" s="2161">
        <f>N137/100</f>
        <v>1.001</v>
      </c>
      <c r="P137" s="2161"/>
      <c r="Q137" s="2161"/>
      <c r="AT137" t="s">
        <v>2069</v>
      </c>
      <c r="EH137" s="559">
        <v>2009</v>
      </c>
      <c r="EI137" s="2274">
        <v>16.373566297801105</v>
      </c>
      <c r="EJ137" s="957">
        <v>23.77183065299093</v>
      </c>
      <c r="EK137" s="1742">
        <v>18.95753277718832</v>
      </c>
      <c r="EL137" s="1827">
        <v>11.642689869793951</v>
      </c>
    </row>
    <row r="138" ht="17.5" customHeight="1" spans="3:142" x14ac:dyDescent="0.25">
      <c r="C138" s="2346">
        <v>1964</v>
      </c>
      <c r="D138" s="2347" t="s">
        <v>2070</v>
      </c>
      <c r="L138" s="2161"/>
      <c r="M138" s="2349">
        <v>1991</v>
      </c>
      <c r="N138" s="2161">
        <v>85.1</v>
      </c>
      <c r="O138" s="2161">
        <f t="shared" ref="O138:O158" si="42">N138/100</f>
        <v>0.851</v>
      </c>
      <c r="P138" s="2161"/>
      <c r="Q138" s="2161"/>
      <c r="AT138" t="s">
        <v>2071</v>
      </c>
      <c r="EH138" s="559">
        <v>2010</v>
      </c>
      <c r="EI138" s="2274">
        <v>17.674409856030426</v>
      </c>
      <c r="EJ138" s="957">
        <v>25.942740710668115</v>
      </c>
      <c r="EK138" s="1742">
        <v>17.58666949871967</v>
      </c>
      <c r="EL138" s="1827">
        <v>12.664918040361862</v>
      </c>
    </row>
    <row r="139" ht="17.5" customHeight="1" spans="3:142" x14ac:dyDescent="0.25">
      <c r="C139" s="2346">
        <v>1965</v>
      </c>
      <c r="D139" s="2347" t="s">
        <v>2072</v>
      </c>
      <c r="L139" s="2161"/>
      <c r="M139" s="2349">
        <v>1992</v>
      </c>
      <c r="N139" s="2161">
        <v>60.3</v>
      </c>
      <c r="O139" s="2161">
        <f t="shared" si="42"/>
        <v>0.603</v>
      </c>
      <c r="P139" s="2161"/>
      <c r="Q139" s="2161"/>
      <c r="AT139" t="s">
        <v>2073</v>
      </c>
      <c r="EH139" s="559">
        <v>2011</v>
      </c>
      <c r="EI139" s="2274">
        <v>19.234566440524752</v>
      </c>
      <c r="EJ139" s="957">
        <v>31.060937552257776</v>
      </c>
      <c r="EK139" s="1742">
        <v>18.93017688035626</v>
      </c>
      <c r="EL139" s="1827">
        <v>13.437478040823935</v>
      </c>
    </row>
    <row r="140" ht="17.5" customHeight="1" spans="3:142" x14ac:dyDescent="0.25">
      <c r="C140" s="2346">
        <v>1966</v>
      </c>
      <c r="D140" s="2347" t="s">
        <v>2074</v>
      </c>
      <c r="L140" s="2161"/>
      <c r="M140" s="2349">
        <v>1993</v>
      </c>
      <c r="N140" s="2161">
        <v>88.3</v>
      </c>
      <c r="O140" s="2161">
        <f t="shared" si="42"/>
        <v>0.883</v>
      </c>
      <c r="P140" s="2161"/>
      <c r="Q140" s="2161"/>
      <c r="AT140" t="s">
        <v>2075</v>
      </c>
      <c r="EH140" s="559">
        <v>2012</v>
      </c>
      <c r="EI140" s="2274">
        <v>20.540168341333807</v>
      </c>
      <c r="EJ140" s="957">
        <v>34.957056458668305</v>
      </c>
      <c r="EK140" s="1742">
        <v>20.424067734337935</v>
      </c>
      <c r="EL140" s="1827">
        <v>14.324351591518315</v>
      </c>
    </row>
    <row r="141" ht="17.5" customHeight="1" spans="3:142" x14ac:dyDescent="0.25">
      <c r="C141" s="2346">
        <v>1967</v>
      </c>
      <c r="D141" s="2347" t="s">
        <v>2076</v>
      </c>
      <c r="L141" s="2161"/>
      <c r="M141" s="2349">
        <v>1994</v>
      </c>
      <c r="N141" s="2161">
        <v>75.7</v>
      </c>
      <c r="O141" s="2161">
        <f t="shared" si="42"/>
        <v>0.757</v>
      </c>
      <c r="P141" s="2161"/>
      <c r="Q141" s="2161"/>
      <c r="AT141" t="s">
        <v>2077</v>
      </c>
      <c r="EH141" s="559">
        <v>2013</v>
      </c>
      <c r="EI141" s="2274">
        <v>21.77622501158156</v>
      </c>
      <c r="EJ141" s="957">
        <v>38.62386007303689</v>
      </c>
      <c r="EK141" s="1742">
        <v>22.5418039159632</v>
      </c>
      <c r="EL141" s="1827">
        <v>15.255434444967005</v>
      </c>
    </row>
    <row r="142" ht="17.5" customHeight="1" spans="3:142" x14ac:dyDescent="0.25">
      <c r="C142" s="2346">
        <v>1968</v>
      </c>
      <c r="D142" s="2347" t="s">
        <v>2078</v>
      </c>
      <c r="L142" s="2161"/>
      <c r="M142" s="2349">
        <v>1995</v>
      </c>
      <c r="N142" s="2161">
        <v>89.9</v>
      </c>
      <c r="O142" s="2161">
        <f t="shared" si="42"/>
        <v>0.899</v>
      </c>
      <c r="P142" s="2161"/>
      <c r="Q142" s="2161"/>
      <c r="AT142" t="s">
        <v>2079</v>
      </c>
      <c r="EH142" s="559">
        <v>2014</v>
      </c>
      <c r="EI142" s="2274">
        <v>22.851453644141124</v>
      </c>
      <c r="EJ142" s="957">
        <v>41.35948065024723</v>
      </c>
      <c r="EK142" s="1742">
        <v>28.907748778568493</v>
      </c>
      <c r="EL142" s="1827">
        <v>16.994553971693247</v>
      </c>
    </row>
    <row r="143" ht="17.5" customHeight="1" spans="3:142" x14ac:dyDescent="0.25">
      <c r="C143" s="2346">
        <v>1969</v>
      </c>
      <c r="D143" s="2347" t="s">
        <v>2080</v>
      </c>
      <c r="L143" s="2161"/>
      <c r="M143" s="2349">
        <v>1996</v>
      </c>
      <c r="N143" s="2161">
        <v>81.9</v>
      </c>
      <c r="O143" s="2161">
        <f t="shared" si="42"/>
        <v>0.8190000000000001</v>
      </c>
      <c r="P143" s="2161"/>
      <c r="Q143" s="2161"/>
      <c r="AT143" t="s">
        <v>97</v>
      </c>
      <c r="EH143" s="559">
        <v>2015</v>
      </c>
      <c r="EI143" s="1239">
        <v>25.408791247612854</v>
      </c>
      <c r="EJ143" s="75">
        <v>43.69479121362401</v>
      </c>
      <c r="EK143" s="1742">
        <v>52.3944993977415</v>
      </c>
      <c r="EL143" s="1827">
        <v>19.186851434041674</v>
      </c>
    </row>
    <row r="144" ht="17.5" customHeight="1" spans="3:142" x14ac:dyDescent="0.25">
      <c r="C144" s="2346">
        <v>1970</v>
      </c>
      <c r="D144" s="2347" t="s">
        <v>2081</v>
      </c>
      <c r="L144" s="2161"/>
      <c r="M144" s="2349">
        <v>1997</v>
      </c>
      <c r="N144" s="1357">
        <v>95</v>
      </c>
      <c r="O144" s="2161">
        <f t="shared" si="42"/>
        <v>0.95</v>
      </c>
      <c r="P144" s="2161"/>
      <c r="Q144" s="2161"/>
      <c r="AT144" t="s">
        <v>2082</v>
      </c>
      <c r="EH144" s="559">
        <v>2016</v>
      </c>
      <c r="EI144" s="1239">
        <v>27.210700956508322</v>
      </c>
      <c r="EJ144" s="75">
        <v>46.95024719710882</v>
      </c>
      <c r="EK144" s="1742">
        <v>56.36486237314015</v>
      </c>
      <c r="EL144" s="1827">
        <v>20.222941411479926</v>
      </c>
    </row>
    <row r="145" ht="17.5" customHeight="1" spans="3:142" x14ac:dyDescent="0.25">
      <c r="C145" s="2346">
        <v>1971</v>
      </c>
      <c r="D145" s="2347" t="s">
        <v>2083</v>
      </c>
      <c r="L145" s="2161"/>
      <c r="M145" s="2349">
        <v>1998</v>
      </c>
      <c r="N145" s="1357">
        <v>88</v>
      </c>
      <c r="O145" s="2161">
        <f t="shared" si="42"/>
        <v>0.88</v>
      </c>
      <c r="P145" s="2161"/>
      <c r="Q145" s="2161"/>
      <c r="AT145" t="s">
        <v>2084</v>
      </c>
      <c r="EH145" s="559">
        <v>2017</v>
      </c>
      <c r="EI145" s="2109"/>
      <c r="EJ145" s="75"/>
      <c r="EK145" s="607"/>
      <c r="EL145" s="2297"/>
    </row>
    <row r="146" ht="17.5" customHeight="1" spans="3:142" x14ac:dyDescent="0.25">
      <c r="C146" s="2346">
        <v>1972</v>
      </c>
      <c r="D146" s="2347" t="s">
        <v>2085</v>
      </c>
      <c r="L146" s="2161"/>
      <c r="M146" s="2349">
        <v>1999</v>
      </c>
      <c r="N146" s="2161">
        <v>105.3</v>
      </c>
      <c r="O146" s="2161">
        <f t="shared" si="42"/>
        <v>1.053</v>
      </c>
      <c r="P146" s="2161"/>
      <c r="Q146" s="2161"/>
      <c r="AT146" t="s">
        <v>2086</v>
      </c>
      <c r="EH146" s="559">
        <v>2018</v>
      </c>
      <c r="EI146" s="2109"/>
      <c r="EJ146" s="75"/>
      <c r="EK146" s="607"/>
      <c r="EL146" s="2297"/>
    </row>
    <row r="147" ht="17.5" customHeight="1" spans="3:142" x14ac:dyDescent="0.25">
      <c r="C147" s="2346">
        <v>1973</v>
      </c>
      <c r="D147" s="2347" t="s">
        <v>2087</v>
      </c>
      <c r="L147" s="2161"/>
      <c r="M147" s="2349">
        <v>2000</v>
      </c>
      <c r="N147" s="2161">
        <v>117.4</v>
      </c>
      <c r="O147" s="2161">
        <f t="shared" si="42"/>
        <v>1.1740000000000002</v>
      </c>
      <c r="P147" s="2161"/>
      <c r="Q147" s="2161"/>
      <c r="AT147" t="s">
        <v>2088</v>
      </c>
      <c r="EH147" s="559">
        <v>2019</v>
      </c>
      <c r="EI147" s="2109"/>
      <c r="EJ147" s="576"/>
      <c r="EK147" s="607"/>
      <c r="EL147" s="2297"/>
    </row>
    <row r="148" ht="17.5" customHeight="1" spans="3:142" x14ac:dyDescent="0.25">
      <c r="C148" s="2346">
        <v>1974</v>
      </c>
      <c r="D148" s="2347" t="s">
        <v>2089</v>
      </c>
      <c r="L148" s="2161"/>
      <c r="M148" s="2349">
        <v>2001</v>
      </c>
      <c r="N148" s="1357">
        <v>110</v>
      </c>
      <c r="O148" s="2161">
        <f t="shared" si="42"/>
        <v>1.1</v>
      </c>
      <c r="P148" s="2161"/>
      <c r="Q148" s="2161"/>
      <c r="AT148" t="s">
        <v>2090</v>
      </c>
      <c r="EH148" s="559">
        <v>2020</v>
      </c>
      <c r="EI148" s="2109"/>
      <c r="EJ148" s="576"/>
      <c r="EK148" s="607"/>
      <c r="EL148" s="2297"/>
    </row>
    <row r="149" ht="17.5" customHeight="1" spans="3:142" x14ac:dyDescent="0.25">
      <c r="C149" s="2346">
        <v>1975</v>
      </c>
      <c r="D149" s="2347" t="s">
        <v>2091</v>
      </c>
      <c r="L149" s="2161"/>
      <c r="M149" s="2349">
        <v>2002</v>
      </c>
      <c r="N149" s="2161">
        <v>102.8</v>
      </c>
      <c r="O149" s="2161">
        <f t="shared" si="42"/>
        <v>1.028</v>
      </c>
      <c r="P149" s="2161"/>
      <c r="Q149" s="2161"/>
      <c r="AT149" t="s">
        <v>2092</v>
      </c>
      <c r="EH149" s="559">
        <v>2021</v>
      </c>
      <c r="EI149" s="2109"/>
      <c r="EJ149" s="576"/>
      <c r="EK149" s="607"/>
      <c r="EL149" s="2297"/>
    </row>
    <row r="150" ht="17.5" customHeight="1" spans="3:142" x14ac:dyDescent="0.25">
      <c r="C150" s="2346">
        <v>1976</v>
      </c>
      <c r="D150" s="2347" t="s">
        <v>2093</v>
      </c>
      <c r="L150" s="2161"/>
      <c r="M150" s="2349">
        <v>2003</v>
      </c>
      <c r="N150" s="2161">
        <v>112.5</v>
      </c>
      <c r="O150" s="2161">
        <f t="shared" si="42"/>
        <v>1.125</v>
      </c>
      <c r="P150" s="2161"/>
      <c r="Q150" s="2161"/>
      <c r="AT150" t="s">
        <v>2094</v>
      </c>
      <c r="EH150" s="559">
        <v>2022</v>
      </c>
      <c r="EI150" s="2109"/>
      <c r="EJ150" s="576"/>
      <c r="EK150" s="607"/>
      <c r="EL150" s="2297"/>
    </row>
    <row r="151" ht="17.5" customHeight="1" spans="3:142" x14ac:dyDescent="0.25">
      <c r="C151" s="2346">
        <v>1977</v>
      </c>
      <c r="D151" s="2348">
        <v>148</v>
      </c>
      <c r="L151" s="2161"/>
      <c r="M151" s="2349">
        <v>2004</v>
      </c>
      <c r="N151" s="2161">
        <v>113.7</v>
      </c>
      <c r="O151" s="2161">
        <f t="shared" si="42"/>
        <v>1.137</v>
      </c>
      <c r="P151" s="2161"/>
      <c r="Q151" s="2161"/>
      <c r="AT151" t="s">
        <v>2095</v>
      </c>
      <c r="EH151" s="559">
        <v>2023</v>
      </c>
      <c r="EI151" s="2109"/>
      <c r="EJ151" s="576"/>
      <c r="EK151" s="607"/>
      <c r="EL151" s="2297"/>
    </row>
    <row r="152" ht="17.5" customHeight="1" spans="3:142" x14ac:dyDescent="0.25">
      <c r="C152" s="2346">
        <v>1978</v>
      </c>
      <c r="D152" s="2348">
        <v>157</v>
      </c>
      <c r="L152" s="2161"/>
      <c r="M152" s="2349">
        <v>2005</v>
      </c>
      <c r="N152" s="2161">
        <v>110.9</v>
      </c>
      <c r="O152" s="2161">
        <f t="shared" si="42"/>
        <v>1.109</v>
      </c>
      <c r="P152" s="2161"/>
      <c r="Q152" s="2161"/>
      <c r="AT152" t="s">
        <v>2096</v>
      </c>
      <c r="EH152" s="559">
        <v>2024</v>
      </c>
      <c r="EI152" s="2109"/>
      <c r="EJ152" s="576"/>
      <c r="EK152" s="607"/>
      <c r="EL152" s="2297"/>
    </row>
    <row r="153" ht="17.5" customHeight="1" spans="3:142" x14ac:dyDescent="0.25">
      <c r="C153" s="2346">
        <v>1979</v>
      </c>
      <c r="D153" s="2347" t="s">
        <v>2097</v>
      </c>
      <c r="L153" s="2161"/>
      <c r="M153" s="2349">
        <v>2006</v>
      </c>
      <c r="N153" s="2161">
        <v>116.7</v>
      </c>
      <c r="O153" s="2161">
        <f t="shared" si="42"/>
        <v>1.167</v>
      </c>
      <c r="P153" s="2161"/>
      <c r="Q153" s="2161"/>
      <c r="EH153" s="559">
        <v>2025</v>
      </c>
      <c r="EI153" s="2109"/>
      <c r="EJ153" s="576"/>
      <c r="EK153" s="607"/>
      <c r="EL153" s="2297"/>
    </row>
    <row r="154" ht="17.5" customHeight="1" spans="3:142" x14ac:dyDescent="0.25">
      <c r="C154" s="2346">
        <v>1980</v>
      </c>
      <c r="D154" s="2347" t="s">
        <v>2098</v>
      </c>
      <c r="L154" s="2161"/>
      <c r="M154" s="2349">
        <v>2007</v>
      </c>
      <c r="N154" s="2161">
        <v>122.7</v>
      </c>
      <c r="O154" s="2161">
        <f t="shared" si="42"/>
        <v>1.227</v>
      </c>
      <c r="P154" s="2161"/>
      <c r="Q154" s="2161"/>
      <c r="EH154" s="559">
        <v>2026</v>
      </c>
      <c r="EI154" s="2109"/>
      <c r="EJ154" s="576"/>
      <c r="EK154" s="607"/>
      <c r="EL154" s="2297"/>
    </row>
    <row r="155" ht="17.5" customHeight="1" spans="3:142" x14ac:dyDescent="0.25">
      <c r="C155" s="2346">
        <v>1981</v>
      </c>
      <c r="D155" s="2347" t="s">
        <v>2099</v>
      </c>
      <c r="L155" s="2161"/>
      <c r="M155" s="2349">
        <v>2008</v>
      </c>
      <c r="N155" s="2161">
        <v>109.9</v>
      </c>
      <c r="O155" s="2161">
        <f t="shared" si="42"/>
        <v>1.099</v>
      </c>
      <c r="P155" s="2161"/>
      <c r="Q155" s="2161"/>
      <c r="EH155" s="559">
        <v>2027</v>
      </c>
      <c r="EI155" s="2109"/>
      <c r="EJ155" s="576"/>
      <c r="EK155" s="607"/>
      <c r="EL155" s="2297"/>
    </row>
    <row r="156" ht="17.5" customHeight="1" spans="3:142" x14ac:dyDescent="0.25">
      <c r="C156" s="2346">
        <v>1982</v>
      </c>
      <c r="D156" s="2347" t="s">
        <v>2100</v>
      </c>
      <c r="L156" s="2161"/>
      <c r="M156" s="2349">
        <v>2009</v>
      </c>
      <c r="N156" s="2161">
        <v>84.3</v>
      </c>
      <c r="O156" s="2161">
        <f t="shared" si="42"/>
        <v>0.843</v>
      </c>
      <c r="P156" s="2161"/>
      <c r="Q156" s="2161"/>
      <c r="EH156" s="559">
        <v>2028</v>
      </c>
      <c r="EI156" s="2109"/>
      <c r="EJ156" s="576"/>
      <c r="EK156" s="607"/>
      <c r="EL156" s="2297"/>
    </row>
    <row r="157" ht="17.5" customHeight="1" spans="3:142" x14ac:dyDescent="0.25">
      <c r="C157" s="2346">
        <v>1983</v>
      </c>
      <c r="D157" s="2347" t="s">
        <v>2101</v>
      </c>
      <c r="L157" s="2161"/>
      <c r="M157" s="2349">
        <v>2010</v>
      </c>
      <c r="N157" s="1357">
        <v>106</v>
      </c>
      <c r="O157" s="2161">
        <f t="shared" si="42"/>
        <v>1.06</v>
      </c>
      <c r="P157" s="2161"/>
      <c r="Q157" s="2161"/>
      <c r="EH157" s="559">
        <v>2029</v>
      </c>
      <c r="EI157" s="2109"/>
      <c r="EJ157" s="576"/>
      <c r="EK157" s="607"/>
      <c r="EL157" s="2297"/>
    </row>
    <row r="158" ht="17.5" customHeight="1" spans="3:142" x14ac:dyDescent="0.25">
      <c r="C158" s="2346">
        <v>1984</v>
      </c>
      <c r="D158" s="2347" t="s">
        <v>2102</v>
      </c>
      <c r="L158" s="2161"/>
      <c r="M158" s="2349">
        <v>2011</v>
      </c>
      <c r="N158" s="2161">
        <v>108.3</v>
      </c>
      <c r="O158" s="2161">
        <f t="shared" si="42"/>
        <v>1.083</v>
      </c>
      <c r="P158" s="2161"/>
      <c r="Q158" s="2161"/>
      <c r="EH158" s="960">
        <v>2030</v>
      </c>
      <c r="EI158" s="616"/>
      <c r="EJ158" s="581"/>
      <c r="EK158" s="2166"/>
      <c r="EL158" s="2166"/>
    </row>
    <row r="159" ht="15" customHeight="1" spans="3:17" x14ac:dyDescent="0.25">
      <c r="C159" s="2346">
        <v>1985</v>
      </c>
      <c r="D159" s="2348">
        <v>192</v>
      </c>
      <c r="L159" s="2161"/>
      <c r="M159" s="2161"/>
      <c r="N159" s="2161"/>
      <c r="O159" s="2161"/>
      <c r="P159" s="2161"/>
      <c r="Q159" s="2161"/>
    </row>
    <row r="160" ht="15" customHeight="1" spans="3:17" x14ac:dyDescent="0.25">
      <c r="C160" s="2346">
        <v>1986</v>
      </c>
      <c r="D160" s="2347" t="s">
        <v>2103</v>
      </c>
      <c r="L160" s="2161"/>
      <c r="M160" s="2161"/>
      <c r="N160" s="2161"/>
      <c r="O160" s="2161"/>
      <c r="P160" s="2161"/>
      <c r="Q160" s="2161"/>
    </row>
    <row r="161" ht="15.5" customHeight="1" spans="3:19" x14ac:dyDescent="0.25">
      <c r="C161" s="2346">
        <v>1987</v>
      </c>
      <c r="D161" s="2347" t="s">
        <v>2104</v>
      </c>
      <c r="L161" s="2161"/>
      <c r="M161" s="2161"/>
      <c r="N161" s="2161"/>
      <c r="O161" s="2161"/>
      <c r="P161" s="2161"/>
      <c r="Q161" s="2161"/>
      <c r="S161" s="2331" t="s">
        <v>815</v>
      </c>
    </row>
    <row r="162" ht="15.5" customHeight="1" spans="3:19" x14ac:dyDescent="0.25">
      <c r="C162" s="2346">
        <v>1988</v>
      </c>
      <c r="D162" s="2347" t="s">
        <v>2105</v>
      </c>
      <c r="H162" t="s">
        <v>2106</v>
      </c>
      <c r="I162" t="s">
        <v>2107</v>
      </c>
      <c r="J162" t="s">
        <v>2107</v>
      </c>
      <c r="S162" s="2350" t="s">
        <v>2108</v>
      </c>
    </row>
    <row r="163" ht="15.5" customHeight="1" spans="3:19" x14ac:dyDescent="0.25">
      <c r="C163" s="2346">
        <v>1989</v>
      </c>
      <c r="D163" s="2347" t="s">
        <v>2109</v>
      </c>
      <c r="G163" s="2351" t="s">
        <v>2110</v>
      </c>
      <c r="H163" s="2352" t="s">
        <v>2111</v>
      </c>
      <c r="O163" s="2333"/>
      <c r="P163" s="2333"/>
      <c r="Q163" s="2350"/>
      <c r="R163" s="2333" t="s">
        <v>2112</v>
      </c>
      <c r="S163" s="2333">
        <f>(N182-N180)/(P182-P180)</f>
        <v>0.4515098085028262</v>
      </c>
    </row>
    <row r="164" ht="15.5" customHeight="1" spans="3:19" x14ac:dyDescent="0.25">
      <c r="C164" s="2346">
        <v>1990</v>
      </c>
      <c r="D164" s="2347" t="s">
        <v>2113</v>
      </c>
      <c r="F164" s="2353">
        <v>1990</v>
      </c>
      <c r="G164" s="2354" t="s">
        <v>2113</v>
      </c>
      <c r="H164" s="103">
        <f>G164/1000</f>
        <v>0.2491</v>
      </c>
      <c r="I164">
        <f>J164/100</f>
        <v>1.001</v>
      </c>
      <c r="J164">
        <v>100.1</v>
      </c>
      <c r="O164" s="2333"/>
      <c r="P164" s="2333"/>
      <c r="Q164" s="2350"/>
      <c r="R164" s="2333" t="s">
        <v>2114</v>
      </c>
      <c r="S164">
        <f>N182-S163*P182</f>
        <v>-599.1284624997113</v>
      </c>
    </row>
    <row r="165" ht="15.5" customHeight="1" spans="3:19" x14ac:dyDescent="0.25">
      <c r="C165" s="2346">
        <v>1991</v>
      </c>
      <c r="D165" s="2347" t="s">
        <v>2115</v>
      </c>
      <c r="F165" s="2353">
        <v>1991</v>
      </c>
      <c r="G165" s="2354" t="s">
        <v>2115</v>
      </c>
      <c r="H165" s="103">
        <f t="shared" ref="H165:H185" si="43">G165/1000</f>
        <v>0.2105</v>
      </c>
      <c r="I165">
        <f t="shared" ref="I165:I185" si="44">J165/100</f>
        <v>0.851</v>
      </c>
      <c r="J165">
        <v>85.1</v>
      </c>
      <c r="R165" s="2331" t="s">
        <v>2021</v>
      </c>
      <c r="S165" s="2331" t="s">
        <v>973</v>
      </c>
    </row>
    <row r="166" ht="15.5" customHeight="1" spans="3:46" x14ac:dyDescent="0.25">
      <c r="C166" s="2346">
        <v>1992</v>
      </c>
      <c r="D166" s="2347" t="s">
        <v>2116</v>
      </c>
      <c r="F166" s="2353">
        <v>1992</v>
      </c>
      <c r="G166" s="2354" t="s">
        <v>2116</v>
      </c>
      <c r="H166" s="103">
        <f t="shared" si="43"/>
        <v>2.6702</v>
      </c>
      <c r="I166">
        <f t="shared" si="44"/>
        <v>0.603</v>
      </c>
      <c r="J166">
        <v>60.3</v>
      </c>
      <c r="R166" s="2355">
        <f t="shared" ref="R166:R172" si="45">S$51*S166+S$52</f>
        <v>4896511.582912595</v>
      </c>
      <c r="S166" s="100">
        <v>2000</v>
      </c>
      <c r="AS166" t="s">
        <v>24</v>
      </c>
      <c r="AT166" t="s">
        <v>664</v>
      </c>
    </row>
    <row r="167" ht="15.5" customHeight="1" spans="3:46" x14ac:dyDescent="0.25">
      <c r="C167" s="2346">
        <v>1993</v>
      </c>
      <c r="D167" s="2347" t="s">
        <v>2117</v>
      </c>
      <c r="F167" s="2353">
        <v>1993</v>
      </c>
      <c r="G167" s="2354" t="s">
        <v>2117</v>
      </c>
      <c r="H167" s="103">
        <f t="shared" si="43"/>
        <v>27.1245</v>
      </c>
      <c r="I167">
        <f t="shared" si="44"/>
        <v>0.883</v>
      </c>
      <c r="J167">
        <v>88.3</v>
      </c>
      <c r="L167" t="s">
        <v>520</v>
      </c>
      <c r="M167" s="1260" t="s">
        <v>2106</v>
      </c>
      <c r="N167" s="1260" t="s">
        <v>2118</v>
      </c>
      <c r="O167" s="1156" t="s">
        <v>2119</v>
      </c>
      <c r="P167" s="1260" t="s">
        <v>1998</v>
      </c>
      <c r="R167" s="2355">
        <f t="shared" si="45"/>
        <v>5508253.75439447</v>
      </c>
      <c r="S167" s="100">
        <f t="shared" ref="S167:S172" si="46">S166+250</f>
        <v>2250</v>
      </c>
      <c r="AS167" s="2331" t="s">
        <v>2120</v>
      </c>
      <c r="AT167" s="2331" t="s">
        <v>2121</v>
      </c>
    </row>
    <row r="168" ht="15.5" customHeight="1" spans="3:46" x14ac:dyDescent="0.25">
      <c r="C168" s="2346">
        <v>1994</v>
      </c>
      <c r="D168" s="2347" t="s">
        <v>2122</v>
      </c>
      <c r="F168" s="2353">
        <v>1994</v>
      </c>
      <c r="G168" s="2354" t="s">
        <v>2122</v>
      </c>
      <c r="H168" s="103">
        <f t="shared" si="43"/>
        <v>108.8099</v>
      </c>
      <c r="I168">
        <f t="shared" si="44"/>
        <v>0.757</v>
      </c>
      <c r="J168">
        <v>75.7</v>
      </c>
      <c r="L168" s="2219">
        <v>41090</v>
      </c>
      <c r="M168" s="2356" t="s">
        <v>56</v>
      </c>
      <c r="N168" s="2356" t="s">
        <v>56</v>
      </c>
      <c r="O168" s="2357" t="s">
        <v>1912</v>
      </c>
      <c r="P168" s="2358" t="s">
        <v>56</v>
      </c>
      <c r="R168" s="2355">
        <f t="shared" si="45"/>
        <v>6119995.925876345</v>
      </c>
      <c r="S168" s="100">
        <f t="shared" si="46"/>
        <v>2500</v>
      </c>
      <c r="AR168" s="2359">
        <v>2006</v>
      </c>
      <c r="AS168" s="2360">
        <f t="shared" ref="AS168:AS174" si="47">N180</f>
        <v>419.14836956990854</v>
      </c>
      <c r="AT168" s="2361">
        <f t="shared" ref="AT168:AT174" si="48">P180</f>
        <v>2255.270678274193</v>
      </c>
    </row>
    <row r="169" ht="15.5" customHeight="1" spans="3:46" x14ac:dyDescent="0.25">
      <c r="C169" s="2346">
        <v>1995</v>
      </c>
      <c r="D169" s="2347" t="s">
        <v>2123</v>
      </c>
      <c r="F169" s="2353">
        <v>1995</v>
      </c>
      <c r="G169" s="2354" t="s">
        <v>2123</v>
      </c>
      <c r="H169" s="103">
        <f t="shared" si="43"/>
        <v>266.9736</v>
      </c>
      <c r="I169">
        <f t="shared" si="44"/>
        <v>0.899</v>
      </c>
      <c r="J169">
        <v>89.9</v>
      </c>
      <c r="L169" s="2359">
        <v>1995</v>
      </c>
      <c r="M169" s="2362">
        <v>266.9736</v>
      </c>
      <c r="N169" s="2363">
        <f t="array" ref="N169:N188">TRANSPOSE(ОТЧЁТ!U195:AN195)</f>
        <v>266.974</v>
      </c>
      <c r="O169">
        <v>0.899</v>
      </c>
      <c r="P169" s="2361">
        <f t="array" ref="P169:P188">TRANSPOSE(ОТЧЁТ!U199:AN199)</f>
        <v>1428.5209</v>
      </c>
      <c r="R169" s="2355">
        <f t="shared" si="45"/>
        <v>6731738.097358219</v>
      </c>
      <c r="S169" s="100">
        <f t="shared" si="46"/>
        <v>2750</v>
      </c>
      <c r="AR169" s="2364">
        <v>2007</v>
      </c>
      <c r="AS169" s="1367">
        <f t="shared" si="47"/>
        <v>514.2950494622778</v>
      </c>
      <c r="AT169" s="2365">
        <f t="shared" si="48"/>
        <v>2446.9686859274993</v>
      </c>
    </row>
    <row r="170" ht="15.5" customHeight="1" spans="3:46" x14ac:dyDescent="0.25">
      <c r="C170" s="2346">
        <v>1996</v>
      </c>
      <c r="D170" s="2347" t="s">
        <v>2124</v>
      </c>
      <c r="F170" s="2353">
        <v>1996</v>
      </c>
      <c r="G170" s="2354" t="s">
        <v>2124</v>
      </c>
      <c r="H170" s="103">
        <f t="shared" si="43"/>
        <v>375.9581</v>
      </c>
      <c r="I170">
        <f t="shared" si="44"/>
        <v>0.8190000000000001</v>
      </c>
      <c r="J170">
        <v>81.9</v>
      </c>
      <c r="L170" s="2364">
        <v>1996</v>
      </c>
      <c r="M170" s="2366">
        <v>375.9581</v>
      </c>
      <c r="N170" s="103">
        <v>218.651706</v>
      </c>
      <c r="O170">
        <v>0.8190000000000001</v>
      </c>
      <c r="P170" s="2365">
        <v>1377.0941476</v>
      </c>
      <c r="R170" s="2355">
        <f t="shared" si="45"/>
        <v>7343480.268840094</v>
      </c>
      <c r="S170" s="100">
        <f t="shared" si="46"/>
        <v>3000</v>
      </c>
      <c r="AR170" s="2364">
        <v>2008</v>
      </c>
      <c r="AS170" s="1367">
        <f t="shared" si="47"/>
        <v>563.1530791611942</v>
      </c>
      <c r="AT170" s="2365">
        <f t="shared" si="48"/>
        <v>2574.2110575957295</v>
      </c>
    </row>
    <row r="171" ht="15.5" customHeight="1" spans="3:46" x14ac:dyDescent="0.25">
      <c r="C171" s="2346">
        <v>1997</v>
      </c>
      <c r="D171" s="2347" t="s">
        <v>2125</v>
      </c>
      <c r="F171" s="2353">
        <v>1997</v>
      </c>
      <c r="G171" s="2354" t="s">
        <v>2125</v>
      </c>
      <c r="H171" s="103">
        <f t="shared" si="43"/>
        <v>408.7973</v>
      </c>
      <c r="I171" s="1359">
        <f t="shared" si="44"/>
        <v>0.95</v>
      </c>
      <c r="J171">
        <v>95</v>
      </c>
      <c r="L171" s="2364">
        <v>1997</v>
      </c>
      <c r="M171" s="2366">
        <v>408.7973</v>
      </c>
      <c r="N171" s="103">
        <v>207.7191207</v>
      </c>
      <c r="O171" s="1359">
        <v>0.95</v>
      </c>
      <c r="P171" s="2365">
        <v>1396.3734656664</v>
      </c>
      <c r="R171" s="2355">
        <f t="shared" si="45"/>
        <v>7955222.440321969</v>
      </c>
      <c r="S171" s="100">
        <f t="shared" si="46"/>
        <v>3250</v>
      </c>
      <c r="AR171" s="2364">
        <v>2009</v>
      </c>
      <c r="AS171" s="1367">
        <f t="shared" si="47"/>
        <v>487.127413474433</v>
      </c>
      <c r="AT171" s="2365">
        <f t="shared" si="48"/>
        <v>2370.848384045667</v>
      </c>
    </row>
    <row r="172" ht="15.5" customHeight="1" spans="3:46" x14ac:dyDescent="0.25">
      <c r="C172" s="2346">
        <v>1998</v>
      </c>
      <c r="D172" s="2347" t="s">
        <v>2126</v>
      </c>
      <c r="F172" s="2353">
        <v>1998</v>
      </c>
      <c r="G172" s="2354" t="s">
        <v>2126</v>
      </c>
      <c r="H172" s="103">
        <f t="shared" si="43"/>
        <v>407.0863</v>
      </c>
      <c r="I172" s="1359">
        <f t="shared" si="44"/>
        <v>0.88</v>
      </c>
      <c r="J172">
        <v>88</v>
      </c>
      <c r="L172" s="2364">
        <v>1998</v>
      </c>
      <c r="M172" s="2366">
        <v>407.0863</v>
      </c>
      <c r="N172" s="103">
        <v>182.79282621599998</v>
      </c>
      <c r="O172" s="1359">
        <v>0.88</v>
      </c>
      <c r="P172" s="2365">
        <v>1322.3656719860808</v>
      </c>
      <c r="R172" s="2355">
        <f t="shared" si="45"/>
        <v>8566964.611803843</v>
      </c>
      <c r="S172" s="100">
        <f t="shared" si="46"/>
        <v>3500</v>
      </c>
      <c r="AR172" s="2364">
        <v>2010</v>
      </c>
      <c r="AS172" s="1367">
        <f t="shared" si="47"/>
        <v>517.8164405233223</v>
      </c>
      <c r="AT172" s="2365">
        <f t="shared" si="48"/>
        <v>2477.5365613277218</v>
      </c>
    </row>
    <row r="173" ht="15" customHeight="1" spans="3:46" x14ac:dyDescent="0.25">
      <c r="C173" s="2346">
        <v>1999</v>
      </c>
      <c r="D173" s="2347" t="s">
        <v>2127</v>
      </c>
      <c r="F173" s="2353">
        <v>1999</v>
      </c>
      <c r="G173" s="2354" t="s">
        <v>2127</v>
      </c>
      <c r="H173" s="103">
        <f t="shared" si="43"/>
        <v>670.4388</v>
      </c>
      <c r="I173">
        <f t="shared" si="44"/>
        <v>1.053</v>
      </c>
      <c r="J173">
        <v>105.3</v>
      </c>
      <c r="L173" s="2364">
        <v>1999</v>
      </c>
      <c r="M173" s="2366">
        <v>670.4388</v>
      </c>
      <c r="N173" s="103">
        <v>191.9324675268</v>
      </c>
      <c r="O173">
        <v>1.053</v>
      </c>
      <c r="P173" s="2365">
        <v>1406.99707499319</v>
      </c>
      <c r="AR173" s="2364">
        <v>2011</v>
      </c>
      <c r="AS173" s="1367">
        <f t="shared" si="47"/>
        <v>573.7406160998412</v>
      </c>
      <c r="AT173" s="2365">
        <f t="shared" si="48"/>
        <v>2584.0706334648135</v>
      </c>
    </row>
    <row r="174" ht="18" customHeight="1" spans="3:46" x14ac:dyDescent="0.25">
      <c r="C174" s="2346">
        <v>2000</v>
      </c>
      <c r="D174" s="2347" t="s">
        <v>2128</v>
      </c>
      <c r="F174" s="2353">
        <v>2000</v>
      </c>
      <c r="G174" s="2354" t="s">
        <v>2128</v>
      </c>
      <c r="H174" s="103">
        <f t="shared" si="43"/>
        <v>1165.2341999999999</v>
      </c>
      <c r="I174">
        <f t="shared" si="44"/>
        <v>1.1740000000000002</v>
      </c>
      <c r="J174">
        <v>117.4</v>
      </c>
      <c r="L174" s="2364">
        <v>2000</v>
      </c>
      <c r="M174" s="2366">
        <v>1165.2341999999999</v>
      </c>
      <c r="N174" s="103">
        <v>225.32871687646318</v>
      </c>
      <c r="O174">
        <v>1.1740000000000002</v>
      </c>
      <c r="P174" s="2365">
        <v>1547.696782492509</v>
      </c>
      <c r="Q174" s="2367"/>
      <c r="R174" s="2367"/>
      <c r="S174" s="2331" t="s">
        <v>816</v>
      </c>
      <c r="AR174" s="2368">
        <v>2012</v>
      </c>
      <c r="AS174" s="2369">
        <f t="shared" si="47"/>
        <v>612.7549779946304</v>
      </c>
      <c r="AT174" s="2370">
        <f t="shared" si="48"/>
        <v>2678.541712402734</v>
      </c>
    </row>
    <row r="175" ht="15.5" customHeight="1" spans="3:43" x14ac:dyDescent="0.25">
      <c r="C175" s="2346">
        <v>2001</v>
      </c>
      <c r="D175" s="2347" t="s">
        <v>2129</v>
      </c>
      <c r="F175" s="2353">
        <v>2001</v>
      </c>
      <c r="G175" s="2354" t="s">
        <v>2129</v>
      </c>
      <c r="H175" s="103">
        <f t="shared" si="43"/>
        <v>1504.7121000000002</v>
      </c>
      <c r="I175" s="1359">
        <f t="shared" si="44"/>
        <v>1.1</v>
      </c>
      <c r="J175">
        <v>110</v>
      </c>
      <c r="L175" s="2364">
        <v>2001</v>
      </c>
      <c r="M175" s="2366">
        <v>1504.7121000000002</v>
      </c>
      <c r="N175" s="103">
        <v>247.86158856410952</v>
      </c>
      <c r="O175" s="1359">
        <v>1.1</v>
      </c>
      <c r="P175" s="2365">
        <v>1626.629318399627</v>
      </c>
      <c r="S175" s="2350" t="s">
        <v>2108</v>
      </c>
      <c r="AQ175" s="1367"/>
    </row>
    <row r="176" ht="15.5" customHeight="1" spans="3:19" x14ac:dyDescent="0.25">
      <c r="C176" s="2346">
        <v>2002</v>
      </c>
      <c r="D176" s="2347" t="s">
        <v>2130</v>
      </c>
      <c r="F176" s="2353">
        <v>2002</v>
      </c>
      <c r="G176" s="2354" t="s">
        <v>2130</v>
      </c>
      <c r="H176" s="103">
        <f t="shared" si="43"/>
        <v>1762.4073</v>
      </c>
      <c r="I176">
        <f t="shared" si="44"/>
        <v>1.028</v>
      </c>
      <c r="J176">
        <v>102.8</v>
      </c>
      <c r="L176" s="2364">
        <v>2002</v>
      </c>
      <c r="M176" s="2366">
        <v>1762.4073</v>
      </c>
      <c r="N176" s="103">
        <v>254.80171304390458</v>
      </c>
      <c r="O176">
        <v>1.028</v>
      </c>
      <c r="P176" s="2365">
        <v>1703.0808963644092</v>
      </c>
      <c r="R176" s="2333" t="s">
        <v>2112</v>
      </c>
      <c r="S176" s="2333">
        <f>(N185-N183)/(P185-P183)</f>
        <v>0.4062109036995774</v>
      </c>
    </row>
    <row r="177" ht="15.5" customHeight="1" spans="3:19" x14ac:dyDescent="0.25">
      <c r="C177" s="2346">
        <v>2003</v>
      </c>
      <c r="D177" s="2347" t="s">
        <v>2131</v>
      </c>
      <c r="F177" s="2353">
        <v>2003</v>
      </c>
      <c r="G177" s="2354" t="s">
        <v>2131</v>
      </c>
      <c r="H177" s="103">
        <f t="shared" si="43"/>
        <v>2186.3652</v>
      </c>
      <c r="I177">
        <f t="shared" si="44"/>
        <v>1.125</v>
      </c>
      <c r="J177">
        <v>112.5</v>
      </c>
      <c r="L177" s="2364">
        <v>2003</v>
      </c>
      <c r="M177" s="2366">
        <v>2186.3652</v>
      </c>
      <c r="N177" s="103">
        <v>286.65192717439265</v>
      </c>
      <c r="O177">
        <v>1.125</v>
      </c>
      <c r="P177" s="2365">
        <v>1827.405801799011</v>
      </c>
      <c r="R177" s="2333" t="s">
        <v>2114</v>
      </c>
      <c r="S177">
        <f>N185-S176*P185</f>
        <v>-475.93705114344016</v>
      </c>
    </row>
    <row r="178" ht="15.5" customHeight="1" spans="3:19" x14ac:dyDescent="0.25">
      <c r="C178" s="2346">
        <v>2004</v>
      </c>
      <c r="D178" s="2347" t="s">
        <v>2132</v>
      </c>
      <c r="F178" s="2353">
        <v>2004</v>
      </c>
      <c r="G178" s="2354" t="s">
        <v>2132</v>
      </c>
      <c r="H178" s="103">
        <f t="shared" si="43"/>
        <v>2865.0139</v>
      </c>
      <c r="I178">
        <f t="shared" si="44"/>
        <v>1.137</v>
      </c>
      <c r="J178">
        <v>113.7</v>
      </c>
      <c r="L178" s="2364">
        <v>2004</v>
      </c>
      <c r="M178" s="2366">
        <v>2865.0139</v>
      </c>
      <c r="N178" s="103">
        <v>325.9232411972844</v>
      </c>
      <c r="O178">
        <v>1.137</v>
      </c>
      <c r="P178" s="2365">
        <v>1958.97901952854</v>
      </c>
      <c r="R178" s="2331" t="s">
        <v>2021</v>
      </c>
      <c r="S178" s="2331" t="s">
        <v>973</v>
      </c>
    </row>
    <row r="179" ht="15.5" customHeight="1" spans="3:19" x14ac:dyDescent="0.25">
      <c r="C179" s="2346">
        <v>2005</v>
      </c>
      <c r="D179" s="2347" t="s">
        <v>2133</v>
      </c>
      <c r="F179" s="2353">
        <v>2005</v>
      </c>
      <c r="G179" s="2354" t="s">
        <v>2133</v>
      </c>
      <c r="H179" s="103">
        <f t="shared" si="43"/>
        <v>3611.109</v>
      </c>
      <c r="I179">
        <f t="shared" si="44"/>
        <v>1.109</v>
      </c>
      <c r="J179">
        <v>110.9</v>
      </c>
      <c r="L179" s="2364">
        <v>2005</v>
      </c>
      <c r="M179" s="2366">
        <v>3611.109</v>
      </c>
      <c r="N179" s="103">
        <v>359.1674117994075</v>
      </c>
      <c r="O179">
        <v>1.109</v>
      </c>
      <c r="P179" s="2365">
        <v>2084.3536767783667</v>
      </c>
      <c r="R179" s="2355" t="e">
        <f>#REF!*S179+#REF!</f>
        <v>#REF!</v>
      </c>
      <c r="S179" s="2333">
        <v>2500</v>
      </c>
    </row>
    <row r="180" ht="15.5" customHeight="1" spans="3:19" x14ac:dyDescent="0.25">
      <c r="C180" s="2346">
        <v>2006</v>
      </c>
      <c r="D180" s="2347" t="s">
        <v>2134</v>
      </c>
      <c r="F180" s="2353">
        <v>2006</v>
      </c>
      <c r="G180" s="2354" t="s">
        <v>2134</v>
      </c>
      <c r="H180" s="103">
        <f t="shared" si="43"/>
        <v>4730.0229</v>
      </c>
      <c r="I180">
        <f t="shared" si="44"/>
        <v>1.167</v>
      </c>
      <c r="J180">
        <v>116.7</v>
      </c>
      <c r="L180" s="2364">
        <v>2006</v>
      </c>
      <c r="M180" s="2366">
        <v>4730.0229</v>
      </c>
      <c r="N180" s="103">
        <v>419.14836956990854</v>
      </c>
      <c r="O180">
        <v>1.167</v>
      </c>
      <c r="P180" s="2365">
        <v>2255.270678274193</v>
      </c>
      <c r="R180" s="2355" t="e">
        <f>#REF!*S180+#REF!</f>
        <v>#REF!</v>
      </c>
      <c r="S180" s="2333">
        <f>S179+200</f>
        <v>2700</v>
      </c>
    </row>
    <row r="181" ht="15.5" customHeight="1" spans="3:19" x14ac:dyDescent="0.25">
      <c r="C181" s="2346">
        <v>2007</v>
      </c>
      <c r="D181" s="2347" t="s">
        <v>2135</v>
      </c>
      <c r="F181" s="2353">
        <v>2007</v>
      </c>
      <c r="G181" s="2354" t="s">
        <v>2135</v>
      </c>
      <c r="H181" s="103">
        <f t="shared" si="43"/>
        <v>6716.222400000001</v>
      </c>
      <c r="I181">
        <f t="shared" si="44"/>
        <v>1.227</v>
      </c>
      <c r="J181">
        <v>122.7</v>
      </c>
      <c r="L181" s="2364">
        <v>2007</v>
      </c>
      <c r="M181" s="2366">
        <v>6716.222400000001</v>
      </c>
      <c r="N181" s="103">
        <v>514.2950494622778</v>
      </c>
      <c r="O181">
        <v>1.227</v>
      </c>
      <c r="P181" s="2365">
        <v>2446.9686859274993</v>
      </c>
      <c r="R181" s="2355" t="e">
        <f>#REF!*S181+#REF!</f>
        <v>#REF!</v>
      </c>
      <c r="S181" s="2333">
        <f>S180+200</f>
        <v>2900</v>
      </c>
    </row>
    <row r="182" ht="15.5" customHeight="1" spans="3:19" x14ac:dyDescent="0.25">
      <c r="C182" s="2346">
        <v>2008</v>
      </c>
      <c r="D182" s="2347" t="s">
        <v>2136</v>
      </c>
      <c r="F182" s="2353">
        <v>2008</v>
      </c>
      <c r="G182" s="2354" t="s">
        <v>2136</v>
      </c>
      <c r="H182" s="103">
        <f t="shared" si="43"/>
        <v>8781.6164</v>
      </c>
      <c r="I182">
        <f t="shared" si="44"/>
        <v>1.099</v>
      </c>
      <c r="J182">
        <v>109.9</v>
      </c>
      <c r="L182" s="2364">
        <v>2008</v>
      </c>
      <c r="M182" s="2366">
        <v>8781.6164</v>
      </c>
      <c r="N182" s="103">
        <v>563.1530791611942</v>
      </c>
      <c r="O182">
        <v>1.099</v>
      </c>
      <c r="P182" s="2365">
        <v>2574.2110575957295</v>
      </c>
      <c r="R182" s="2355" t="e">
        <f>#REF!*S182+#REF!</f>
        <v>#REF!</v>
      </c>
      <c r="S182" s="2333">
        <f>S181+200</f>
        <v>3100</v>
      </c>
    </row>
    <row r="183" ht="15.5" customHeight="1" spans="3:19" x14ac:dyDescent="0.25">
      <c r="C183" s="2371">
        <v>2009</v>
      </c>
      <c r="D183" s="2372" t="s">
        <v>2137</v>
      </c>
      <c r="F183" s="2373">
        <v>2009</v>
      </c>
      <c r="G183" s="2374" t="s">
        <v>2137</v>
      </c>
      <c r="H183" s="103">
        <f t="shared" si="43"/>
        <v>7976.0127999999995</v>
      </c>
      <c r="I183">
        <f t="shared" si="44"/>
        <v>0.843</v>
      </c>
      <c r="J183">
        <v>84.3</v>
      </c>
      <c r="L183" s="2364">
        <v>2009</v>
      </c>
      <c r="M183" s="2366">
        <v>7976.0127999999995</v>
      </c>
      <c r="N183" s="103">
        <v>487.127413474433</v>
      </c>
      <c r="O183">
        <v>0.843</v>
      </c>
      <c r="P183" s="2365">
        <v>2370.848384045667</v>
      </c>
      <c r="R183" s="2355" t="e">
        <f>#REF!*S183+#REF!</f>
        <v>#REF!</v>
      </c>
      <c r="S183" s="2333">
        <f>S182+200</f>
        <v>3300</v>
      </c>
    </row>
    <row r="184" ht="17.5" customHeight="1" spans="3:19" x14ac:dyDescent="0.25">
      <c r="C184" s="2371" t="s">
        <v>2138</v>
      </c>
      <c r="D184" s="2348">
        <v>9152096</v>
      </c>
      <c r="F184" s="2373" t="s">
        <v>2139</v>
      </c>
      <c r="G184" s="2375">
        <v>9152096</v>
      </c>
      <c r="H184" s="103">
        <f t="shared" si="43"/>
        <v>9152.096</v>
      </c>
      <c r="I184" s="1359">
        <f t="shared" si="44"/>
        <v>1.06</v>
      </c>
      <c r="J184">
        <v>106</v>
      </c>
      <c r="L184" s="2364">
        <v>2010</v>
      </c>
      <c r="M184" s="2366">
        <v>9152.096</v>
      </c>
      <c r="N184" s="103">
        <v>517.8164405233223</v>
      </c>
      <c r="O184" s="1359">
        <f>ОТЧЁТ!AJ141</f>
        <v>1.063</v>
      </c>
      <c r="P184" s="2365">
        <v>2477.5365613277218</v>
      </c>
      <c r="R184" s="2355" t="e">
        <f>#REF!*S184+#REF!</f>
        <v>#REF!</v>
      </c>
      <c r="S184" s="2333">
        <f>S183+200</f>
        <v>3500</v>
      </c>
    </row>
    <row r="185" ht="15.5" customHeight="1" spans="3:16" x14ac:dyDescent="0.25">
      <c r="C185" s="2371">
        <v>2011</v>
      </c>
      <c r="D185" s="2376">
        <v>10776838.7</v>
      </c>
      <c r="F185" s="2373">
        <v>2011</v>
      </c>
      <c r="G185" s="2377">
        <v>10776838.7</v>
      </c>
      <c r="H185" s="103">
        <f t="shared" si="43"/>
        <v>10776.838699999998</v>
      </c>
      <c r="I185">
        <f t="shared" si="44"/>
        <v>1.083</v>
      </c>
      <c r="J185">
        <v>108.3</v>
      </c>
      <c r="L185" s="2364">
        <v>2011</v>
      </c>
      <c r="M185" s="2366">
        <v>10776.838699999998</v>
      </c>
      <c r="N185" s="103">
        <v>573.7406160998412</v>
      </c>
      <c r="O185">
        <f>ОТЧЁТ!AK141</f>
        <v>1.108</v>
      </c>
      <c r="P185" s="2365">
        <v>2584.0706334648135</v>
      </c>
    </row>
    <row r="186" ht="15.5" customHeight="1" spans="3:16" x14ac:dyDescent="0.25">
      <c r="C186" s="2371"/>
      <c r="D186" s="2333"/>
      <c r="L186" s="2364">
        <v>2012</v>
      </c>
      <c r="M186" s="2032"/>
      <c r="N186" s="103">
        <v>612.7549779946304</v>
      </c>
      <c r="O186" s="24">
        <f>ОТЧЁТ!AL141</f>
        <v>1.068</v>
      </c>
      <c r="P186" s="2365">
        <v>2678.541712402734</v>
      </c>
    </row>
    <row r="187" ht="15" customHeight="1" spans="3:16" x14ac:dyDescent="0.25">
      <c r="C187" s="2378" t="s">
        <v>2140</v>
      </c>
      <c r="D187" s="2378"/>
      <c r="L187" s="2364">
        <v>2013</v>
      </c>
      <c r="M187" s="2032"/>
      <c r="N187" s="103">
        <v>617.6570178185874</v>
      </c>
      <c r="O187" s="24"/>
      <c r="P187" s="2365">
        <v>2726.3631774238834</v>
      </c>
    </row>
    <row r="188" ht="15.5" customHeight="1" spans="3:16" x14ac:dyDescent="0.25">
      <c r="C188" s="2379" t="s">
        <v>2141</v>
      </c>
      <c r="D188" s="2376"/>
      <c r="L188" s="2364">
        <v>2014</v>
      </c>
      <c r="M188" s="2032"/>
      <c r="N188" s="103">
        <v>608.3921625513086</v>
      </c>
      <c r="O188" s="24"/>
      <c r="P188" s="2365">
        <v>2746.5001169353304</v>
      </c>
    </row>
    <row r="189" ht="15" customHeight="1" spans="12:16" x14ac:dyDescent="0.25">
      <c r="L189" s="2368">
        <v>2015</v>
      </c>
      <c r="M189" s="1752"/>
      <c r="N189" s="692"/>
      <c r="O189" s="692"/>
      <c r="P189" s="693"/>
    </row>
    <row r="198" ht="15" customHeight="1" spans="23:31" x14ac:dyDescent="0.25">
      <c r="W198">
        <v>1.122</v>
      </c>
      <c r="X198">
        <v>1.122</v>
      </c>
      <c r="Y198">
        <v>1.143</v>
      </c>
      <c r="Z198">
        <v>1.106</v>
      </c>
      <c r="AA198">
        <v>0.949</v>
      </c>
      <c r="AB198">
        <v>1.055</v>
      </c>
      <c r="AC198">
        <v>1.068</v>
      </c>
      <c r="AD198">
        <v>1.079</v>
      </c>
      <c r="AE198">
        <v>1.047</v>
      </c>
    </row>
    <row r="199" ht="15" customHeight="1" spans="23:31" x14ac:dyDescent="0.25">
      <c r="W199">
        <v>1.014</v>
      </c>
      <c r="X199">
        <v>1.023</v>
      </c>
      <c r="Y199">
        <v>1.027</v>
      </c>
      <c r="Z199">
        <v>1.034</v>
      </c>
      <c r="AA199">
        <v>0.994</v>
      </c>
      <c r="AB199">
        <v>0.985</v>
      </c>
      <c r="AC199">
        <v>1.014</v>
      </c>
      <c r="AD199">
        <v>1.046</v>
      </c>
      <c r="AE199">
        <v>1.005</v>
      </c>
    </row>
    <row r="201" ht="15" customHeight="1" spans="3:33" x14ac:dyDescent="0.25">
      <c r="C201" s="2380" t="s">
        <v>2142</v>
      </c>
      <c r="D201" s="2380"/>
      <c r="E201" s="2380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S201" s="2380" t="s">
        <v>2142</v>
      </c>
      <c r="T201" s="2380"/>
      <c r="U201" s="2380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 ht="15" customHeight="1" spans="3:33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S202" s="24"/>
      <c r="T202" s="24"/>
      <c r="U202" s="24"/>
      <c r="V202" s="24"/>
      <c r="W202" s="24">
        <v>1.064</v>
      </c>
      <c r="X202" s="24">
        <v>1.082</v>
      </c>
      <c r="Y202" s="24">
        <v>1.085</v>
      </c>
      <c r="Z202" s="24">
        <v>1.052</v>
      </c>
      <c r="AA202" s="24">
        <v>0.921</v>
      </c>
      <c r="AB202" s="24">
        <v>1.045</v>
      </c>
      <c r="AC202" s="24">
        <v>1.043</v>
      </c>
      <c r="AD202" s="24">
        <v>1.034</v>
      </c>
      <c r="AE202" s="24">
        <v>1.013</v>
      </c>
      <c r="AF202" s="24">
        <v>1.006</v>
      </c>
      <c r="AG202" s="24"/>
    </row>
    <row r="203" ht="15" customHeight="1" spans="3:33" x14ac:dyDescent="0.25">
      <c r="C203" s="2381" t="s">
        <v>2143</v>
      </c>
      <c r="D203" s="2381"/>
      <c r="E203" s="1574"/>
      <c r="F203" s="1574"/>
      <c r="G203" s="1574"/>
      <c r="H203" s="1574"/>
      <c r="I203" s="1574"/>
      <c r="J203" s="1574"/>
      <c r="K203" s="1574"/>
      <c r="L203" s="1574"/>
      <c r="M203" s="24"/>
      <c r="N203" s="24"/>
      <c r="O203" s="24"/>
      <c r="P203" s="24"/>
      <c r="Q203" s="24"/>
      <c r="S203" s="2381" t="s">
        <v>2143</v>
      </c>
      <c r="T203" s="2381"/>
      <c r="U203" s="1574"/>
      <c r="V203" s="1574"/>
      <c r="W203" s="1574"/>
      <c r="X203" s="1574"/>
      <c r="Y203" s="1574"/>
      <c r="Z203" s="1574"/>
      <c r="AA203" s="1574"/>
      <c r="AB203" s="1574"/>
      <c r="AC203" s="24"/>
      <c r="AD203" s="24"/>
      <c r="AE203" s="24"/>
      <c r="AF203" s="24"/>
      <c r="AG203" s="24"/>
    </row>
    <row r="204" ht="15" customHeight="1" spans="3:33" x14ac:dyDescent="0.25">
      <c r="C204" s="2382" t="s">
        <v>2144</v>
      </c>
      <c r="D204" s="2382"/>
      <c r="E204" s="1574"/>
      <c r="F204" s="1574"/>
      <c r="G204" s="1574"/>
      <c r="H204" s="1574"/>
      <c r="I204" s="1574"/>
      <c r="J204" s="1574"/>
      <c r="K204" s="1574"/>
      <c r="L204" s="1574"/>
      <c r="M204" s="24"/>
      <c r="N204" s="24"/>
      <c r="O204" s="24"/>
      <c r="P204" s="24"/>
      <c r="Q204" s="24"/>
      <c r="S204" s="2382" t="s">
        <v>2144</v>
      </c>
      <c r="T204" s="2382"/>
      <c r="U204" s="1574"/>
      <c r="V204" s="1574"/>
      <c r="W204" s="1574"/>
      <c r="X204" s="1574"/>
      <c r="Y204" s="1574"/>
      <c r="Z204" s="1574"/>
      <c r="AA204" s="1574"/>
      <c r="AB204" s="1574"/>
      <c r="AC204" s="24"/>
      <c r="AD204" s="24"/>
      <c r="AE204" s="24"/>
      <c r="AF204" s="24"/>
      <c r="AG204" s="24"/>
    </row>
    <row r="205" ht="15" customHeight="1" spans="3:33" x14ac:dyDescent="0.25">
      <c r="C205" s="2383"/>
      <c r="D205" s="2384">
        <v>2002</v>
      </c>
      <c r="E205" s="2385">
        <v>2003</v>
      </c>
      <c r="F205" s="2386">
        <v>2004</v>
      </c>
      <c r="G205" s="2387">
        <v>2005</v>
      </c>
      <c r="H205" s="2388">
        <v>2006</v>
      </c>
      <c r="I205" s="2387">
        <v>2007</v>
      </c>
      <c r="J205" s="2388">
        <v>2008</v>
      </c>
      <c r="K205" s="2388">
        <v>2009</v>
      </c>
      <c r="L205" s="2388">
        <v>2010</v>
      </c>
      <c r="M205" s="2388">
        <v>2011</v>
      </c>
      <c r="N205" s="2388">
        <v>2012</v>
      </c>
      <c r="O205" s="2388">
        <v>2013</v>
      </c>
      <c r="P205" s="2389" t="s">
        <v>2145</v>
      </c>
      <c r="Q205" s="24"/>
      <c r="S205" s="2383"/>
      <c r="T205" s="2384">
        <v>2002</v>
      </c>
      <c r="U205" s="2385">
        <v>2003</v>
      </c>
      <c r="V205" s="2386">
        <v>2004</v>
      </c>
      <c r="W205" s="2387">
        <v>2005</v>
      </c>
      <c r="X205" s="2388">
        <v>2006</v>
      </c>
      <c r="Y205" s="2387">
        <v>2007</v>
      </c>
      <c r="Z205" s="2388">
        <v>2008</v>
      </c>
      <c r="AA205" s="2388">
        <v>2009</v>
      </c>
      <c r="AB205" s="2388">
        <v>2010</v>
      </c>
      <c r="AC205" s="2388">
        <v>2011</v>
      </c>
      <c r="AD205" s="2388">
        <v>2012</v>
      </c>
      <c r="AE205" s="2388">
        <v>2013</v>
      </c>
      <c r="AF205" s="2389" t="s">
        <v>2145</v>
      </c>
      <c r="AG205" s="24"/>
    </row>
    <row r="206" ht="31.75" customHeight="1" spans="3:33" x14ac:dyDescent="0.25">
      <c r="C206" s="2390" t="s">
        <v>2146</v>
      </c>
      <c r="D206" s="2391">
        <v>27312.3</v>
      </c>
      <c r="E206" s="2392">
        <v>29304.9</v>
      </c>
      <c r="F206" s="2393">
        <v>31407.8</v>
      </c>
      <c r="G206" s="2394">
        <v>33410.5</v>
      </c>
      <c r="H206" s="2392">
        <v>36134.6</v>
      </c>
      <c r="I206" s="2394">
        <v>39218.7</v>
      </c>
      <c r="J206" s="2392">
        <v>41276.8</v>
      </c>
      <c r="K206" s="2392">
        <v>38048.6</v>
      </c>
      <c r="L206" s="2392">
        <v>39762.2</v>
      </c>
      <c r="M206" s="2392">
        <v>41457.8</v>
      </c>
      <c r="N206" s="2392">
        <v>42869.6</v>
      </c>
      <c r="O206" s="2392">
        <v>43444.4</v>
      </c>
      <c r="P206" s="2392">
        <v>43722.7</v>
      </c>
      <c r="Q206" s="24"/>
      <c r="S206" s="2390" t="s">
        <v>2146</v>
      </c>
      <c r="T206" s="2391">
        <v>27312.3</v>
      </c>
      <c r="U206" s="2395">
        <f t="shared" ref="U206:AF206" si="49">E206/D206</f>
        <v>1.0729561406399315</v>
      </c>
      <c r="V206" s="2395">
        <f t="shared" si="49"/>
        <v>1.0717593303508968</v>
      </c>
      <c r="W206" s="2395">
        <f t="shared" si="49"/>
        <v>1.063764415208961</v>
      </c>
      <c r="X206" s="2395">
        <f t="shared" si="49"/>
        <v>1.0815342482153814</v>
      </c>
      <c r="Y206" s="2395">
        <f t="shared" si="49"/>
        <v>1.0853503290475057</v>
      </c>
      <c r="Z206" s="2395">
        <f t="shared" si="49"/>
        <v>1.052477517102811</v>
      </c>
      <c r="AA206" s="2395">
        <f t="shared" si="49"/>
        <v>0.921791417939375</v>
      </c>
      <c r="AB206" s="2395">
        <f t="shared" si="49"/>
        <v>1.045037136714623</v>
      </c>
      <c r="AC206" s="2395">
        <f t="shared" si="49"/>
        <v>1.0426435157008416</v>
      </c>
      <c r="AD206" s="2395">
        <f t="shared" si="49"/>
        <v>1.0340539054170745</v>
      </c>
      <c r="AE206" s="2395">
        <f t="shared" si="49"/>
        <v>1.0134081027114785</v>
      </c>
      <c r="AF206" s="2395">
        <f t="shared" si="49"/>
        <v>1.0064058889062801</v>
      </c>
      <c r="AG206" s="24"/>
    </row>
    <row r="207" ht="15" customHeight="1" spans="3:33" x14ac:dyDescent="0.25">
      <c r="C207" s="2396"/>
      <c r="D207" s="2397"/>
      <c r="E207" s="2398"/>
      <c r="F207" s="2399"/>
      <c r="G207" s="2400"/>
      <c r="H207" s="2398"/>
      <c r="I207" s="2400"/>
      <c r="J207" s="2398"/>
      <c r="K207" s="2398"/>
      <c r="L207" s="2398"/>
      <c r="M207" s="2398"/>
      <c r="N207" s="2398"/>
      <c r="O207" s="2398"/>
      <c r="P207" s="2398"/>
      <c r="Q207" s="24"/>
      <c r="S207" s="2396"/>
      <c r="T207" s="2397"/>
      <c r="U207" s="2398"/>
      <c r="V207" s="2399"/>
      <c r="W207" s="2400"/>
      <c r="X207" s="2398"/>
      <c r="Y207" s="2400"/>
      <c r="Z207" s="2398"/>
      <c r="AA207" s="2398"/>
      <c r="AB207" s="2398"/>
      <c r="AC207" s="2398"/>
      <c r="AD207" s="2398"/>
      <c r="AE207" s="2398"/>
      <c r="AF207" s="2398"/>
      <c r="AG207" s="24"/>
    </row>
    <row r="208" ht="52.25" customHeight="1" spans="3:33" x14ac:dyDescent="0.25">
      <c r="C208" s="2401" t="s">
        <v>2147</v>
      </c>
      <c r="D208" s="2402">
        <v>16458</v>
      </c>
      <c r="E208" s="2403">
        <v>17458.5</v>
      </c>
      <c r="F208" s="2404">
        <v>19092.6</v>
      </c>
      <c r="G208" s="2405">
        <v>20835</v>
      </c>
      <c r="H208" s="2403">
        <v>22821.5</v>
      </c>
      <c r="I208" s="2405">
        <v>25369.6</v>
      </c>
      <c r="J208" s="2403">
        <v>27543.6</v>
      </c>
      <c r="K208" s="2403">
        <v>26460.5</v>
      </c>
      <c r="L208" s="2403">
        <v>27399.7</v>
      </c>
      <c r="M208" s="2403">
        <v>28849</v>
      </c>
      <c r="N208" s="2403">
        <v>30684.4</v>
      </c>
      <c r="O208" s="2403">
        <v>31881.9</v>
      </c>
      <c r="P208" s="2403">
        <v>32161.5</v>
      </c>
      <c r="Q208" s="24"/>
      <c r="S208" s="2401" t="s">
        <v>2147</v>
      </c>
      <c r="T208" s="2402">
        <v>16458</v>
      </c>
      <c r="U208" s="2406">
        <f t="shared" ref="U208:AF209" si="50">E208/D208</f>
        <v>1.0607911046299672</v>
      </c>
      <c r="V208" s="2406">
        <f t="shared" si="50"/>
        <v>1.0935991064524442</v>
      </c>
      <c r="W208" s="2406">
        <f t="shared" si="50"/>
        <v>1.0912604883567456</v>
      </c>
      <c r="X208" s="2406">
        <f t="shared" si="50"/>
        <v>1.0953443724502039</v>
      </c>
      <c r="Y208" s="2406">
        <f t="shared" si="50"/>
        <v>1.11165348465263</v>
      </c>
      <c r="Z208" s="2406">
        <f t="shared" si="50"/>
        <v>1.0856931130171543</v>
      </c>
      <c r="AA208" s="2406">
        <f t="shared" si="50"/>
        <v>0.9606768904573114</v>
      </c>
      <c r="AB208" s="2406">
        <f t="shared" si="50"/>
        <v>1.0354944162052873</v>
      </c>
      <c r="AC208" s="2406">
        <f t="shared" si="50"/>
        <v>1.0528947397234276</v>
      </c>
      <c r="AD208" s="2406">
        <f t="shared" si="50"/>
        <v>1.0636209227356235</v>
      </c>
      <c r="AE208" s="2406">
        <f t="shared" si="50"/>
        <v>1.0390263456349154</v>
      </c>
      <c r="AF208" s="2406">
        <f t="shared" si="50"/>
        <v>1.0087698662877682</v>
      </c>
      <c r="AG208" s="24"/>
    </row>
    <row r="209" ht="42" customHeight="1" spans="3:33" x14ac:dyDescent="0.25">
      <c r="C209" s="2407" t="s">
        <v>2148</v>
      </c>
      <c r="D209" s="2408">
        <v>10366.6</v>
      </c>
      <c r="E209" s="2409">
        <v>11159.8</v>
      </c>
      <c r="F209" s="2410">
        <v>12550.7</v>
      </c>
      <c r="G209" s="2411">
        <v>14087.4</v>
      </c>
      <c r="H209" s="2409">
        <v>15799.7</v>
      </c>
      <c r="I209" s="2411">
        <v>18060.8</v>
      </c>
      <c r="J209" s="2409">
        <v>19967</v>
      </c>
      <c r="K209" s="2409">
        <v>18946.6</v>
      </c>
      <c r="L209" s="2409">
        <v>19993.8</v>
      </c>
      <c r="M209" s="2409">
        <v>21356.2</v>
      </c>
      <c r="N209" s="2409">
        <v>23026.3</v>
      </c>
      <c r="O209" s="2409">
        <v>24176.5</v>
      </c>
      <c r="P209" s="2409">
        <v>24479.5</v>
      </c>
      <c r="Q209" s="24"/>
      <c r="S209" s="2407" t="s">
        <v>2148</v>
      </c>
      <c r="T209" s="2408">
        <v>10366.6</v>
      </c>
      <c r="U209" s="2412">
        <f t="shared" si="50"/>
        <v>1.0765149615110063</v>
      </c>
      <c r="V209" s="2412">
        <f t="shared" si="50"/>
        <v>1.1246348500869192</v>
      </c>
      <c r="W209" s="2412">
        <f t="shared" si="50"/>
        <v>1.1224393858509882</v>
      </c>
      <c r="X209" s="2412">
        <f t="shared" si="50"/>
        <v>1.121548333972202</v>
      </c>
      <c r="Y209" s="2412">
        <f t="shared" si="50"/>
        <v>1.143110312221118</v>
      </c>
      <c r="Z209" s="2412">
        <f t="shared" si="50"/>
        <v>1.1055434975194898</v>
      </c>
      <c r="AA209" s="2412">
        <f t="shared" si="50"/>
        <v>0.948895677868483</v>
      </c>
      <c r="AB209" s="2412">
        <f t="shared" si="50"/>
        <v>1.0552711304402902</v>
      </c>
      <c r="AC209" s="2412">
        <f t="shared" si="50"/>
        <v>1.068141123748362</v>
      </c>
      <c r="AD209" s="2412">
        <f t="shared" si="50"/>
        <v>1.078202114608404</v>
      </c>
      <c r="AE209" s="2412">
        <f t="shared" si="50"/>
        <v>1.0499515771096528</v>
      </c>
      <c r="AF209" s="2412">
        <f t="shared" si="50"/>
        <v>1.0125328314685749</v>
      </c>
      <c r="AG209" s="24"/>
    </row>
    <row r="210" ht="52.25" customHeight="1" spans="3:33" x14ac:dyDescent="0.25">
      <c r="C210" s="2407" t="s">
        <v>2149</v>
      </c>
      <c r="D210" s="2408">
        <v>6390</v>
      </c>
      <c r="E210" s="2409">
        <v>6540.2</v>
      </c>
      <c r="F210" s="2410">
        <v>6679</v>
      </c>
      <c r="G210" s="2411">
        <v>6775.3</v>
      </c>
      <c r="H210" s="2409">
        <v>6931.9</v>
      </c>
      <c r="I210" s="2411">
        <v>7120.7</v>
      </c>
      <c r="J210" s="2409">
        <v>7359.9</v>
      </c>
      <c r="K210" s="2409">
        <v>7314.5</v>
      </c>
      <c r="L210" s="2409">
        <v>7205.7</v>
      </c>
      <c r="M210" s="2409">
        <v>7306.7</v>
      </c>
      <c r="N210" s="2409">
        <v>7497.7</v>
      </c>
      <c r="O210" s="2409">
        <v>7581.5</v>
      </c>
      <c r="P210" s="2409">
        <v>7575.7</v>
      </c>
      <c r="Q210" s="24"/>
      <c r="S210" s="2407" t="s">
        <v>2149</v>
      </c>
      <c r="T210" s="2408">
        <v>6390</v>
      </c>
      <c r="U210" s="2412">
        <f>E210/D210</f>
        <v>1.023505477308294</v>
      </c>
      <c r="V210" s="2412">
        <f>F210/E210</f>
        <v>1.0212225925812666</v>
      </c>
      <c r="W210" s="2412">
        <f>G210/F210</f>
        <v>1.014418326096721</v>
      </c>
      <c r="X210" s="2412">
        <f>H210/G210</f>
        <v>1.023113367673756</v>
      </c>
      <c r="Y210" s="2412">
        <f t="shared" ref="Y210:AF210" si="51">I210/H210</f>
        <v>1.0272363998326577</v>
      </c>
      <c r="Z210" s="2412">
        <f t="shared" si="51"/>
        <v>1.0335922030137485</v>
      </c>
      <c r="AA210" s="2412">
        <f t="shared" si="51"/>
        <v>0.9938314379271458</v>
      </c>
      <c r="AB210" s="2412">
        <f t="shared" si="51"/>
        <v>0.9851254357782486</v>
      </c>
      <c r="AC210" s="2412">
        <f t="shared" si="51"/>
        <v>1.014016681238464</v>
      </c>
      <c r="AD210" s="2412">
        <f t="shared" si="51"/>
        <v>1.0261403916952934</v>
      </c>
      <c r="AE210" s="2412">
        <f t="shared" si="51"/>
        <v>1.0111767608733344</v>
      </c>
      <c r="AF210" s="2412">
        <f t="shared" si="51"/>
        <v>0.999234979885247</v>
      </c>
      <c r="AG210" s="24"/>
    </row>
    <row r="211" ht="123.5" customHeight="1" spans="3:33" x14ac:dyDescent="0.25">
      <c r="C211" s="2407" t="s">
        <v>2150</v>
      </c>
      <c r="D211" s="2408">
        <v>299.6</v>
      </c>
      <c r="E211" s="2409">
        <v>300</v>
      </c>
      <c r="F211" s="2410">
        <v>266.7</v>
      </c>
      <c r="G211" s="2411">
        <v>217.8</v>
      </c>
      <c r="H211" s="2409">
        <v>214</v>
      </c>
      <c r="I211" s="2411">
        <v>219.9</v>
      </c>
      <c r="J211" s="2409">
        <v>216.7</v>
      </c>
      <c r="K211" s="2409">
        <v>199.4</v>
      </c>
      <c r="L211" s="2409">
        <v>198.4</v>
      </c>
      <c r="M211" s="2409">
        <v>188.8</v>
      </c>
      <c r="N211" s="2409">
        <v>186.4</v>
      </c>
      <c r="O211" s="2409">
        <v>183.6</v>
      </c>
      <c r="P211" s="2409">
        <v>180.9</v>
      </c>
      <c r="Q211" s="24"/>
      <c r="S211" s="2407" t="s">
        <v>2150</v>
      </c>
      <c r="T211" s="2408">
        <v>299.6</v>
      </c>
      <c r="U211" s="2412">
        <f>E211/D211</f>
        <v>1.0013351134846462</v>
      </c>
      <c r="V211" s="2412">
        <f t="shared" ref="V211:AE211" si="52">F211/E211</f>
        <v>0.889</v>
      </c>
      <c r="W211" s="2412">
        <f t="shared" si="52"/>
        <v>0.8166479190101238</v>
      </c>
      <c r="X211" s="2412">
        <f t="shared" si="52"/>
        <v>0.9825528007346188</v>
      </c>
      <c r="Y211" s="2412">
        <f t="shared" si="52"/>
        <v>1.027570093457944</v>
      </c>
      <c r="Z211" s="2412">
        <f t="shared" si="52"/>
        <v>0.9854479308776716</v>
      </c>
      <c r="AA211" s="2412">
        <f t="shared" si="52"/>
        <v>0.9201661282879557</v>
      </c>
      <c r="AB211" s="2412">
        <f t="shared" si="52"/>
        <v>0.9949849548645938</v>
      </c>
      <c r="AC211" s="2412">
        <f t="shared" si="52"/>
        <v>0.9516129032258065</v>
      </c>
      <c r="AD211" s="2412">
        <f t="shared" si="52"/>
        <v>0.9872881355932203</v>
      </c>
      <c r="AE211" s="2412">
        <f t="shared" si="52"/>
        <v>0.9849785407725321</v>
      </c>
      <c r="AF211" s="2412">
        <f>P211/O211</f>
        <v>0.9852941176470589</v>
      </c>
      <c r="AG211" s="24"/>
    </row>
    <row r="212" ht="31.75" customHeight="1" spans="3:33" x14ac:dyDescent="0.25">
      <c r="C212" s="2401" t="s">
        <v>902</v>
      </c>
      <c r="D212" s="2402">
        <v>4723.1</v>
      </c>
      <c r="E212" s="2403">
        <v>5396.9</v>
      </c>
      <c r="F212" s="2404">
        <v>6056.2</v>
      </c>
      <c r="G212" s="2405">
        <v>6631.1</v>
      </c>
      <c r="H212" s="2403">
        <v>7806.4</v>
      </c>
      <c r="I212" s="2405">
        <v>9526.5</v>
      </c>
      <c r="J212" s="2403">
        <v>10526.1</v>
      </c>
      <c r="K212" s="2403">
        <v>6209.8</v>
      </c>
      <c r="L212" s="2403">
        <v>7982.2</v>
      </c>
      <c r="M212" s="2403">
        <v>9656.3</v>
      </c>
      <c r="N212" s="2403">
        <v>9953.5</v>
      </c>
      <c r="O212" s="2403">
        <v>9248</v>
      </c>
      <c r="P212" s="2403">
        <v>8569.3</v>
      </c>
      <c r="Q212" s="24"/>
      <c r="S212" s="2401" t="s">
        <v>902</v>
      </c>
      <c r="T212" s="2402">
        <v>4723.1</v>
      </c>
      <c r="U212" s="2406">
        <f>E212/D212</f>
        <v>1.1426605407465433</v>
      </c>
      <c r="V212" s="2406">
        <f t="shared" ref="V212:AF212" si="53">F212/E212</f>
        <v>1.1221627230447109</v>
      </c>
      <c r="W212" s="2406">
        <f t="shared" si="53"/>
        <v>1.0949275123014433</v>
      </c>
      <c r="X212" s="2406">
        <f t="shared" si="53"/>
        <v>1.1772405784862239</v>
      </c>
      <c r="Y212" s="2406">
        <f t="shared" si="53"/>
        <v>1.2203448452551753</v>
      </c>
      <c r="Z212" s="2406">
        <f t="shared" si="53"/>
        <v>1.1049283577389388</v>
      </c>
      <c r="AA212" s="2406">
        <f t="shared" si="53"/>
        <v>0.5899430938334236</v>
      </c>
      <c r="AB212" s="2406">
        <f t="shared" si="53"/>
        <v>1.285419820284067</v>
      </c>
      <c r="AC212" s="2406">
        <f t="shared" si="53"/>
        <v>1.20972914735286</v>
      </c>
      <c r="AD212" s="2406">
        <f t="shared" si="53"/>
        <v>1.0307778341600822</v>
      </c>
      <c r="AE212" s="2406">
        <f t="shared" si="53"/>
        <v>0.9291204099060631</v>
      </c>
      <c r="AF212" s="2406">
        <f t="shared" si="53"/>
        <v>0.9266111591695501</v>
      </c>
      <c r="AG212" s="24"/>
    </row>
    <row r="213" ht="73.75" customHeight="1" spans="3:33" x14ac:dyDescent="0.25">
      <c r="C213" s="2407" t="s">
        <v>2151</v>
      </c>
      <c r="D213" s="2408">
        <v>4105</v>
      </c>
      <c r="E213" s="2409">
        <v>4677.6</v>
      </c>
      <c r="F213" s="2410">
        <v>5266.2</v>
      </c>
      <c r="G213" s="2411">
        <v>5823.9</v>
      </c>
      <c r="H213" s="2409">
        <v>6873.4</v>
      </c>
      <c r="I213" s="2411">
        <v>8316</v>
      </c>
      <c r="J213" s="2409">
        <v>9200.8</v>
      </c>
      <c r="K213" s="2409">
        <v>7877.3</v>
      </c>
      <c r="L213" s="2409">
        <v>8339.7</v>
      </c>
      <c r="M213" s="2413" t="s">
        <v>2152</v>
      </c>
      <c r="N213" s="2409">
        <v>9702.8</v>
      </c>
      <c r="O213" s="2409">
        <v>9791.5</v>
      </c>
      <c r="P213" s="2413">
        <v>9596.1</v>
      </c>
      <c r="Q213" s="24"/>
      <c r="S213" s="2407" t="s">
        <v>2151</v>
      </c>
      <c r="T213" s="2408">
        <v>4105</v>
      </c>
      <c r="U213" s="2412">
        <f t="shared" ref="U213:Z213" si="54">G213/F213</f>
        <v>1.1059017887660931</v>
      </c>
      <c r="V213" s="2412">
        <f t="shared" si="54"/>
        <v>1.1802057040814575</v>
      </c>
      <c r="W213" s="2412">
        <f t="shared" si="54"/>
        <v>1.2098815724386767</v>
      </c>
      <c r="X213" s="2412">
        <f t="shared" si="54"/>
        <v>1.1063973063973063</v>
      </c>
      <c r="Y213" s="2412">
        <f t="shared" si="54"/>
        <v>0.8561538127119381</v>
      </c>
      <c r="Z213" s="2412">
        <f t="shared" si="54"/>
        <v>1.0587003160981556</v>
      </c>
      <c r="AA213" s="2412">
        <f>K213/J213</f>
        <v>0.8561538127119381</v>
      </c>
      <c r="AB213" s="2412">
        <f>L213/K213</f>
        <v>1.0587003160981556</v>
      </c>
      <c r="AC213" s="2412">
        <f>9095.3/L213</f>
        <v>1.0906027794764799</v>
      </c>
      <c r="AD213" s="2412">
        <f>N213/9095.3</f>
        <v>1.0667927391070113</v>
      </c>
      <c r="AE213" s="2412">
        <f>9095.3/N213</f>
        <v>0.9373892072391474</v>
      </c>
      <c r="AF213" s="2412">
        <f>9095.3/O213</f>
        <v>0.9288975131491599</v>
      </c>
      <c r="AG213" s="24"/>
    </row>
    <row r="214" ht="15" customHeight="1" spans="3:33" x14ac:dyDescent="0.25">
      <c r="C214" s="2414" t="s">
        <v>928</v>
      </c>
      <c r="D214" s="2415">
        <v>8401.8</v>
      </c>
      <c r="E214" s="2409">
        <v>9463.8</v>
      </c>
      <c r="F214" s="2410">
        <v>10581.3</v>
      </c>
      <c r="G214" s="2411">
        <v>11264.7</v>
      </c>
      <c r="H214" s="2409">
        <v>12089.8</v>
      </c>
      <c r="I214" s="2411">
        <v>12847.6</v>
      </c>
      <c r="J214" s="2409">
        <v>12923.6</v>
      </c>
      <c r="K214" s="2409">
        <v>12311.5</v>
      </c>
      <c r="L214" s="2409">
        <v>13179.1</v>
      </c>
      <c r="M214" s="2409">
        <v>13220.4</v>
      </c>
      <c r="N214" s="2409">
        <v>13365.2</v>
      </c>
      <c r="O214" s="2409">
        <v>13977.7</v>
      </c>
      <c r="P214" s="2409">
        <v>13966.7</v>
      </c>
      <c r="Q214" s="24"/>
      <c r="S214" s="2414" t="s">
        <v>928</v>
      </c>
      <c r="T214" s="2415">
        <v>8401.8</v>
      </c>
      <c r="U214" s="2412">
        <f>E214/D214</f>
        <v>1.1264014853959865</v>
      </c>
      <c r="V214" s="2412">
        <f t="shared" ref="V214:AF214" si="55">F214/E214</f>
        <v>1.1180815317314399</v>
      </c>
      <c r="W214" s="2412">
        <f t="shared" si="55"/>
        <v>1.0645856369255198</v>
      </c>
      <c r="X214" s="2412">
        <f t="shared" si="55"/>
        <v>1.0732465134446545</v>
      </c>
      <c r="Y214" s="2412">
        <f t="shared" si="55"/>
        <v>1.0626809376499198</v>
      </c>
      <c r="Z214" s="2412">
        <f t="shared" si="55"/>
        <v>1.005915501727949</v>
      </c>
      <c r="AA214" s="2412">
        <f t="shared" si="55"/>
        <v>0.9526370361199665</v>
      </c>
      <c r="AB214" s="2412">
        <f t="shared" si="55"/>
        <v>1.0704706981277667</v>
      </c>
      <c r="AC214" s="2412">
        <f t="shared" si="55"/>
        <v>1.0031337496490655</v>
      </c>
      <c r="AD214" s="2412">
        <f t="shared" si="55"/>
        <v>1.0109527699615746</v>
      </c>
      <c r="AE214" s="2412">
        <f t="shared" si="55"/>
        <v>1.045827971148954</v>
      </c>
      <c r="AF214" s="2412">
        <f t="shared" si="55"/>
        <v>0.9992130321869835</v>
      </c>
      <c r="AG214" s="24"/>
    </row>
    <row r="215" ht="15" customHeight="1" spans="3:33" x14ac:dyDescent="0.25">
      <c r="C215" s="2414" t="s">
        <v>2153</v>
      </c>
      <c r="D215" s="2415">
        <v>3076.3</v>
      </c>
      <c r="E215" s="2409">
        <v>3607.9</v>
      </c>
      <c r="F215" s="2410">
        <v>4447.1</v>
      </c>
      <c r="G215" s="2411">
        <v>5186.7</v>
      </c>
      <c r="H215" s="2409">
        <v>6290.1</v>
      </c>
      <c r="I215" s="2411">
        <v>7938.4</v>
      </c>
      <c r="J215" s="2409">
        <v>9111</v>
      </c>
      <c r="K215" s="2409">
        <v>6339.5</v>
      </c>
      <c r="L215" s="2409">
        <v>7975.9</v>
      </c>
      <c r="M215" s="2409">
        <v>9593.9</v>
      </c>
      <c r="N215" s="2409">
        <v>10426.2</v>
      </c>
      <c r="O215" s="2409">
        <v>10826.5</v>
      </c>
      <c r="P215" s="2409">
        <v>9974.5</v>
      </c>
      <c r="Q215" s="24"/>
      <c r="S215" s="2414" t="s">
        <v>2153</v>
      </c>
      <c r="T215" s="2415">
        <v>3076.3</v>
      </c>
      <c r="U215" s="2412">
        <f>E215/D215</f>
        <v>1.1728049930110847</v>
      </c>
      <c r="V215" s="2412">
        <f t="shared" ref="V215:AF215" si="56">F215/E215</f>
        <v>1.2326006818370798</v>
      </c>
      <c r="W215" s="2412">
        <f t="shared" si="56"/>
        <v>1.166310629398934</v>
      </c>
      <c r="X215" s="2412">
        <f t="shared" si="56"/>
        <v>1.2127364220024295</v>
      </c>
      <c r="Y215" s="2412">
        <f t="shared" si="56"/>
        <v>1.2620467083194225</v>
      </c>
      <c r="Z215" s="2412">
        <f t="shared" si="56"/>
        <v>1.1477123853673286</v>
      </c>
      <c r="AA215" s="2412">
        <f t="shared" si="56"/>
        <v>0.6958072659422676</v>
      </c>
      <c r="AB215" s="2412">
        <f t="shared" si="56"/>
        <v>1.2581276125877434</v>
      </c>
      <c r="AC215" s="2412">
        <f t="shared" si="56"/>
        <v>1.2028611191213532</v>
      </c>
      <c r="AD215" s="2412">
        <f t="shared" si="56"/>
        <v>1.086753040994799</v>
      </c>
      <c r="AE215" s="2412">
        <f t="shared" si="56"/>
        <v>1.0383936621204273</v>
      </c>
      <c r="AF215" s="2412">
        <f t="shared" si="56"/>
        <v>0.9213042072692006</v>
      </c>
      <c r="AG215" s="24"/>
    </row>
    <row r="216" ht="42" customHeight="1" spans="3:33" x14ac:dyDescent="0.25">
      <c r="C216" s="2416" t="s">
        <v>2154</v>
      </c>
      <c r="D216" s="2417">
        <v>-247.6</v>
      </c>
      <c r="E216" s="2418">
        <v>-302.7</v>
      </c>
      <c r="F216" s="2419">
        <v>-424.6</v>
      </c>
      <c r="G216" s="2420">
        <v>-534</v>
      </c>
      <c r="H216" s="2418">
        <v>-486.5</v>
      </c>
      <c r="I216" s="2420">
        <v>-573</v>
      </c>
      <c r="J216" s="2418">
        <v>-605.5</v>
      </c>
      <c r="K216" s="2418">
        <v>-593.7</v>
      </c>
      <c r="L216" s="2418">
        <v>-686</v>
      </c>
      <c r="M216" s="2418">
        <v>-697.9</v>
      </c>
      <c r="N216" s="2418">
        <v>-745.4</v>
      </c>
      <c r="O216" s="2418">
        <v>-787.6</v>
      </c>
      <c r="P216" s="2418">
        <v>-825.8</v>
      </c>
      <c r="Q216" s="24"/>
      <c r="S216" s="2416" t="s">
        <v>2154</v>
      </c>
      <c r="T216" s="2417">
        <v>-247.6</v>
      </c>
      <c r="U216" s="2418">
        <v>-302.7</v>
      </c>
      <c r="V216" s="2419">
        <v>-424.6</v>
      </c>
      <c r="W216" s="2420">
        <v>-534</v>
      </c>
      <c r="X216" s="2418">
        <v>-486.5</v>
      </c>
      <c r="Y216" s="2420">
        <v>-573</v>
      </c>
      <c r="Z216" s="2418">
        <v>-605.5</v>
      </c>
      <c r="AA216" s="2418">
        <v>-593.7</v>
      </c>
      <c r="AB216" s="2418">
        <v>-686</v>
      </c>
      <c r="AC216" s="2418">
        <v>-697.9</v>
      </c>
      <c r="AD216" s="2418">
        <v>-745.4</v>
      </c>
      <c r="AE216" s="2418">
        <v>-787.6</v>
      </c>
      <c r="AF216" s="2418">
        <v>-825.8</v>
      </c>
      <c r="AG216" s="24"/>
    </row>
    <row r="217" ht="15" customHeight="1" spans="3:33" x14ac:dyDescent="0.25">
      <c r="C217" s="2421"/>
      <c r="D217" s="2421"/>
      <c r="E217" s="2411"/>
      <c r="F217" s="2411"/>
      <c r="G217" s="2411"/>
      <c r="H217" s="2411"/>
      <c r="I217" s="2411"/>
      <c r="J217" s="2411"/>
      <c r="K217" s="2411"/>
      <c r="L217" s="2411"/>
      <c r="M217" s="24"/>
      <c r="N217" s="24"/>
      <c r="O217" s="24"/>
      <c r="P217" s="24"/>
      <c r="Q217" s="24"/>
      <c r="S217" s="2421"/>
      <c r="T217" s="2421"/>
      <c r="U217" s="2411"/>
      <c r="V217" s="2411"/>
      <c r="W217" s="2411"/>
      <c r="X217" s="2411"/>
      <c r="Y217" s="2411"/>
      <c r="Z217" s="2411"/>
      <c r="AA217" s="2411"/>
      <c r="AB217" s="2411"/>
      <c r="AC217" s="24"/>
      <c r="AD217" s="24"/>
      <c r="AE217" s="24"/>
      <c r="AF217" s="24"/>
      <c r="AG217" s="24"/>
    </row>
    <row r="218" ht="15" customHeight="1" spans="3:33" x14ac:dyDescent="0.25">
      <c r="C218" s="2422" t="s">
        <v>2155</v>
      </c>
      <c r="D218" s="1724"/>
      <c r="E218" s="1724"/>
      <c r="F218" s="1724"/>
      <c r="G218" s="1724"/>
      <c r="H218" s="1724"/>
      <c r="I218" s="1724"/>
      <c r="J218" s="1724"/>
      <c r="K218" s="2411"/>
      <c r="L218" s="2411"/>
      <c r="M218" s="24"/>
      <c r="N218" s="24"/>
      <c r="O218" s="24"/>
      <c r="P218" s="24"/>
      <c r="Q218" s="24"/>
      <c r="S218" s="2422" t="s">
        <v>2155</v>
      </c>
      <c r="T218" s="1724"/>
      <c r="U218" s="1724"/>
      <c r="V218" s="1724"/>
      <c r="W218" s="1724"/>
      <c r="X218" s="1724"/>
      <c r="Y218" s="1724"/>
      <c r="Z218" s="1724"/>
      <c r="AA218" s="2411"/>
      <c r="AB218" s="2411"/>
      <c r="AC218" s="24"/>
      <c r="AD218" s="24"/>
      <c r="AE218" s="24"/>
      <c r="AF218" s="24"/>
      <c r="AG218" s="24"/>
    </row>
    <row r="219" ht="15" customHeight="1" spans="3:33" x14ac:dyDescent="0.25">
      <c r="C219" s="2423" t="s">
        <v>2156</v>
      </c>
      <c r="D219" s="1550"/>
      <c r="E219" s="1550"/>
      <c r="F219" s="1550"/>
      <c r="G219" s="1550"/>
      <c r="H219" s="1550"/>
      <c r="I219" s="1550"/>
      <c r="J219" s="1550"/>
      <c r="K219" s="1550"/>
      <c r="L219" s="1550"/>
      <c r="M219" s="1550"/>
      <c r="N219" s="1550"/>
      <c r="O219" s="24"/>
      <c r="P219" s="24"/>
      <c r="Q219" s="24"/>
      <c r="S219" s="2423" t="s">
        <v>2156</v>
      </c>
      <c r="T219" s="1550"/>
      <c r="U219" s="1550"/>
      <c r="V219" s="1550"/>
      <c r="W219" s="1550"/>
      <c r="X219" s="1550"/>
      <c r="Y219" s="1550"/>
      <c r="Z219" s="1550"/>
      <c r="AA219" s="1550"/>
      <c r="AB219" s="1550"/>
      <c r="AC219" s="1550"/>
      <c r="AD219" s="1550"/>
      <c r="AE219" s="24"/>
      <c r="AF219" s="24"/>
      <c r="AG219" s="24"/>
    </row>
    <row r="220" ht="15" customHeight="1" spans="3:33" x14ac:dyDescent="0.25">
      <c r="C220" s="2424" t="s">
        <v>2157</v>
      </c>
      <c r="D220" s="24"/>
      <c r="E220" s="24"/>
      <c r="F220" s="24"/>
      <c r="G220" s="103"/>
      <c r="H220" s="103"/>
      <c r="I220" s="103"/>
      <c r="J220" s="103"/>
      <c r="K220" s="103"/>
      <c r="L220" s="103"/>
      <c r="M220" s="24"/>
      <c r="N220" s="24"/>
      <c r="O220" s="24"/>
      <c r="P220" s="24"/>
      <c r="Q220" s="24"/>
      <c r="S220" s="2424" t="s">
        <v>2157</v>
      </c>
      <c r="T220" s="24"/>
      <c r="U220" s="24"/>
      <c r="V220" s="24"/>
      <c r="W220" s="103"/>
      <c r="X220" s="103"/>
      <c r="Y220" s="103"/>
      <c r="Z220" s="103"/>
      <c r="AA220" s="103"/>
      <c r="AB220" s="103"/>
      <c r="AC220" s="24"/>
      <c r="AD220" s="24"/>
      <c r="AE220" s="24"/>
      <c r="AF220" s="24"/>
      <c r="AG220" s="24"/>
    </row>
    <row r="221" ht="15" customHeight="1" spans="3:33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 ht="15" customHeight="1" spans="3:33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S222" s="24"/>
      <c r="T222" s="24"/>
      <c r="U222" s="24"/>
      <c r="V222" s="24"/>
      <c r="W222" s="24">
        <v>1.065</v>
      </c>
      <c r="X222" s="24">
        <v>1.073</v>
      </c>
      <c r="Y222" s="24">
        <v>1.063</v>
      </c>
      <c r="Z222" s="24">
        <v>1.006</v>
      </c>
      <c r="AA222" s="24">
        <v>0.953</v>
      </c>
      <c r="AB222" s="24">
        <v>1.07</v>
      </c>
      <c r="AC222" s="24">
        <v>1.003</v>
      </c>
      <c r="AD222" s="24">
        <v>1.014</v>
      </c>
      <c r="AE222" s="24">
        <v>1.046</v>
      </c>
      <c r="AF222" s="24">
        <v>0.999</v>
      </c>
      <c r="AG222" s="24"/>
    </row>
    <row r="223" ht="15" customHeight="1" spans="3:33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S223" s="24"/>
      <c r="T223" s="24"/>
      <c r="U223" s="24"/>
      <c r="V223" s="24"/>
      <c r="W223" s="24">
        <v>1.166</v>
      </c>
      <c r="X223" s="24">
        <v>1.213</v>
      </c>
      <c r="Y223" s="24">
        <v>1.262</v>
      </c>
      <c r="Z223" s="24">
        <v>1.148</v>
      </c>
      <c r="AA223" s="24">
        <v>0.696</v>
      </c>
      <c r="AB223" s="24">
        <v>1.258</v>
      </c>
      <c r="AC223" s="24">
        <v>1.203</v>
      </c>
      <c r="AD223" s="24">
        <v>1.088</v>
      </c>
      <c r="AE223" s="24">
        <v>1.03839</v>
      </c>
      <c r="AF223" s="24">
        <v>0.9213</v>
      </c>
      <c r="AG223" s="24"/>
    </row>
  </sheetData>
  <mergeCells count="12">
    <mergeCell ref="BS82:BS83"/>
    <mergeCell ref="C111:D111"/>
    <mergeCell ref="C187:D187"/>
    <mergeCell ref="C188:D188"/>
    <mergeCell ref="C201:E201"/>
    <mergeCell ref="S201:U201"/>
    <mergeCell ref="C203:L203"/>
    <mergeCell ref="S203:AB203"/>
    <mergeCell ref="C204:L204"/>
    <mergeCell ref="S204:AB204"/>
    <mergeCell ref="C219:N219"/>
    <mergeCell ref="S219:AD219"/>
  </mergeCells>
  <pageMargins left="0.7" right="0.7" top="0.75" bottom="0.75" header="0.3" footer="0.3"/>
  <pageSetup paperSize="9" orientation="landscape" horizontalDpi="4294967295" verticalDpi="4294967295" scale="9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AS23"/>
  <sheetViews>
    <sheetView workbookViewId="0" zoomScale="110" zoomScaleNormal="110">
      <selection activeCell="O7" sqref="O7"/>
    </sheetView>
  </sheetViews>
  <sheetFormatPr defaultRowHeight="14.5" outlineLevelRow="0" outlineLevelCol="0" x14ac:dyDescent="0" defaultColWidth="8.83203125" customHeight="1"/>
  <cols>
    <col min="14" max="14" width="9.6640625" customWidth="1"/>
  </cols>
  <sheetData>
    <row r="6" ht="16.25" customHeight="1" spans="31:45" x14ac:dyDescent="0.25">
      <c r="AE6" s="1429" t="s">
        <v>2158</v>
      </c>
      <c r="AF6" s="1385"/>
      <c r="AG6" s="1123"/>
      <c r="AH6" s="1123"/>
      <c r="AI6" s="1123"/>
      <c r="AJ6" s="1123"/>
      <c r="AK6" s="1119"/>
      <c r="AL6" s="1123">
        <v>2018</v>
      </c>
      <c r="AM6" s="1123">
        <v>2019</v>
      </c>
      <c r="AN6" s="1123">
        <v>2020</v>
      </c>
      <c r="AO6" s="1123">
        <v>2021</v>
      </c>
      <c r="AP6" s="1123">
        <v>2022</v>
      </c>
      <c r="AQ6" s="1123">
        <v>2023</v>
      </c>
      <c r="AR6" s="1123">
        <v>2024</v>
      </c>
      <c r="AS6" s="1119">
        <v>2025</v>
      </c>
    </row>
    <row r="7" ht="16.25" customHeight="1" spans="14:45" x14ac:dyDescent="0.25">
      <c r="N7" s="2425"/>
      <c r="O7" s="2426" t="s">
        <v>2159</v>
      </c>
      <c r="P7" s="2427"/>
      <c r="Q7" s="2427"/>
      <c r="R7" s="2427"/>
      <c r="S7" s="2427"/>
      <c r="T7" s="2427"/>
      <c r="U7" s="2428"/>
      <c r="V7" s="2429"/>
      <c r="AE7" s="397" t="s">
        <v>2160</v>
      </c>
      <c r="AF7" s="252"/>
      <c r="AG7" s="252"/>
      <c r="AH7" s="1355"/>
      <c r="AI7" s="1355"/>
      <c r="AJ7" s="1355"/>
      <c r="AK7" s="1956"/>
      <c r="AL7" s="1355"/>
      <c r="AM7" s="1355"/>
      <c r="AN7" s="1355"/>
      <c r="AO7" s="1355"/>
      <c r="AP7" s="1355"/>
      <c r="AQ7" s="1355"/>
      <c r="AR7" s="1355"/>
      <c r="AS7" s="1956"/>
    </row>
    <row r="8" ht="16.25" customHeight="1" spans="14:45" x14ac:dyDescent="0.25">
      <c r="N8" s="2430" t="s">
        <v>2161</v>
      </c>
      <c r="O8" s="2427"/>
      <c r="P8" s="2431"/>
      <c r="Q8" s="2432"/>
      <c r="R8" s="2432"/>
      <c r="S8" s="2430" t="s">
        <v>2162</v>
      </c>
      <c r="T8" s="2427"/>
      <c r="U8" s="2427"/>
      <c r="V8" s="2431"/>
      <c r="AE8" s="2433" t="s">
        <v>2163</v>
      </c>
      <c r="AF8" s="123"/>
      <c r="AG8" s="123"/>
      <c r="AH8" s="24"/>
      <c r="AI8" s="24"/>
      <c r="AJ8" s="24"/>
      <c r="AK8" s="685"/>
      <c r="AL8" s="24"/>
      <c r="AM8" s="24"/>
      <c r="AN8" s="24"/>
      <c r="AO8" s="24"/>
      <c r="AP8" s="24"/>
      <c r="AQ8" s="24"/>
      <c r="AR8" s="24"/>
      <c r="AS8" s="685"/>
    </row>
    <row r="9" ht="16.25" customHeight="1" spans="14:45" x14ac:dyDescent="0.25">
      <c r="N9" s="2434" t="s">
        <v>2164</v>
      </c>
      <c r="O9" s="2435"/>
      <c r="P9" s="2436"/>
      <c r="Q9" s="2432"/>
      <c r="R9" s="2432"/>
      <c r="S9" s="2430" t="s">
        <v>2165</v>
      </c>
      <c r="T9" s="2427"/>
      <c r="U9" s="2427"/>
      <c r="V9" s="2431"/>
      <c r="AE9" s="2433" t="s">
        <v>2166</v>
      </c>
      <c r="AF9" s="123"/>
      <c r="AG9" s="123"/>
      <c r="AH9" s="24"/>
      <c r="AI9" s="24"/>
      <c r="AJ9" s="24"/>
      <c r="AK9" s="685"/>
      <c r="AL9" s="24"/>
      <c r="AM9" s="24"/>
      <c r="AN9" s="24"/>
      <c r="AO9" s="24"/>
      <c r="AP9" s="24"/>
      <c r="AQ9" s="24"/>
      <c r="AR9" s="24"/>
      <c r="AS9" s="685"/>
    </row>
    <row r="10" ht="16.25" customHeight="1" spans="14:45" x14ac:dyDescent="0.25">
      <c r="N10" s="2430" t="s">
        <v>2167</v>
      </c>
      <c r="O10" s="2427"/>
      <c r="P10" s="2427"/>
      <c r="Q10" s="2431"/>
      <c r="R10" s="2432"/>
      <c r="S10" s="2430" t="s">
        <v>2168</v>
      </c>
      <c r="T10" s="2427"/>
      <c r="U10" s="2427"/>
      <c r="V10" s="2431"/>
      <c r="AE10" s="2433" t="s">
        <v>2169</v>
      </c>
      <c r="AF10" s="123"/>
      <c r="AG10" s="123"/>
      <c r="AH10" s="24"/>
      <c r="AI10" s="24"/>
      <c r="AJ10" s="24"/>
      <c r="AK10" s="685"/>
      <c r="AL10" s="24"/>
      <c r="AM10" s="24"/>
      <c r="AN10" s="24"/>
      <c r="AO10" s="24"/>
      <c r="AP10" s="24"/>
      <c r="AQ10" s="24"/>
      <c r="AR10" s="24"/>
      <c r="AS10" s="685"/>
    </row>
    <row r="11" ht="15.5" customHeight="1" spans="14:45" x14ac:dyDescent="0.25">
      <c r="N11" s="2437" t="s">
        <v>2170</v>
      </c>
      <c r="O11" s="20"/>
      <c r="P11" s="20"/>
      <c r="Q11" s="20"/>
      <c r="R11" s="20"/>
      <c r="S11" s="20"/>
      <c r="T11" s="20"/>
      <c r="U11" s="20"/>
      <c r="V11" s="2437" t="s">
        <v>2171</v>
      </c>
      <c r="AE11" s="2293" t="s">
        <v>2172</v>
      </c>
      <c r="AF11" s="446"/>
      <c r="AG11" s="446"/>
      <c r="AH11" s="692"/>
      <c r="AI11" s="692"/>
      <c r="AJ11" s="692"/>
      <c r="AK11" s="693"/>
      <c r="AL11" s="692"/>
      <c r="AM11" s="692"/>
      <c r="AN11" s="692"/>
      <c r="AO11" s="692"/>
      <c r="AP11" s="692"/>
      <c r="AQ11" s="692"/>
      <c r="AR11" s="692"/>
      <c r="AS11" s="693"/>
    </row>
    <row r="12" ht="15.5" customHeight="1" spans="14:34" x14ac:dyDescent="0.25">
      <c r="N12" s="2438">
        <v>1</v>
      </c>
      <c r="O12" s="20" t="s">
        <v>2173</v>
      </c>
      <c r="P12" s="20"/>
      <c r="Q12" s="20"/>
      <c r="R12" s="20"/>
      <c r="S12" s="20"/>
      <c r="T12" s="20"/>
      <c r="U12" s="20"/>
      <c r="V12" s="2438" t="s">
        <v>2174</v>
      </c>
      <c r="AD12" s="24"/>
      <c r="AE12" s="24"/>
      <c r="AF12" s="123"/>
      <c r="AG12" s="123"/>
      <c r="AH12" s="123"/>
    </row>
    <row r="13" ht="15" customHeight="1" spans="14:32" x14ac:dyDescent="0.25">
      <c r="N13" s="2438">
        <v>2</v>
      </c>
      <c r="O13" s="20" t="s">
        <v>2175</v>
      </c>
      <c r="P13" s="20"/>
      <c r="Q13" s="20"/>
      <c r="R13" s="20"/>
      <c r="S13" s="20"/>
      <c r="T13" s="20"/>
      <c r="U13" s="20"/>
      <c r="V13" s="2438"/>
      <c r="AD13" s="24"/>
      <c r="AE13" s="24"/>
      <c r="AF13" s="24"/>
    </row>
    <row r="14" ht="15" customHeight="1" spans="14:32" x14ac:dyDescent="0.25">
      <c r="N14" s="2438">
        <v>3</v>
      </c>
      <c r="O14" s="20" t="s">
        <v>2176</v>
      </c>
      <c r="P14" s="20"/>
      <c r="Q14" s="20"/>
      <c r="R14" s="20"/>
      <c r="S14" s="20"/>
      <c r="T14" s="20"/>
      <c r="U14" s="20"/>
      <c r="V14" s="2438"/>
      <c r="AD14" s="24"/>
      <c r="AE14" s="24"/>
      <c r="AF14" s="24"/>
    </row>
    <row r="15" ht="15" customHeight="1" spans="14:32" x14ac:dyDescent="0.25">
      <c r="N15" s="2438">
        <v>4</v>
      </c>
      <c r="O15" s="20" t="s">
        <v>2177</v>
      </c>
      <c r="P15" s="20"/>
      <c r="Q15" s="20"/>
      <c r="R15" s="20"/>
      <c r="S15" s="20"/>
      <c r="T15" s="20"/>
      <c r="U15" s="20"/>
      <c r="V15" s="2438"/>
      <c r="AD15" s="24"/>
      <c r="AE15" s="24"/>
      <c r="AF15" s="24"/>
    </row>
    <row r="16" ht="15" customHeight="1" spans="14:32" x14ac:dyDescent="0.25">
      <c r="N16" s="2438">
        <v>5</v>
      </c>
      <c r="O16" s="20" t="s">
        <v>2178</v>
      </c>
      <c r="P16" s="20"/>
      <c r="Q16" s="20"/>
      <c r="R16" s="20"/>
      <c r="S16" s="20"/>
      <c r="T16" s="20"/>
      <c r="U16" s="20"/>
      <c r="V16" s="2438"/>
      <c r="AD16" s="24"/>
      <c r="AE16" s="24"/>
      <c r="AF16" s="24"/>
    </row>
    <row r="17" ht="15" customHeight="1" spans="14:32" x14ac:dyDescent="0.25">
      <c r="N17" s="2438">
        <v>6</v>
      </c>
      <c r="O17" s="20" t="s">
        <v>2179</v>
      </c>
      <c r="P17" s="20"/>
      <c r="Q17" s="20"/>
      <c r="R17" s="20"/>
      <c r="S17" s="20"/>
      <c r="T17" s="20"/>
      <c r="U17" s="20"/>
      <c r="V17" s="2438"/>
      <c r="AD17" s="24"/>
      <c r="AE17" s="24"/>
      <c r="AF17" s="24"/>
    </row>
    <row r="18" ht="15" customHeight="1" spans="14:32" x14ac:dyDescent="0.25">
      <c r="N18" s="2438">
        <v>7</v>
      </c>
      <c r="O18" s="20" t="s">
        <v>2180</v>
      </c>
      <c r="P18" s="20"/>
      <c r="Q18" s="20"/>
      <c r="R18" s="20"/>
      <c r="S18" s="20"/>
      <c r="T18" s="20"/>
      <c r="U18" s="20"/>
      <c r="V18" s="2438"/>
      <c r="AD18" s="24"/>
      <c r="AE18" s="24"/>
      <c r="AF18" s="24"/>
    </row>
    <row r="19" ht="15" customHeight="1" spans="14:32" x14ac:dyDescent="0.25">
      <c r="N19" s="2438">
        <v>8</v>
      </c>
      <c r="O19" s="20" t="s">
        <v>2181</v>
      </c>
      <c r="P19" s="20"/>
      <c r="Q19" s="20"/>
      <c r="R19" s="20"/>
      <c r="S19" s="20"/>
      <c r="T19" s="20"/>
      <c r="U19" s="20"/>
      <c r="V19" s="2438"/>
      <c r="AD19" s="24"/>
      <c r="AE19" s="24"/>
      <c r="AF19" s="24"/>
    </row>
    <row r="20" ht="15" customHeight="1" spans="14:22" x14ac:dyDescent="0.25">
      <c r="N20" s="2438">
        <v>9</v>
      </c>
      <c r="O20" s="20" t="s">
        <v>2182</v>
      </c>
      <c r="P20" s="20"/>
      <c r="Q20" s="20"/>
      <c r="R20" s="20"/>
      <c r="S20" s="20"/>
      <c r="T20" s="20"/>
      <c r="U20" s="20"/>
      <c r="V20" s="2438"/>
    </row>
    <row r="21" ht="15" customHeight="1" spans="14:22" x14ac:dyDescent="0.25">
      <c r="N21" s="2438">
        <v>10</v>
      </c>
      <c r="O21" s="20" t="s">
        <v>2183</v>
      </c>
      <c r="P21" s="20"/>
      <c r="Q21" s="20"/>
      <c r="R21" s="20"/>
      <c r="S21" s="20"/>
      <c r="T21" s="20"/>
      <c r="U21" s="20"/>
      <c r="V21" s="2438"/>
    </row>
    <row r="22" ht="15" customHeight="1" spans="14:22" x14ac:dyDescent="0.25">
      <c r="N22" s="2438">
        <v>11</v>
      </c>
      <c r="O22" s="20" t="s">
        <v>2184</v>
      </c>
      <c r="P22" s="20"/>
      <c r="Q22" s="20"/>
      <c r="R22" s="20"/>
      <c r="S22" s="20"/>
      <c r="T22" s="20"/>
      <c r="U22" s="20"/>
      <c r="V22" s="2438"/>
    </row>
    <row r="23" ht="15" customHeight="1" spans="14:22" x14ac:dyDescent="0.25">
      <c r="N23" s="2439">
        <v>12</v>
      </c>
      <c r="O23" s="2440" t="s">
        <v>2185</v>
      </c>
      <c r="P23" s="2441"/>
      <c r="Q23" s="2441"/>
      <c r="R23" s="2441"/>
      <c r="S23" s="2441"/>
      <c r="T23" s="2441"/>
      <c r="U23" s="2442"/>
      <c r="V23" s="243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217"/>
  <sheetViews>
    <sheetView workbookViewId="0" zoomScale="80" zoomScaleNormal="80">
      <selection activeCell="T158" sqref="T158"/>
    </sheetView>
  </sheetViews>
  <sheetFormatPr defaultRowHeight="14.5" outlineLevelRow="0" outlineLevelCol="0" x14ac:dyDescent="0" defaultColWidth="8.83203125" customHeight="1"/>
  <cols>
    <col min="3" max="3" width="10.5" customWidth="1"/>
    <col min="4" max="4" width="10.1640625" customWidth="1"/>
    <col min="5" max="5" width="10.5" customWidth="1"/>
    <col min="7" max="8" width="9.33203125" customWidth="1"/>
    <col min="10" max="11" width="9.33203125" customWidth="1"/>
    <col min="20" max="20" width="12.1640625" customWidth="1"/>
    <col min="39" max="39" width="11.1640625" customWidth="1"/>
  </cols>
  <sheetData>
    <row r="7" ht="15.5" customHeight="1" spans="3:19" x14ac:dyDescent="0.25">
      <c r="C7" s="2443">
        <v>42278</v>
      </c>
      <c r="D7" s="1555" t="s">
        <v>2186</v>
      </c>
      <c r="E7" s="1555" t="s">
        <v>2187</v>
      </c>
      <c r="F7" s="1555" t="s">
        <v>2188</v>
      </c>
      <c r="G7" s="1555" t="s">
        <v>2189</v>
      </c>
      <c r="H7" s="1555" t="s">
        <v>2190</v>
      </c>
      <c r="I7" s="1555" t="s">
        <v>2191</v>
      </c>
      <c r="J7" s="1555" t="s">
        <v>2188</v>
      </c>
      <c r="K7" s="1555" t="s">
        <v>2192</v>
      </c>
      <c r="L7" s="1555" t="s">
        <v>2193</v>
      </c>
      <c r="M7" s="1555" t="s">
        <v>2194</v>
      </c>
      <c r="N7" s="1555" t="s">
        <v>2188</v>
      </c>
      <c r="O7" s="1555" t="s">
        <v>2195</v>
      </c>
      <c r="P7" s="1555" t="s">
        <v>2196</v>
      </c>
      <c r="Q7" s="1555" t="s">
        <v>2197</v>
      </c>
      <c r="R7" s="1555" t="s">
        <v>2188</v>
      </c>
      <c r="S7" s="1555" t="s">
        <v>2198</v>
      </c>
    </row>
    <row r="8" ht="15" customHeight="1" spans="3:19" x14ac:dyDescent="0.25">
      <c r="C8" s="2444">
        <v>42277</v>
      </c>
      <c r="D8" s="1987"/>
      <c r="E8" s="1987"/>
      <c r="F8" s="1987"/>
      <c r="G8" s="1987"/>
      <c r="H8" s="1987"/>
      <c r="I8" s="1987"/>
      <c r="J8" s="1987"/>
      <c r="K8" s="1987"/>
      <c r="L8" s="1987"/>
      <c r="M8" s="1987"/>
      <c r="N8" s="1987"/>
      <c r="O8" s="1987"/>
      <c r="P8" s="1987"/>
      <c r="Q8" s="1987"/>
      <c r="R8" s="1987"/>
      <c r="S8" s="1987"/>
    </row>
    <row r="9" ht="15" customHeight="1" spans="3:19" x14ac:dyDescent="0.25">
      <c r="C9" s="2445">
        <v>1995</v>
      </c>
      <c r="D9" s="2446">
        <v>719.7935</v>
      </c>
      <c r="E9" s="2447">
        <f t="array" ref="E9:E44">TRANSPOSE(СЧЁТ!O121:AX121)</f>
        <v>0</v>
      </c>
      <c r="G9" s="2448">
        <f t="shared" ref="G9:G44" si="0">E9-D9</f>
        <v>-719.7935</v>
      </c>
      <c r="H9" s="2446">
        <v>910.9</v>
      </c>
      <c r="I9" s="2447" t="e">
        <f t="array" ref="I9:I44">TRANSPOSE(СЧЁТ!#REF!)</f>
        <v>#REF!</v>
      </c>
      <c r="K9" s="1794" t="e">
        <f t="shared" ref="K9:K44" si="1">I9-H9</f>
        <v>#REF!</v>
      </c>
      <c r="L9" s="100">
        <v>1428.5221000000001</v>
      </c>
      <c r="M9" s="100" t="e">
        <f t="array" ref="M9:M44">TRANSPOSE(СЧЁТ!#REF!)</f>
        <v>#REF!</v>
      </c>
      <c r="O9" s="2448" t="e">
        <f t="shared" ref="O9:O44" si="2">M9-L9</f>
        <v>#REF!</v>
      </c>
      <c r="P9" s="100">
        <v>486.1</v>
      </c>
      <c r="Q9" s="100" t="e">
        <f t="array" ref="Q9:Q44">TRANSPOSE(СЧЁТ!#REF!)</f>
        <v>#REF!</v>
      </c>
      <c r="S9" s="2449" t="e">
        <f t="shared" ref="S9:S44" si="3">Q9-P9</f>
        <v>#REF!</v>
      </c>
    </row>
    <row r="10" ht="15" customHeight="1" spans="3:19" x14ac:dyDescent="0.25">
      <c r="C10" s="1527">
        <v>1996</v>
      </c>
      <c r="D10" s="2450">
        <v>1007.2544098057782</v>
      </c>
      <c r="E10" s="1460">
        <v>0</v>
      </c>
      <c r="G10" s="2448">
        <f t="shared" si="0"/>
        <v>-1007.2544098057782</v>
      </c>
      <c r="H10" s="2450">
        <v>1356.3289726782687</v>
      </c>
      <c r="I10" s="1460" t="e">
        <v>#REF!</v>
      </c>
      <c r="K10" s="1794" t="e">
        <f t="shared" si="1"/>
        <v>#REF!</v>
      </c>
      <c r="L10" s="100">
        <v>2006.6844674921085</v>
      </c>
      <c r="M10" s="100" t="e">
        <v>#REF!</v>
      </c>
      <c r="O10" s="2448" t="e">
        <f t="shared" si="2"/>
        <v>#REF!</v>
      </c>
      <c r="P10" s="100">
        <v>652.3291728443785</v>
      </c>
      <c r="Q10" s="100" t="e">
        <v>#REF!</v>
      </c>
      <c r="S10" s="2451" t="e">
        <f t="shared" si="3"/>
        <v>#REF!</v>
      </c>
    </row>
    <row r="11" ht="15" customHeight="1" spans="3:19" x14ac:dyDescent="0.25">
      <c r="C11" s="1527">
        <v>1997</v>
      </c>
      <c r="D11" s="2450">
        <v>1234.4097279159298</v>
      </c>
      <c r="E11" s="1460">
        <v>0</v>
      </c>
      <c r="G11" s="2448">
        <f t="shared" si="0"/>
        <v>-1234.4097279159298</v>
      </c>
      <c r="H11" s="2450">
        <v>1655.3218874757836</v>
      </c>
      <c r="I11" s="1460" t="e">
        <v>#REF!</v>
      </c>
      <c r="K11" s="1794" t="e">
        <f t="shared" si="1"/>
        <v>#REF!</v>
      </c>
      <c r="L11" s="100">
        <v>2340.989011906472</v>
      </c>
      <c r="M11" s="100" t="e">
        <v>#REF!</v>
      </c>
      <c r="O11" s="2448" t="e">
        <f t="shared" si="2"/>
        <v>#REF!</v>
      </c>
      <c r="P11" s="100">
        <v>838.9535888287372</v>
      </c>
      <c r="Q11" s="100" t="e">
        <v>#REF!</v>
      </c>
      <c r="S11" s="2451" t="e">
        <f t="shared" si="3"/>
        <v>#REF!</v>
      </c>
    </row>
    <row r="12" ht="15" customHeight="1" spans="3:19" x14ac:dyDescent="0.25">
      <c r="C12" s="1527">
        <v>1998</v>
      </c>
      <c r="D12" s="2450">
        <v>1462.680197179297</v>
      </c>
      <c r="E12" s="1460">
        <v>0</v>
      </c>
      <c r="G12" s="2448">
        <f t="shared" si="0"/>
        <v>-1462.680197179297</v>
      </c>
      <c r="H12" s="2450">
        <v>1776.4811966693414</v>
      </c>
      <c r="I12" s="1460" t="e">
        <v>#REF!</v>
      </c>
      <c r="K12" s="1794" t="e">
        <f t="shared" si="1"/>
        <v>#REF!</v>
      </c>
      <c r="L12" s="100">
        <v>2630.335380732604</v>
      </c>
      <c r="M12" s="100" t="e">
        <v>#REF!</v>
      </c>
      <c r="O12" s="2448" t="e">
        <f t="shared" si="2"/>
        <v>#REF!</v>
      </c>
      <c r="P12" s="100">
        <v>842.3281620018315</v>
      </c>
      <c r="Q12" s="100" t="e">
        <v>#REF!</v>
      </c>
      <c r="S12" s="2451" t="e">
        <f t="shared" si="3"/>
        <v>#REF!</v>
      </c>
    </row>
    <row r="13" ht="15" customHeight="1" spans="3:19" x14ac:dyDescent="0.25">
      <c r="C13" s="1527">
        <v>1999</v>
      </c>
      <c r="D13" s="2450">
        <v>2526.6596454471814</v>
      </c>
      <c r="E13" s="1460">
        <v>0</v>
      </c>
      <c r="G13" s="2448">
        <f t="shared" si="0"/>
        <v>-2526.6596454471814</v>
      </c>
      <c r="H13" s="2450">
        <v>2908.6660925922415</v>
      </c>
      <c r="I13" s="1460" t="e">
        <v>#REF!</v>
      </c>
      <c r="K13" s="1794" t="e">
        <f t="shared" si="1"/>
        <v>#REF!</v>
      </c>
      <c r="L13" s="100">
        <v>4824.1717935784</v>
      </c>
      <c r="M13" s="100" t="e">
        <v>#REF!</v>
      </c>
      <c r="O13" s="2448" t="e">
        <f t="shared" si="2"/>
        <v>#REF!</v>
      </c>
      <c r="P13" s="100">
        <v>1258.244883078656</v>
      </c>
      <c r="Q13" s="100" t="e">
        <v>#REF!</v>
      </c>
      <c r="S13" s="2451" t="e">
        <f t="shared" si="3"/>
        <v>#REF!</v>
      </c>
    </row>
    <row r="14" ht="15" customHeight="1" spans="3:19" x14ac:dyDescent="0.25">
      <c r="C14" s="1527">
        <v>2000</v>
      </c>
      <c r="D14" s="2450">
        <v>3295.2804277472164</v>
      </c>
      <c r="E14" s="1460">
        <v>0</v>
      </c>
      <c r="G14" s="2448">
        <f t="shared" si="0"/>
        <v>-3295.2804277472164</v>
      </c>
      <c r="H14" s="2450">
        <v>3983.9521408980577</v>
      </c>
      <c r="I14" s="1460" t="e">
        <v>#REF!</v>
      </c>
      <c r="K14" s="1794" t="e">
        <f t="shared" si="1"/>
        <v>#REF!</v>
      </c>
      <c r="L14" s="100">
        <v>7305.74221559643</v>
      </c>
      <c r="M14" s="100" t="e">
        <v>#REF!</v>
      </c>
      <c r="O14" s="2448" t="e">
        <f t="shared" si="2"/>
        <v>#REF!</v>
      </c>
      <c r="P14" s="100">
        <v>1960.1256535993077</v>
      </c>
      <c r="Q14" s="100" t="e">
        <v>#REF!</v>
      </c>
      <c r="S14" s="2451" t="e">
        <f t="shared" si="3"/>
        <v>#REF!</v>
      </c>
    </row>
    <row r="15" ht="15" customHeight="1" spans="3:19" x14ac:dyDescent="0.25">
      <c r="C15" s="1527">
        <v>2001</v>
      </c>
      <c r="D15" s="2450">
        <v>4318.503741938633</v>
      </c>
      <c r="E15" s="1460">
        <v>0</v>
      </c>
      <c r="G15" s="2448">
        <f t="shared" si="0"/>
        <v>-4318.503741938633</v>
      </c>
      <c r="H15" s="2450">
        <v>5326.271935452845</v>
      </c>
      <c r="I15" s="1460" t="e">
        <v>#REF!</v>
      </c>
      <c r="K15" s="1794" t="e">
        <f t="shared" si="1"/>
        <v>#REF!</v>
      </c>
      <c r="L15" s="100">
        <v>8944.375118251604</v>
      </c>
      <c r="M15" s="100" t="e">
        <v>#REF!</v>
      </c>
      <c r="O15" s="2448" t="e">
        <f t="shared" si="2"/>
        <v>#REF!</v>
      </c>
      <c r="P15" s="100">
        <v>2419.6143904454943</v>
      </c>
      <c r="Q15" s="100" t="e">
        <v>#REF!</v>
      </c>
      <c r="S15" s="2451" t="e">
        <f t="shared" si="3"/>
        <v>#REF!</v>
      </c>
    </row>
    <row r="16" ht="15" customHeight="1" spans="3:19" x14ac:dyDescent="0.25">
      <c r="C16" s="1527">
        <v>2002</v>
      </c>
      <c r="D16" s="2450">
        <v>5409.795369224858</v>
      </c>
      <c r="E16" s="1460">
        <v>0</v>
      </c>
      <c r="G16" s="2448">
        <f t="shared" si="0"/>
        <v>-5409.795369224858</v>
      </c>
      <c r="H16" s="2450">
        <v>6831.805285908934</v>
      </c>
      <c r="I16" s="1460" t="e">
        <v>#REF!</v>
      </c>
      <c r="K16" s="1794" t="e">
        <f t="shared" si="1"/>
        <v>#REF!</v>
      </c>
      <c r="L16" s="100">
        <v>10820.531200401974</v>
      </c>
      <c r="M16" s="100" t="e">
        <v>#REF!</v>
      </c>
      <c r="O16" s="2448" t="e">
        <f t="shared" si="2"/>
        <v>#REF!</v>
      </c>
      <c r="P16" s="100">
        <v>3422.7171905237205</v>
      </c>
      <c r="Q16" s="100" t="e">
        <v>#REF!</v>
      </c>
      <c r="S16" s="2451" t="e">
        <f t="shared" si="3"/>
        <v>#REF!</v>
      </c>
    </row>
    <row r="17" ht="15" customHeight="1" spans="3:19" x14ac:dyDescent="0.25">
      <c r="C17" s="1527">
        <v>2003</v>
      </c>
      <c r="D17" s="2450">
        <v>6537.938809626363</v>
      </c>
      <c r="E17" s="1460">
        <v>0</v>
      </c>
      <c r="G17" s="2448">
        <f t="shared" si="0"/>
        <v>-6537.938809626363</v>
      </c>
      <c r="H17" s="2450">
        <v>8901.231532907907</v>
      </c>
      <c r="I17" s="1460" t="e">
        <v>#REF!</v>
      </c>
      <c r="K17" s="1794" t="e">
        <f t="shared" si="1"/>
        <v>#REF!</v>
      </c>
      <c r="L17" s="100">
        <v>13209.330938809908</v>
      </c>
      <c r="M17" s="100" t="e">
        <v>#REF!</v>
      </c>
      <c r="O17" s="2448" t="e">
        <f t="shared" si="2"/>
        <v>#REF!</v>
      </c>
      <c r="P17" s="100">
        <v>3965.2293434787175</v>
      </c>
      <c r="Q17" s="100" t="e">
        <v>#REF!</v>
      </c>
      <c r="S17" s="2451" t="e">
        <f t="shared" si="3"/>
        <v>#REF!</v>
      </c>
    </row>
    <row r="18" ht="15" customHeight="1" spans="3:19" x14ac:dyDescent="0.25">
      <c r="C18" s="1527">
        <v>2004</v>
      </c>
      <c r="D18" s="2450">
        <v>8440.1090096266</v>
      </c>
      <c r="E18" s="1460">
        <v>0</v>
      </c>
      <c r="G18" s="2448">
        <f t="shared" si="0"/>
        <v>-8440.1090096266</v>
      </c>
      <c r="H18" s="2450">
        <v>10978.413589991174</v>
      </c>
      <c r="I18" s="1460" t="e">
        <v>#REF!</v>
      </c>
      <c r="K18" s="1794" t="e">
        <f t="shared" si="1"/>
        <v>#REF!</v>
      </c>
      <c r="L18" s="100">
        <v>17030.452560823815</v>
      </c>
      <c r="M18" s="100" t="e">
        <v>#REF!</v>
      </c>
      <c r="O18" s="2448" t="e">
        <f t="shared" si="2"/>
        <v>#REF!</v>
      </c>
      <c r="P18" s="100">
        <v>4670.594509120055</v>
      </c>
      <c r="Q18" s="100" t="e">
        <v>#REF!</v>
      </c>
      <c r="S18" s="2451" t="e">
        <f t="shared" si="3"/>
        <v>#REF!</v>
      </c>
    </row>
    <row r="19" ht="15" customHeight="1" spans="3:19" x14ac:dyDescent="0.25">
      <c r="C19" s="1527">
        <v>2005</v>
      </c>
      <c r="D19" s="2450">
        <v>10655.578219607823</v>
      </c>
      <c r="E19" s="1460">
        <v>0</v>
      </c>
      <c r="G19" s="2448">
        <f t="shared" si="0"/>
        <v>-10655.578219607823</v>
      </c>
      <c r="H19" s="2450">
        <v>13822.52895713679</v>
      </c>
      <c r="I19" s="1460" t="e">
        <v>#REF!</v>
      </c>
      <c r="K19" s="1794" t="e">
        <f t="shared" si="1"/>
        <v>#REF!</v>
      </c>
      <c r="L19" s="100">
        <v>21615.28418940277</v>
      </c>
      <c r="M19" s="100" t="e">
        <v>#REF!</v>
      </c>
      <c r="O19" s="2448" t="e">
        <f t="shared" si="2"/>
        <v>#REF!</v>
      </c>
      <c r="P19" s="100">
        <v>6822.341840879325</v>
      </c>
      <c r="Q19" s="100" t="e">
        <v>#REF!</v>
      </c>
      <c r="S19" s="2451" t="e">
        <f t="shared" si="3"/>
        <v>#REF!</v>
      </c>
    </row>
    <row r="20" ht="15" customHeight="1" spans="3:19" x14ac:dyDescent="0.25">
      <c r="C20" s="1527">
        <v>2006</v>
      </c>
      <c r="D20" s="2450">
        <v>12974.710795427085</v>
      </c>
      <c r="E20" s="1460">
        <v>0</v>
      </c>
      <c r="G20" s="2448">
        <f t="shared" si="0"/>
        <v>-12974.710795427085</v>
      </c>
      <c r="H20" s="2450">
        <v>17290.056551254325</v>
      </c>
      <c r="I20" s="1460" t="e">
        <v>#REF!</v>
      </c>
      <c r="K20" s="1794" t="e">
        <f t="shared" si="1"/>
        <v>#REF!</v>
      </c>
      <c r="L20" s="100">
        <v>26917.13535346896</v>
      </c>
      <c r="M20" s="100" t="e">
        <v>#REF!</v>
      </c>
      <c r="O20" s="2448" t="e">
        <f t="shared" si="2"/>
        <v>#REF!</v>
      </c>
      <c r="P20" s="100">
        <v>8375.179449835867</v>
      </c>
      <c r="Q20" s="100" t="e">
        <v>#REF!</v>
      </c>
      <c r="S20" s="2451" t="e">
        <f t="shared" si="3"/>
        <v>#REF!</v>
      </c>
    </row>
    <row r="21" ht="15" customHeight="1" spans="3:19" x14ac:dyDescent="0.25">
      <c r="C21" s="1527">
        <v>2007</v>
      </c>
      <c r="D21" s="2450">
        <v>16031.7405609192</v>
      </c>
      <c r="E21" s="1460">
        <v>0</v>
      </c>
      <c r="G21" s="2448">
        <f t="shared" si="0"/>
        <v>-16031.7405609192</v>
      </c>
      <c r="H21" s="2450">
        <v>21311.501011514018</v>
      </c>
      <c r="I21" s="1460" t="e">
        <v>#REF!</v>
      </c>
      <c r="K21" s="1794" t="e">
        <f t="shared" si="1"/>
        <v>#REF!</v>
      </c>
      <c r="L21" s="100">
        <v>33247.514778036544</v>
      </c>
      <c r="M21" s="100" t="e">
        <v>#REF!</v>
      </c>
      <c r="O21" s="2448" t="e">
        <f t="shared" si="2"/>
        <v>#REF!</v>
      </c>
      <c r="P21" s="100">
        <v>11378.57854006481</v>
      </c>
      <c r="Q21" s="100" t="e">
        <v>#REF!</v>
      </c>
      <c r="S21" s="2451" t="e">
        <f t="shared" si="3"/>
        <v>#REF!</v>
      </c>
    </row>
    <row r="22" ht="15" customHeight="1" spans="3:19" x14ac:dyDescent="0.25">
      <c r="C22" s="1527">
        <v>2008</v>
      </c>
      <c r="D22" s="2450">
        <v>19966.9557010897</v>
      </c>
      <c r="E22" s="1460">
        <v>0</v>
      </c>
      <c r="G22" s="2448">
        <f t="shared" si="0"/>
        <v>-19966.9557010897</v>
      </c>
      <c r="H22" s="2450">
        <v>25244.001265666637</v>
      </c>
      <c r="I22" s="1460" t="e">
        <v>#REF!</v>
      </c>
      <c r="K22" s="1794" t="e">
        <f t="shared" si="1"/>
        <v>#REF!</v>
      </c>
      <c r="L22" s="100">
        <v>41276.8512695108</v>
      </c>
      <c r="M22" s="100" t="e">
        <v>#REF!</v>
      </c>
      <c r="O22" s="2448" t="e">
        <f t="shared" si="2"/>
        <v>#REF!</v>
      </c>
      <c r="P22" s="100">
        <v>13991.788701510823</v>
      </c>
      <c r="Q22" s="100" t="e">
        <v>#REF!</v>
      </c>
      <c r="S22" s="2451" t="e">
        <f t="shared" si="3"/>
        <v>#REF!</v>
      </c>
    </row>
    <row r="23" ht="15" customHeight="1" spans="3:19" x14ac:dyDescent="0.25">
      <c r="C23" s="1527">
        <v>2009</v>
      </c>
      <c r="D23" s="2450">
        <v>20986.128348580813</v>
      </c>
      <c r="E23" s="1460">
        <v>0</v>
      </c>
      <c r="G23" s="2448">
        <f t="shared" si="0"/>
        <v>-20986.128348580813</v>
      </c>
      <c r="H23" s="2450">
        <v>28697.62628270522</v>
      </c>
      <c r="I23" s="1460" t="e">
        <v>#REF!</v>
      </c>
      <c r="K23" s="1794" t="e">
        <f t="shared" si="1"/>
        <v>#REF!</v>
      </c>
      <c r="L23" s="100">
        <v>38807.42668525539</v>
      </c>
      <c r="M23" s="100" t="e">
        <v>#REF!</v>
      </c>
      <c r="O23" s="2448" t="e">
        <f t="shared" si="2"/>
        <v>#REF!</v>
      </c>
      <c r="P23" s="100">
        <v>16048.385885960655</v>
      </c>
      <c r="Q23" s="100" t="e">
        <v>#REF!</v>
      </c>
      <c r="S23" s="2451" t="e">
        <f t="shared" si="3"/>
        <v>#REF!</v>
      </c>
    </row>
    <row r="24" ht="15" customHeight="1" spans="3:19" x14ac:dyDescent="0.25">
      <c r="C24" s="1527">
        <v>2010</v>
      </c>
      <c r="D24" s="2450">
        <v>23617.627679476813</v>
      </c>
      <c r="E24" s="1460">
        <v>0</v>
      </c>
      <c r="G24" s="2448">
        <f t="shared" si="0"/>
        <v>-23617.627679476813</v>
      </c>
      <c r="H24" s="2450">
        <v>32498.306439049404</v>
      </c>
      <c r="I24" s="1460" t="e">
        <v>#REF!</v>
      </c>
      <c r="K24" s="1794" t="e">
        <f t="shared" si="1"/>
        <v>#REF!</v>
      </c>
      <c r="L24" s="100">
        <v>46308.5430993887</v>
      </c>
      <c r="M24" s="100" t="e">
        <v>#REF!</v>
      </c>
      <c r="O24" s="2448" t="e">
        <f t="shared" si="2"/>
        <v>#REF!</v>
      </c>
      <c r="P24" s="100">
        <v>17616.70079864967</v>
      </c>
      <c r="Q24" s="100" t="e">
        <v>#REF!</v>
      </c>
      <c r="S24" s="2451" t="e">
        <f t="shared" si="3"/>
        <v>#REF!</v>
      </c>
    </row>
    <row r="25" ht="15" customHeight="1" spans="3:19" x14ac:dyDescent="0.25">
      <c r="C25" s="1527">
        <v>2011</v>
      </c>
      <c r="D25" s="2450">
        <v>27192.560697429435</v>
      </c>
      <c r="E25" s="1460">
        <v>0</v>
      </c>
      <c r="G25" s="2448">
        <f t="shared" si="0"/>
        <v>-27192.560697429435</v>
      </c>
      <c r="H25" s="2450">
        <v>35648.749420362816</v>
      </c>
      <c r="I25" s="1460" t="e">
        <v>#REF!</v>
      </c>
      <c r="K25" s="1794" t="e">
        <f t="shared" si="1"/>
        <v>#REF!</v>
      </c>
      <c r="L25" s="100">
        <v>55967.30458826169</v>
      </c>
      <c r="M25" s="100" t="e">
        <v>#REF!</v>
      </c>
      <c r="O25" s="2448" t="e">
        <f t="shared" si="2"/>
        <v>#REF!</v>
      </c>
      <c r="P25" s="100">
        <v>19994.627718833686</v>
      </c>
      <c r="Q25" s="100" t="e">
        <v>#REF!</v>
      </c>
      <c r="S25" s="2451" t="e">
        <f t="shared" si="3"/>
        <v>#REF!</v>
      </c>
    </row>
    <row r="26" ht="15" customHeight="1" spans="3:19" x14ac:dyDescent="0.25">
      <c r="C26" s="1527">
        <v>2012</v>
      </c>
      <c r="D26" s="2450">
        <v>30845.994743919775</v>
      </c>
      <c r="E26" s="1460">
        <v>0</v>
      </c>
      <c r="G26" s="2448">
        <f t="shared" si="0"/>
        <v>-30845.994743919775</v>
      </c>
      <c r="H26" s="2450">
        <v>39642.00105911839</v>
      </c>
      <c r="I26" s="1460" t="e">
        <v>#REF!</v>
      </c>
      <c r="K26" s="1794" t="e">
        <f t="shared" si="1"/>
        <v>#REF!</v>
      </c>
      <c r="L26" s="100">
        <v>62238.95018607384</v>
      </c>
      <c r="M26" s="100" t="e">
        <v>#REF!</v>
      </c>
      <c r="O26" s="2448" t="e">
        <f t="shared" si="2"/>
        <v>#REF!</v>
      </c>
      <c r="P26" s="100">
        <v>22848.930149439464</v>
      </c>
      <c r="Q26" s="100" t="e">
        <v>#REF!</v>
      </c>
      <c r="S26" s="2451" t="e">
        <f t="shared" si="3"/>
        <v>#REF!</v>
      </c>
    </row>
    <row r="27" ht="15" customHeight="1" spans="3:19" x14ac:dyDescent="0.25">
      <c r="C27" s="1527">
        <v>2013</v>
      </c>
      <c r="D27" s="2450">
        <v>34611.77472695273</v>
      </c>
      <c r="E27" s="1460">
        <v>0</v>
      </c>
      <c r="G27" s="2448">
        <f t="shared" si="0"/>
        <v>-34611.77472695273</v>
      </c>
      <c r="H27" s="2450">
        <v>43867.31404271853</v>
      </c>
      <c r="I27" s="1460" t="e">
        <v>#REF!</v>
      </c>
      <c r="K27" s="1794" t="e">
        <f t="shared" si="1"/>
        <v>#REF!</v>
      </c>
      <c r="L27" s="100">
        <v>67049.71606008349</v>
      </c>
      <c r="M27" s="100" t="e">
        <v>#REF!</v>
      </c>
      <c r="O27" s="2448" t="e">
        <f t="shared" si="2"/>
        <v>#REF!</v>
      </c>
      <c r="P27" s="100">
        <v>25619.354917184977</v>
      </c>
      <c r="Q27" s="100" t="e">
        <v>#REF!</v>
      </c>
      <c r="S27" s="2451" t="e">
        <f t="shared" si="3"/>
        <v>#REF!</v>
      </c>
    </row>
    <row r="28" ht="15" customHeight="1" spans="3:19" x14ac:dyDescent="0.25">
      <c r="C28" s="1527">
        <v>2014</v>
      </c>
      <c r="D28" s="2450">
        <v>37035.80176486298</v>
      </c>
      <c r="E28" s="1460">
        <v>0</v>
      </c>
      <c r="G28" s="2448">
        <f t="shared" si="0"/>
        <v>-37035.80176486298</v>
      </c>
      <c r="H28" s="2450">
        <v>48388.91225312114</v>
      </c>
      <c r="I28" s="1460" t="e">
        <v>#REF!</v>
      </c>
      <c r="K28" s="1794" t="e">
        <f t="shared" si="1"/>
        <v>#REF!</v>
      </c>
      <c r="L28" s="100">
        <v>72703.50584368361</v>
      </c>
      <c r="M28" s="100" t="e">
        <v>#REF!</v>
      </c>
      <c r="O28" s="2448" t="e">
        <f t="shared" si="2"/>
        <v>#REF!</v>
      </c>
      <c r="P28" s="100">
        <v>27990.84974981819</v>
      </c>
      <c r="Q28" s="100" t="e">
        <v>#REF!</v>
      </c>
      <c r="S28" s="2451" t="e">
        <f t="shared" si="3"/>
        <v>#REF!</v>
      </c>
    </row>
    <row r="29" ht="15" customHeight="1" spans="3:19" x14ac:dyDescent="0.25">
      <c r="C29" s="1527">
        <v>2015</v>
      </c>
      <c r="D29" s="2450">
        <v>34916.79753893848</v>
      </c>
      <c r="E29" s="1460">
        <v>0</v>
      </c>
      <c r="G29" s="2448">
        <f t="shared" si="0"/>
        <v>-34916.79753893848</v>
      </c>
      <c r="H29" s="2450">
        <v>45619.334124870584</v>
      </c>
      <c r="I29" s="1460" t="e">
        <v>#REF!</v>
      </c>
      <c r="K29" s="1794" t="e">
        <f t="shared" si="1"/>
        <v>#REF!</v>
      </c>
      <c r="L29" s="100">
        <v>67159.18480907028</v>
      </c>
      <c r="M29" s="100" t="e">
        <v>#REF!</v>
      </c>
      <c r="O29" s="2448" t="e">
        <f t="shared" si="2"/>
        <v>#REF!</v>
      </c>
      <c r="P29" s="100">
        <v>24848.898379356004</v>
      </c>
      <c r="Q29" s="100" t="e">
        <v>#REF!</v>
      </c>
      <c r="S29" s="2451" t="e">
        <f t="shared" si="3"/>
        <v>#REF!</v>
      </c>
    </row>
    <row r="30" ht="15" customHeight="1" spans="3:19" x14ac:dyDescent="0.25">
      <c r="C30" s="1527">
        <v>2016</v>
      </c>
      <c r="D30" s="2450">
        <v>34076.61748861908</v>
      </c>
      <c r="E30" s="1460">
        <v>0</v>
      </c>
      <c r="F30" s="1367">
        <f>100*G30/D30</f>
        <v>-100</v>
      </c>
      <c r="G30" s="2448">
        <f t="shared" si="0"/>
        <v>-34076.61748861908</v>
      </c>
      <c r="H30" s="2450">
        <v>44521.203095829405</v>
      </c>
      <c r="I30" s="1460" t="e">
        <v>#REF!</v>
      </c>
      <c r="J30" s="1367" t="e">
        <f>100*K30/H30</f>
        <v>#REF!</v>
      </c>
      <c r="K30" s="1794" t="e">
        <f t="shared" si="1"/>
        <v>#REF!</v>
      </c>
      <c r="L30" s="100">
        <v>69314.47257627708</v>
      </c>
      <c r="M30" s="100" t="e">
        <v>#REF!</v>
      </c>
      <c r="N30" s="1367" t="e">
        <f>100*O30/L30</f>
        <v>#REF!</v>
      </c>
      <c r="O30" s="2448" t="e">
        <f t="shared" si="2"/>
        <v>#REF!</v>
      </c>
      <c r="P30" s="100">
        <v>24953.210127459748</v>
      </c>
      <c r="Q30" s="100" t="e">
        <v>#REF!</v>
      </c>
      <c r="R30" s="1367" t="e">
        <f>100*S30/P30</f>
        <v>#REF!</v>
      </c>
      <c r="S30" s="2451" t="e">
        <f t="shared" si="3"/>
        <v>#REF!</v>
      </c>
    </row>
    <row r="31" ht="15" customHeight="1" spans="3:19" x14ac:dyDescent="0.25">
      <c r="C31" s="1527">
        <v>2017</v>
      </c>
      <c r="D31" s="2450">
        <v>39014.47038834571</v>
      </c>
      <c r="E31" s="1460">
        <v>0</v>
      </c>
      <c r="F31" s="1367">
        <f t="shared" ref="F31:F44" si="4">100*G31/D31</f>
        <v>-100</v>
      </c>
      <c r="G31" s="2448">
        <f t="shared" si="0"/>
        <v>-39014.47038834571</v>
      </c>
      <c r="H31" s="2450">
        <v>50975.06912605635</v>
      </c>
      <c r="I31" s="1460" t="e">
        <v>#REF!</v>
      </c>
      <c r="J31" s="1367" t="e">
        <f t="shared" ref="J31:J44" si="5">100*K31/H31</f>
        <v>#REF!</v>
      </c>
      <c r="K31" s="1794" t="e">
        <f t="shared" si="1"/>
        <v>#REF!</v>
      </c>
      <c r="L31" s="100">
        <v>78953.48080186034</v>
      </c>
      <c r="M31" s="100" t="e">
        <v>#REF!</v>
      </c>
      <c r="N31" s="1367" t="e">
        <f t="shared" ref="N31:N44" si="6">100*O31/L31</f>
        <v>#REF!</v>
      </c>
      <c r="O31" s="2448" t="e">
        <f t="shared" si="2"/>
        <v>#REF!</v>
      </c>
      <c r="P31" s="100">
        <v>28423.25308866972</v>
      </c>
      <c r="Q31" s="100" t="e">
        <v>#REF!</v>
      </c>
      <c r="R31" s="1367" t="e">
        <f t="shared" ref="R31:R44" si="7">100*S31/P31</f>
        <v>#REF!</v>
      </c>
      <c r="S31" s="2451" t="e">
        <f t="shared" si="3"/>
        <v>#REF!</v>
      </c>
    </row>
    <row r="32" ht="15" customHeight="1" spans="3:19" x14ac:dyDescent="0.25">
      <c r="C32" s="1527">
        <v>2018</v>
      </c>
      <c r="D32" s="2450">
        <v>43218.28641187093</v>
      </c>
      <c r="E32" s="1460">
        <v>0</v>
      </c>
      <c r="F32" s="1367">
        <f t="shared" si="4"/>
        <v>-100</v>
      </c>
      <c r="G32" s="2448">
        <f t="shared" si="0"/>
        <v>-43218.28641187093</v>
      </c>
      <c r="H32" s="2450">
        <v>56469.53523966923</v>
      </c>
      <c r="I32" s="1460" t="e">
        <v>#REF!</v>
      </c>
      <c r="J32" s="1367" t="e">
        <f t="shared" si="5"/>
        <v>#REF!</v>
      </c>
      <c r="K32" s="1794" t="e">
        <f t="shared" si="1"/>
        <v>#REF!</v>
      </c>
      <c r="L32" s="100">
        <v>87250.80918194777</v>
      </c>
      <c r="M32" s="100" t="e">
        <v>#REF!</v>
      </c>
      <c r="N32" s="1367" t="e">
        <f t="shared" si="6"/>
        <v>#REF!</v>
      </c>
      <c r="O32" s="2448" t="e">
        <f t="shared" si="2"/>
        <v>#REF!</v>
      </c>
      <c r="P32" s="100">
        <v>31410.291305501196</v>
      </c>
      <c r="Q32" s="100" t="e">
        <v>#REF!</v>
      </c>
      <c r="R32" s="1367" t="e">
        <f t="shared" si="7"/>
        <v>#REF!</v>
      </c>
      <c r="S32" s="2451" t="e">
        <f t="shared" si="3"/>
        <v>#REF!</v>
      </c>
    </row>
    <row r="33" ht="15" customHeight="1" spans="3:19" x14ac:dyDescent="0.25">
      <c r="C33" s="1527">
        <v>2019</v>
      </c>
      <c r="D33" s="2450">
        <v>47658.5739693124</v>
      </c>
      <c r="E33" s="1460">
        <v>0</v>
      </c>
      <c r="F33" s="1367">
        <f t="shared" si="4"/>
        <v>-99.99999999999999</v>
      </c>
      <c r="G33" s="2448">
        <f t="shared" si="0"/>
        <v>-47658.5739693124</v>
      </c>
      <c r="H33" s="2450">
        <v>62273.07406785047</v>
      </c>
      <c r="I33" s="1460" t="e">
        <v>#REF!</v>
      </c>
      <c r="J33" s="1367" t="e">
        <f t="shared" si="5"/>
        <v>#REF!</v>
      </c>
      <c r="K33" s="1794" t="e">
        <f t="shared" si="1"/>
        <v>#REF!</v>
      </c>
      <c r="L33" s="100">
        <v>96117.08275900985</v>
      </c>
      <c r="M33" s="100" t="e">
        <v>#REF!</v>
      </c>
      <c r="N33" s="1367" t="e">
        <f t="shared" si="6"/>
        <v>#REF!</v>
      </c>
      <c r="O33" s="2448" t="e">
        <f t="shared" si="2"/>
        <v>#REF!</v>
      </c>
      <c r="P33" s="100">
        <v>34602.149793243545</v>
      </c>
      <c r="Q33" s="100" t="e">
        <v>#REF!</v>
      </c>
      <c r="R33" s="1367" t="e">
        <f t="shared" si="7"/>
        <v>#REF!</v>
      </c>
      <c r="S33" s="2451" t="e">
        <f t="shared" si="3"/>
        <v>#REF!</v>
      </c>
    </row>
    <row r="34" ht="15" customHeight="1" spans="3:19" x14ac:dyDescent="0.25">
      <c r="C34" s="1527">
        <v>2020</v>
      </c>
      <c r="D34" s="2450">
        <v>51180.39616342615</v>
      </c>
      <c r="E34" s="1460">
        <v>0</v>
      </c>
      <c r="F34" s="1367">
        <f t="shared" si="4"/>
        <v>-100</v>
      </c>
      <c r="G34" s="2448">
        <f t="shared" si="0"/>
        <v>-51180.39616342615</v>
      </c>
      <c r="H34" s="2450">
        <v>66876.16149970742</v>
      </c>
      <c r="I34" s="1460" t="e">
        <v>#REF!</v>
      </c>
      <c r="J34" s="1367" t="e">
        <f t="shared" si="5"/>
        <v>#REF!</v>
      </c>
      <c r="K34" s="1794" t="e">
        <f t="shared" si="1"/>
        <v>#REF!</v>
      </c>
      <c r="L34" s="100">
        <v>103188.2063293003</v>
      </c>
      <c r="M34" s="100" t="e">
        <v>#REF!</v>
      </c>
      <c r="N34" s="1367" t="e">
        <f t="shared" si="6"/>
        <v>#REF!</v>
      </c>
      <c r="O34" s="2448" t="e">
        <f t="shared" si="2"/>
        <v>#REF!</v>
      </c>
      <c r="P34" s="100">
        <v>37147.754278548106</v>
      </c>
      <c r="Q34" s="100" t="e">
        <v>#REF!</v>
      </c>
      <c r="R34" s="1367" t="e">
        <f t="shared" si="7"/>
        <v>#REF!</v>
      </c>
      <c r="S34" s="2451" t="e">
        <f t="shared" si="3"/>
        <v>#REF!</v>
      </c>
    </row>
    <row r="35" ht="15" customHeight="1" spans="3:19" x14ac:dyDescent="0.25">
      <c r="C35" s="1527">
        <v>2021</v>
      </c>
      <c r="D35" s="2450">
        <v>54881.9189316601</v>
      </c>
      <c r="E35" s="1460">
        <v>0</v>
      </c>
      <c r="F35" s="1367">
        <f t="shared" si="4"/>
        <v>-100</v>
      </c>
      <c r="G35" s="2448">
        <f t="shared" si="0"/>
        <v>-54881.9189316601</v>
      </c>
      <c r="H35" s="2450">
        <v>71714.1209406092</v>
      </c>
      <c r="I35" s="1460" t="e">
        <v>#REF!</v>
      </c>
      <c r="J35" s="1367" t="e">
        <f t="shared" si="5"/>
        <v>#REF!</v>
      </c>
      <c r="K35" s="1794" t="e">
        <f t="shared" si="1"/>
        <v>#REF!</v>
      </c>
      <c r="L35" s="100">
        <v>110659.77854740086</v>
      </c>
      <c r="M35" s="100" t="e">
        <v>#REF!</v>
      </c>
      <c r="N35" s="1367" t="e">
        <f t="shared" si="6"/>
        <v>#REF!</v>
      </c>
      <c r="O35" s="2448" t="e">
        <f t="shared" si="2"/>
        <v>#REF!</v>
      </c>
      <c r="P35" s="100">
        <v>39837.52027706431</v>
      </c>
      <c r="Q35" s="100" t="e">
        <v>#REF!</v>
      </c>
      <c r="R35" s="1367" t="e">
        <f t="shared" si="7"/>
        <v>#REF!</v>
      </c>
      <c r="S35" s="2451" t="e">
        <f t="shared" si="3"/>
        <v>#REF!</v>
      </c>
    </row>
    <row r="36" ht="15" customHeight="1" spans="3:19" x14ac:dyDescent="0.25">
      <c r="C36" s="1527">
        <v>2022</v>
      </c>
      <c r="D36" s="2450">
        <v>57534.92592868672</v>
      </c>
      <c r="E36" s="1460">
        <v>0</v>
      </c>
      <c r="F36" s="1367">
        <f t="shared" si="4"/>
        <v>-100</v>
      </c>
      <c r="G36" s="2448">
        <f t="shared" si="0"/>
        <v>-57534.92592868672</v>
      </c>
      <c r="H36" s="2450">
        <v>75181.65067139815</v>
      </c>
      <c r="I36" s="1460" t="e">
        <v>#REF!</v>
      </c>
      <c r="J36" s="1367" t="e">
        <f t="shared" si="5"/>
        <v>#REF!</v>
      </c>
      <c r="K36" s="1794" t="e">
        <f t="shared" si="1"/>
        <v>#REF!</v>
      </c>
      <c r="L36" s="100">
        <v>116042.64651048357</v>
      </c>
      <c r="M36" s="100" t="e">
        <v>#REF!</v>
      </c>
      <c r="N36" s="1367" t="e">
        <f t="shared" si="6"/>
        <v>#REF!</v>
      </c>
      <c r="O36" s="2448" t="e">
        <f t="shared" si="2"/>
        <v>#REF!</v>
      </c>
      <c r="P36" s="100">
        <v>41775.352743774085</v>
      </c>
      <c r="Q36" s="100" t="e">
        <v>#REF!</v>
      </c>
      <c r="R36" s="1367" t="e">
        <f t="shared" si="7"/>
        <v>#REF!</v>
      </c>
      <c r="S36" s="2451" t="e">
        <f t="shared" si="3"/>
        <v>#REF!</v>
      </c>
    </row>
    <row r="37" ht="15" customHeight="1" spans="3:19" x14ac:dyDescent="0.25">
      <c r="C37" s="1527">
        <v>2023</v>
      </c>
      <c r="D37" s="2450">
        <v>60317.41062983028</v>
      </c>
      <c r="E37" s="1460">
        <v>0</v>
      </c>
      <c r="F37" s="1367">
        <f t="shared" si="4"/>
        <v>-100</v>
      </c>
      <c r="G37" s="2448">
        <f t="shared" si="0"/>
        <v>-60317.41062983028</v>
      </c>
      <c r="H37" s="2450">
        <v>78818.41018145377</v>
      </c>
      <c r="I37" s="1460" t="e">
        <v>#REF!</v>
      </c>
      <c r="J37" s="1367" t="e">
        <f t="shared" si="5"/>
        <v>#REF!</v>
      </c>
      <c r="K37" s="1794" t="e">
        <f t="shared" si="1"/>
        <v>#REF!</v>
      </c>
      <c r="L37" s="100">
        <v>121705.59631290226</v>
      </c>
      <c r="M37" s="100" t="e">
        <v>#REF!</v>
      </c>
      <c r="N37" s="1367" t="e">
        <f t="shared" si="6"/>
        <v>#REF!</v>
      </c>
      <c r="O37" s="2448" t="e">
        <f t="shared" si="2"/>
        <v>#REF!</v>
      </c>
      <c r="P37" s="100">
        <v>43814.01467264481</v>
      </c>
      <c r="Q37" s="100" t="e">
        <v>#REF!</v>
      </c>
      <c r="R37" s="1367" t="e">
        <f t="shared" si="7"/>
        <v>#REF!</v>
      </c>
      <c r="S37" s="2451" t="e">
        <f t="shared" si="3"/>
        <v>#REF!</v>
      </c>
    </row>
    <row r="38" ht="15" customHeight="1" spans="3:19" x14ac:dyDescent="0.25">
      <c r="C38" s="1527">
        <v>2024</v>
      </c>
      <c r="D38" s="2450">
        <v>63237.26193808799</v>
      </c>
      <c r="E38" s="1460">
        <v>0</v>
      </c>
      <c r="F38" s="1367">
        <f t="shared" si="4"/>
        <v>-100.00000000000001</v>
      </c>
      <c r="G38" s="2448">
        <f t="shared" si="0"/>
        <v>-63237.26193808799</v>
      </c>
      <c r="H38" s="2450">
        <v>82634.71041443993</v>
      </c>
      <c r="I38" s="1460" t="e">
        <v>#REF!</v>
      </c>
      <c r="J38" s="1367" t="e">
        <f t="shared" si="5"/>
        <v>#REF!</v>
      </c>
      <c r="K38" s="1794" t="e">
        <f t="shared" si="1"/>
        <v>#REF!</v>
      </c>
      <c r="L38" s="100">
        <v>127661.2717380469</v>
      </c>
      <c r="M38" s="100" t="e">
        <v>#REF!</v>
      </c>
      <c r="N38" s="1367" t="e">
        <f t="shared" si="6"/>
        <v>#REF!</v>
      </c>
      <c r="O38" s="2448" t="e">
        <f t="shared" si="2"/>
        <v>#REF!</v>
      </c>
      <c r="P38" s="100">
        <v>45958.05782569688</v>
      </c>
      <c r="Q38" s="100" t="e">
        <v>#REF!</v>
      </c>
      <c r="R38" s="1367" t="e">
        <f t="shared" si="7"/>
        <v>#REF!</v>
      </c>
      <c r="S38" s="2451" t="e">
        <f t="shared" si="3"/>
        <v>#REF!</v>
      </c>
    </row>
    <row r="39" ht="15" customHeight="1" spans="3:19" x14ac:dyDescent="0.25">
      <c r="C39" s="1527">
        <v>2025</v>
      </c>
      <c r="D39" s="2450">
        <v>66301.94799627544</v>
      </c>
      <c r="E39" s="1460">
        <v>0</v>
      </c>
      <c r="F39" s="1367">
        <f t="shared" si="4"/>
        <v>-100</v>
      </c>
      <c r="G39" s="2448">
        <f t="shared" si="0"/>
        <v>-66301.94799627544</v>
      </c>
      <c r="H39" s="2450">
        <v>86640.31237259893</v>
      </c>
      <c r="I39" s="1460" t="e">
        <v>#REF!</v>
      </c>
      <c r="J39" s="1367" t="e">
        <f t="shared" si="5"/>
        <v>#REF!</v>
      </c>
      <c r="K39" s="1794" t="e">
        <f t="shared" si="1"/>
        <v>#REF!</v>
      </c>
      <c r="L39" s="100">
        <v>133923.38268701494</v>
      </c>
      <c r="M39" s="100" t="e">
        <v>#REF!</v>
      </c>
      <c r="N39" s="1367" t="e">
        <f t="shared" si="6"/>
        <v>#REF!</v>
      </c>
      <c r="O39" s="2448" t="e">
        <f t="shared" si="2"/>
        <v>#REF!</v>
      </c>
      <c r="P39" s="100">
        <v>48212.41776732537</v>
      </c>
      <c r="Q39" s="100" t="e">
        <v>#REF!</v>
      </c>
      <c r="R39" s="1367" t="e">
        <f t="shared" si="7"/>
        <v>#REF!</v>
      </c>
      <c r="S39" s="2451" t="e">
        <f t="shared" si="3"/>
        <v>#REF!</v>
      </c>
    </row>
    <row r="40" ht="15" customHeight="1" spans="3:19" x14ac:dyDescent="0.25">
      <c r="C40" s="1527">
        <v>2026</v>
      </c>
      <c r="D40" s="2450">
        <v>69518.78744174073</v>
      </c>
      <c r="E40" s="1460">
        <v>0</v>
      </c>
      <c r="F40" s="1367">
        <f t="shared" si="4"/>
        <v>-100</v>
      </c>
      <c r="G40" s="2448">
        <f t="shared" si="0"/>
        <v>-69518.78744174073</v>
      </c>
      <c r="H40" s="2450">
        <v>90844.78165173274</v>
      </c>
      <c r="I40" s="1460" t="e">
        <v>#REF!</v>
      </c>
      <c r="J40" s="1367" t="e">
        <f t="shared" si="5"/>
        <v>#REF!</v>
      </c>
      <c r="K40" s="1794" t="e">
        <f t="shared" si="1"/>
        <v>#REF!</v>
      </c>
      <c r="L40" s="100">
        <v>140506.36923735868</v>
      </c>
      <c r="M40" s="100" t="e">
        <v>#REF!</v>
      </c>
      <c r="N40" s="1367" t="e">
        <f t="shared" si="6"/>
        <v>#REF!</v>
      </c>
      <c r="O40" s="2448" t="e">
        <f t="shared" si="2"/>
        <v>#REF!</v>
      </c>
      <c r="P40" s="100">
        <v>50582.292925449125</v>
      </c>
      <c r="Q40" s="100" t="e">
        <v>#REF!</v>
      </c>
      <c r="R40" s="1367" t="e">
        <f t="shared" si="7"/>
        <v>#REF!</v>
      </c>
      <c r="S40" s="2451" t="e">
        <f t="shared" si="3"/>
        <v>#REF!</v>
      </c>
    </row>
    <row r="41" ht="15" customHeight="1" spans="3:19" x14ac:dyDescent="0.25">
      <c r="C41" s="1527">
        <v>2027</v>
      </c>
      <c r="D41" s="2450">
        <v>72188.83593898496</v>
      </c>
      <c r="E41" s="1460">
        <v>0</v>
      </c>
      <c r="F41" s="1367">
        <f t="shared" si="4"/>
        <v>-100</v>
      </c>
      <c r="G41" s="2448">
        <f t="shared" si="0"/>
        <v>-72188.83593898496</v>
      </c>
      <c r="H41" s="2450">
        <v>94334.58494181802</v>
      </c>
      <c r="I41" s="1460" t="e">
        <v>#REF!</v>
      </c>
      <c r="J41" s="1367" t="e">
        <f t="shared" si="5"/>
        <v>#REF!</v>
      </c>
      <c r="K41" s="1794" t="e">
        <f t="shared" si="1"/>
        <v>#REF!</v>
      </c>
      <c r="L41" s="100">
        <v>145996.61055591574</v>
      </c>
      <c r="M41" s="100" t="e">
        <v>#REF!</v>
      </c>
      <c r="N41" s="1367" t="e">
        <f t="shared" si="6"/>
        <v>#REF!</v>
      </c>
      <c r="O41" s="2448" t="e">
        <f t="shared" si="2"/>
        <v>#REF!</v>
      </c>
      <c r="P41" s="100">
        <v>52558.77980012967</v>
      </c>
      <c r="Q41" s="100" t="e">
        <v>#REF!</v>
      </c>
      <c r="R41" s="1367" t="e">
        <f t="shared" si="7"/>
        <v>#REF!</v>
      </c>
      <c r="S41" s="2451" t="e">
        <f t="shared" si="3"/>
        <v>#REF!</v>
      </c>
    </row>
    <row r="42" ht="15" customHeight="1" spans="3:19" x14ac:dyDescent="0.25">
      <c r="C42" s="1527">
        <v>2028</v>
      </c>
      <c r="D42" s="2450">
        <v>74963.79547196014</v>
      </c>
      <c r="E42" s="1460">
        <v>0</v>
      </c>
      <c r="F42" s="1367">
        <f t="shared" si="4"/>
        <v>-100</v>
      </c>
      <c r="G42" s="2448">
        <f t="shared" si="0"/>
        <v>-74963.79547196014</v>
      </c>
      <c r="H42" s="2450">
        <v>97961.50891642939</v>
      </c>
      <c r="I42" s="1460" t="e">
        <v>#REF!</v>
      </c>
      <c r="J42" s="1367" t="e">
        <f t="shared" si="5"/>
        <v>#REF!</v>
      </c>
      <c r="K42" s="1794" t="e">
        <f t="shared" si="1"/>
        <v>#REF!</v>
      </c>
      <c r="L42" s="100">
        <v>151710.9169380426</v>
      </c>
      <c r="M42" s="100" t="e">
        <v>#REF!</v>
      </c>
      <c r="N42" s="1367" t="e">
        <f t="shared" si="6"/>
        <v>#REF!</v>
      </c>
      <c r="O42" s="2448" t="e">
        <f t="shared" si="2"/>
        <v>#REF!</v>
      </c>
      <c r="P42" s="100">
        <v>54615.93009769533</v>
      </c>
      <c r="Q42" s="100" t="e">
        <v>#REF!</v>
      </c>
      <c r="R42" s="1367" t="e">
        <f t="shared" si="7"/>
        <v>#REF!</v>
      </c>
      <c r="S42" s="2451" t="e">
        <f t="shared" si="3"/>
        <v>#REF!</v>
      </c>
    </row>
    <row r="43" ht="15" customHeight="1" spans="3:19" x14ac:dyDescent="0.25">
      <c r="C43" s="1527">
        <v>2029</v>
      </c>
      <c r="D43" s="2450">
        <v>77847.8909171609</v>
      </c>
      <c r="E43" s="1460">
        <v>0</v>
      </c>
      <c r="F43" s="1367">
        <f t="shared" si="4"/>
        <v>-100</v>
      </c>
      <c r="G43" s="2448">
        <f t="shared" si="0"/>
        <v>-77847.8909171609</v>
      </c>
      <c r="H43" s="2450">
        <v>101731.07556810991</v>
      </c>
      <c r="I43" s="1460" t="e">
        <v>#REF!</v>
      </c>
      <c r="J43" s="1367" t="e">
        <f t="shared" si="5"/>
        <v>#REF!</v>
      </c>
      <c r="K43" s="1794" t="e">
        <f t="shared" si="1"/>
        <v>#REF!</v>
      </c>
      <c r="L43" s="100">
        <v>157658.1812381291</v>
      </c>
      <c r="M43" s="100" t="e">
        <v>#REF!</v>
      </c>
      <c r="N43" s="1367" t="e">
        <f t="shared" si="6"/>
        <v>#REF!</v>
      </c>
      <c r="O43" s="2448" t="e">
        <f t="shared" si="2"/>
        <v>#REF!</v>
      </c>
      <c r="P43" s="100">
        <v>56756.94524572647</v>
      </c>
      <c r="Q43" s="100" t="e">
        <v>#REF!</v>
      </c>
      <c r="R43" s="1367" t="e">
        <f t="shared" si="7"/>
        <v>#REF!</v>
      </c>
      <c r="S43" s="2451" t="e">
        <f t="shared" si="3"/>
        <v>#REF!</v>
      </c>
    </row>
    <row r="44" ht="15" customHeight="1" spans="3:19" x14ac:dyDescent="0.25">
      <c r="C44" s="2452">
        <v>2030</v>
      </c>
      <c r="D44" s="2453">
        <v>80845.35750489416</v>
      </c>
      <c r="E44" s="2454">
        <v>0</v>
      </c>
      <c r="F44" s="2369">
        <f t="shared" si="4"/>
        <v>-100</v>
      </c>
      <c r="G44" s="2455">
        <f t="shared" si="0"/>
        <v>-80845.35750489416</v>
      </c>
      <c r="H44" s="2453">
        <v>105648.82042202866</v>
      </c>
      <c r="I44" s="2454" t="e">
        <v>#REF!</v>
      </c>
      <c r="J44" s="2369" t="e">
        <f t="shared" si="5"/>
        <v>#REF!</v>
      </c>
      <c r="K44" s="2456" t="e">
        <f t="shared" si="1"/>
        <v>#REF!</v>
      </c>
      <c r="L44" s="2457">
        <v>163847.4340652111</v>
      </c>
      <c r="M44" s="2457" t="e">
        <v>#REF!</v>
      </c>
      <c r="N44" s="2369" t="e">
        <f t="shared" si="6"/>
        <v>#REF!</v>
      </c>
      <c r="O44" s="2455" t="e">
        <f t="shared" si="2"/>
        <v>#REF!</v>
      </c>
      <c r="P44" s="2457">
        <v>58985.07626347596</v>
      </c>
      <c r="Q44" s="2457" t="e">
        <v>#REF!</v>
      </c>
      <c r="R44" s="2369" t="e">
        <f t="shared" si="7"/>
        <v>#REF!</v>
      </c>
      <c r="S44" s="2458" t="e">
        <f t="shared" si="3"/>
        <v>#REF!</v>
      </c>
    </row>
    <row r="47" ht="20.5" customHeight="1" spans="3:13" x14ac:dyDescent="0.25">
      <c r="C47" s="1555" t="s">
        <v>2186</v>
      </c>
      <c r="D47" s="59" t="s">
        <v>2199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" customHeight="1" spans="3:13" x14ac:dyDescent="0.25">
      <c r="C48" s="1555" t="s">
        <v>2187</v>
      </c>
      <c r="D48" s="59" t="s">
        <v>2200</v>
      </c>
      <c r="E48" s="59"/>
      <c r="F48" s="59"/>
      <c r="G48" s="59"/>
      <c r="H48" s="59"/>
      <c r="I48" s="59"/>
      <c r="J48" s="59"/>
      <c r="K48" s="59"/>
      <c r="L48" s="59"/>
      <c r="M48" s="59"/>
    </row>
    <row r="49" ht="20.5" customHeight="1" spans="3:13" x14ac:dyDescent="0.25">
      <c r="C49" s="1555" t="s">
        <v>2189</v>
      </c>
      <c r="D49" s="59" t="s">
        <v>2201</v>
      </c>
      <c r="E49" s="59"/>
      <c r="F49" s="59"/>
      <c r="G49" s="59"/>
      <c r="H49" s="59"/>
      <c r="I49" s="59"/>
      <c r="J49" s="59"/>
      <c r="K49" s="59"/>
      <c r="L49" s="59"/>
      <c r="M49" s="59"/>
    </row>
    <row r="50" ht="20.5" customHeight="1" spans="3:13" x14ac:dyDescent="0.25">
      <c r="C50" s="1555" t="s">
        <v>2188</v>
      </c>
      <c r="D50" s="59" t="s">
        <v>2202</v>
      </c>
      <c r="E50" s="59"/>
      <c r="F50" s="59"/>
      <c r="G50" s="59"/>
      <c r="H50" s="59"/>
      <c r="I50" s="59"/>
      <c r="J50" s="59"/>
      <c r="K50" s="59"/>
      <c r="L50" s="59"/>
      <c r="M50" s="59"/>
    </row>
    <row r="52" ht="20.5" customHeight="1" spans="3:13" x14ac:dyDescent="0.25">
      <c r="C52" s="1555" t="s">
        <v>2190</v>
      </c>
      <c r="D52" s="59" t="s">
        <v>2203</v>
      </c>
      <c r="E52" s="59"/>
      <c r="F52" s="59"/>
      <c r="G52" s="59"/>
      <c r="H52" s="59"/>
      <c r="I52" s="59"/>
      <c r="J52" s="59"/>
      <c r="K52" s="59"/>
      <c r="L52" s="59"/>
      <c r="M52" s="59"/>
    </row>
    <row r="53" ht="20.5" customHeight="1" spans="3:13" x14ac:dyDescent="0.25">
      <c r="C53" s="1555" t="s">
        <v>2191</v>
      </c>
      <c r="D53" s="59" t="s">
        <v>2204</v>
      </c>
      <c r="E53" s="59"/>
      <c r="F53" s="59"/>
      <c r="G53" s="59"/>
      <c r="H53" s="59"/>
      <c r="I53" s="59"/>
      <c r="J53" s="59"/>
      <c r="K53" s="59"/>
      <c r="L53" s="59"/>
      <c r="M53" s="59"/>
    </row>
    <row r="54" ht="20.5" customHeight="1" spans="3:10" x14ac:dyDescent="0.25">
      <c r="C54" s="1555" t="s">
        <v>2192</v>
      </c>
      <c r="D54" s="59" t="s">
        <v>2201</v>
      </c>
      <c r="E54" s="59"/>
      <c r="F54" s="59"/>
      <c r="G54" s="59"/>
      <c r="H54" s="59"/>
      <c r="I54" s="59"/>
      <c r="J54" s="59"/>
    </row>
    <row r="55" ht="20.5" customHeight="1" spans="3:10" x14ac:dyDescent="0.25">
      <c r="C55" s="1555" t="s">
        <v>2188</v>
      </c>
      <c r="D55" s="59" t="s">
        <v>2202</v>
      </c>
      <c r="E55" s="59"/>
      <c r="F55" s="59"/>
      <c r="G55" s="59"/>
      <c r="H55" s="59"/>
      <c r="I55" s="59"/>
      <c r="J55" s="59"/>
    </row>
    <row r="57" ht="20.5" customHeight="1" spans="3:13" x14ac:dyDescent="0.25">
      <c r="C57" s="1555" t="s">
        <v>2193</v>
      </c>
      <c r="D57" s="59" t="s">
        <v>2205</v>
      </c>
      <c r="E57" s="59"/>
      <c r="F57" s="59"/>
      <c r="G57" s="59"/>
      <c r="H57" s="59"/>
      <c r="I57" s="59"/>
      <c r="J57" s="59"/>
      <c r="K57" s="59"/>
      <c r="L57" s="59"/>
      <c r="M57" s="59"/>
    </row>
    <row r="58" ht="20.5" customHeight="1" spans="3:13" x14ac:dyDescent="0.25">
      <c r="C58" s="1555" t="s">
        <v>2194</v>
      </c>
      <c r="D58" s="59" t="s">
        <v>2206</v>
      </c>
      <c r="E58" s="59"/>
      <c r="F58" s="59"/>
      <c r="G58" s="59"/>
      <c r="H58" s="59"/>
      <c r="I58" s="59"/>
      <c r="J58" s="59"/>
      <c r="K58" s="59"/>
      <c r="L58" s="59"/>
      <c r="M58" s="59"/>
    </row>
    <row r="59" ht="20.5" customHeight="1" spans="3:10" x14ac:dyDescent="0.25">
      <c r="C59" s="1555" t="s">
        <v>2195</v>
      </c>
      <c r="D59" s="59" t="s">
        <v>2201</v>
      </c>
      <c r="E59" s="59"/>
      <c r="F59" s="59"/>
      <c r="G59" s="59"/>
      <c r="H59" s="59"/>
      <c r="I59" s="59"/>
      <c r="J59" s="59"/>
    </row>
    <row r="60" ht="20.5" customHeight="1" spans="3:10" x14ac:dyDescent="0.25">
      <c r="C60" s="1555" t="s">
        <v>2188</v>
      </c>
      <c r="D60" s="59" t="s">
        <v>2202</v>
      </c>
      <c r="E60" s="59"/>
      <c r="F60" s="59"/>
      <c r="G60" s="59"/>
      <c r="H60" s="59"/>
      <c r="I60" s="59"/>
      <c r="J60" s="59"/>
    </row>
    <row r="62" ht="20.5" customHeight="1" spans="3:13" x14ac:dyDescent="0.25">
      <c r="C62" s="1555" t="s">
        <v>2196</v>
      </c>
      <c r="D62" s="59" t="s">
        <v>2207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" customHeight="1" spans="3:13" x14ac:dyDescent="0.25">
      <c r="C63" s="1555" t="s">
        <v>2197</v>
      </c>
      <c r="D63" s="59" t="s">
        <v>2208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" customHeight="1" spans="3:13" x14ac:dyDescent="0.25">
      <c r="C64" s="1555" t="s">
        <v>2198</v>
      </c>
      <c r="D64" s="59" t="s">
        <v>2201</v>
      </c>
      <c r="E64" s="59"/>
      <c r="F64" s="59"/>
      <c r="G64" s="59"/>
      <c r="H64" s="59"/>
      <c r="I64" s="59"/>
      <c r="J64" s="59"/>
      <c r="K64" s="59"/>
      <c r="L64" s="59"/>
      <c r="M64" s="59"/>
    </row>
    <row r="65" ht="20.5" customHeight="1" spans="3:13" x14ac:dyDescent="0.25">
      <c r="C65" s="1555" t="s">
        <v>2188</v>
      </c>
      <c r="D65" s="59" t="s">
        <v>2202</v>
      </c>
      <c r="E65" s="59"/>
      <c r="F65" s="59"/>
      <c r="G65" s="59"/>
      <c r="H65" s="59"/>
      <c r="I65" s="59"/>
      <c r="J65" s="59"/>
      <c r="K65" s="59"/>
      <c r="L65" s="59"/>
      <c r="M65" s="59"/>
    </row>
    <row r="66" ht="20.5" customHeight="1" spans="4:13" x14ac:dyDescent="0.25">
      <c r="D66" s="59"/>
      <c r="E66" s="59"/>
      <c r="F66" s="59"/>
      <c r="G66" s="59"/>
      <c r="H66" s="59"/>
      <c r="I66" s="59"/>
      <c r="J66" s="59"/>
      <c r="K66" s="59"/>
      <c r="L66" s="59"/>
      <c r="M66" s="59"/>
    </row>
    <row r="67" ht="20.5" customHeight="1" spans="6:15" x14ac:dyDescent="0.25"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ht="20.5" customHeight="1" spans="6:15" x14ac:dyDescent="0.25"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ht="20.5" customHeight="1" spans="6:15" x14ac:dyDescent="0.25"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ht="20.5" customHeight="1" spans="6:15" x14ac:dyDescent="0.25"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137" ht="15" customHeight="1" spans="14:14" x14ac:dyDescent="0.25">
      <c r="N137" t="s">
        <v>2209</v>
      </c>
    </row>
    <row r="138" ht="15" customHeight="1" spans="14:14" x14ac:dyDescent="0.25">
      <c r="N138" t="s">
        <v>2210</v>
      </c>
    </row>
    <row r="139" ht="15" customHeight="1" spans="14:16" x14ac:dyDescent="0.25">
      <c r="N139" s="1437">
        <v>2014</v>
      </c>
      <c r="P139" s="1437">
        <v>2014</v>
      </c>
    </row>
    <row r="140" ht="15" customHeight="1" spans="14:16" x14ac:dyDescent="0.25">
      <c r="N140" s="1465">
        <v>27817.895026076414</v>
      </c>
      <c r="P140" s="1465">
        <v>27990.84974981819</v>
      </c>
    </row>
    <row r="141" ht="15" customHeight="1" spans="14:16" x14ac:dyDescent="0.25">
      <c r="N141" s="1465">
        <v>1.9367010545246712</v>
      </c>
      <c r="P141" s="1465">
        <v>1.9529567152613792</v>
      </c>
    </row>
    <row r="142" ht="15" customHeight="1" spans="14:16" x14ac:dyDescent="0.25">
      <c r="N142" s="1460">
        <v>48207.09808760663</v>
      </c>
      <c r="P142" s="1460">
        <v>48388.91225312114</v>
      </c>
    </row>
    <row r="143" ht="15" customHeight="1" spans="14:16" x14ac:dyDescent="0.25">
      <c r="N143" s="1465">
        <v>5360.058220639103</v>
      </c>
      <c r="P143" s="1465">
        <v>5405.047759814573</v>
      </c>
    </row>
    <row r="144" ht="15" customHeight="1" spans="14:16" x14ac:dyDescent="0.25">
      <c r="N144" s="1465">
        <v>22.683940887655208</v>
      </c>
      <c r="P144" s="1465">
        <v>22.634693014815134</v>
      </c>
    </row>
    <row r="145" ht="15" customHeight="1" spans="14:16" x14ac:dyDescent="0.25">
      <c r="N145" s="1465">
        <v>24.65225072417198</v>
      </c>
      <c r="P145" s="1465">
        <v>24.583072099090426</v>
      </c>
    </row>
    <row r="146" ht="15" customHeight="1" spans="14:16" x14ac:dyDescent="0.25">
      <c r="N146" s="1369">
        <v>26.76333507757307</v>
      </c>
      <c r="P146" s="1369">
        <v>26.646261193912505</v>
      </c>
    </row>
    <row r="147" ht="15" customHeight="1" spans="14:16" x14ac:dyDescent="0.25">
      <c r="N147" s="1465">
        <v>600.9802783374853</v>
      </c>
      <c r="P147" s="1465">
        <v>600.9802783374853</v>
      </c>
    </row>
    <row r="148" ht="15.5" customHeight="1" spans="14:16" x14ac:dyDescent="0.25">
      <c r="N148" s="1721">
        <v>137336.61503073727</v>
      </c>
      <c r="P148" s="1465">
        <v>1.9099944677915108</v>
      </c>
    </row>
    <row r="149" ht="15" customHeight="1" spans="14:16" x14ac:dyDescent="0.25">
      <c r="N149" s="1465">
        <v>71939.5611716478</v>
      </c>
      <c r="P149" s="1465">
        <v>72703.50584368361</v>
      </c>
    </row>
    <row r="150" ht="15" customHeight="1" spans="14:16" x14ac:dyDescent="0.25">
      <c r="N150" s="1454">
        <v>2014</v>
      </c>
      <c r="P150" s="1454">
        <v>2014</v>
      </c>
    </row>
    <row r="151" ht="16.25" customHeight="1" spans="8:16" x14ac:dyDescent="0.25">
      <c r="H151" s="287" t="s">
        <v>2211</v>
      </c>
      <c r="I151" s="1727"/>
      <c r="J151" s="287"/>
      <c r="K151" s="1727"/>
      <c r="L151" s="287"/>
      <c r="M151" s="1727"/>
      <c r="N151" s="2459">
        <v>2.2510816721384304</v>
      </c>
      <c r="P151" s="2459">
        <v>2.2510816721384304</v>
      </c>
    </row>
    <row r="152" ht="15.5" customHeight="1" spans="8:16" x14ac:dyDescent="0.25">
      <c r="H152" s="287" t="s">
        <v>2212</v>
      </c>
      <c r="I152" s="287"/>
      <c r="J152" s="287"/>
      <c r="K152" s="287"/>
      <c r="L152" s="287"/>
      <c r="M152" s="1453">
        <v>296.96774193548384</v>
      </c>
      <c r="N152" s="1465">
        <v>600.9802783374853</v>
      </c>
      <c r="P152" s="1465">
        <v>600.9802783374853</v>
      </c>
    </row>
    <row r="153" ht="15.5" customHeight="1" spans="8:16" x14ac:dyDescent="0.25">
      <c r="H153" s="287" t="s">
        <v>2213</v>
      </c>
      <c r="I153" s="287"/>
      <c r="J153" s="287"/>
      <c r="K153" s="287"/>
      <c r="L153" s="287"/>
      <c r="M153" s="1458"/>
      <c r="N153" s="1465">
        <v>2.1244326923292722</v>
      </c>
      <c r="P153" s="1465">
        <v>2.1244326923292722</v>
      </c>
    </row>
    <row r="154" ht="15.5" customHeight="1" spans="8:16" x14ac:dyDescent="0.25">
      <c r="H154" s="287" t="s">
        <v>2214</v>
      </c>
      <c r="I154" s="287"/>
      <c r="J154" s="287"/>
      <c r="K154" s="287"/>
      <c r="L154" s="287"/>
      <c r="M154" s="1458"/>
      <c r="N154" s="1465">
        <v>639.7027990161135</v>
      </c>
      <c r="P154" s="1465">
        <v>639.7027990161135</v>
      </c>
    </row>
    <row r="155" ht="15.5" customHeight="1" spans="8:16" x14ac:dyDescent="0.25">
      <c r="H155" s="287" t="s">
        <v>2215</v>
      </c>
      <c r="I155" s="287"/>
      <c r="J155" s="287"/>
      <c r="K155" s="287"/>
      <c r="L155" s="287"/>
      <c r="M155" s="1458"/>
      <c r="N155" s="1465">
        <v>560.5876893308925</v>
      </c>
      <c r="P155" s="1465">
        <v>553.2220348590804</v>
      </c>
    </row>
    <row r="156" ht="15.5" customHeight="1" spans="8:16" x14ac:dyDescent="0.25">
      <c r="H156" s="287" t="s">
        <v>2216</v>
      </c>
      <c r="I156" s="287"/>
      <c r="J156" s="287"/>
      <c r="K156" s="287"/>
      <c r="L156" s="287"/>
      <c r="M156" s="1458"/>
      <c r="N156" s="1465">
        <v>13595.655964370553</v>
      </c>
      <c r="P156" s="1465">
        <v>13741.951369065411</v>
      </c>
    </row>
    <row r="157" ht="15.5" customHeight="1" spans="8:16" x14ac:dyDescent="0.25">
      <c r="H157" s="287" t="s">
        <v>2217</v>
      </c>
      <c r="I157" s="287"/>
      <c r="J157" s="287"/>
      <c r="K157" s="287"/>
      <c r="L157" s="287"/>
      <c r="M157" s="1458"/>
      <c r="N157" s="1465">
        <v>342.72690072419994</v>
      </c>
      <c r="P157" s="1465">
        <v>347.4450811046254</v>
      </c>
    </row>
    <row r="158" ht="15.5" customHeight="1" spans="8:16" x14ac:dyDescent="0.25">
      <c r="H158" s="287" t="s">
        <v>2218</v>
      </c>
      <c r="I158" s="287"/>
      <c r="J158" s="287"/>
      <c r="K158" s="287"/>
      <c r="L158" s="287"/>
      <c r="M158" s="1458"/>
      <c r="N158" s="1465">
        <v>292.7519918108127</v>
      </c>
      <c r="P158" s="1465">
        <v>294.5721453422366</v>
      </c>
    </row>
    <row r="159" ht="15.5" customHeight="1" spans="8:16" x14ac:dyDescent="0.25">
      <c r="H159" s="287" t="s">
        <v>2219</v>
      </c>
      <c r="I159" s="287"/>
      <c r="J159" s="287"/>
      <c r="K159" s="287"/>
      <c r="L159" s="287"/>
      <c r="M159" s="1458"/>
      <c r="N159" s="1369">
        <v>15.711563654415363</v>
      </c>
      <c r="P159" s="1369">
        <v>14.895649123019354</v>
      </c>
    </row>
    <row r="160" ht="15.5" customHeight="1" spans="8:16" x14ac:dyDescent="0.25">
      <c r="H160" s="287" t="s">
        <v>2220</v>
      </c>
      <c r="I160" s="287"/>
      <c r="J160" s="287"/>
      <c r="K160" s="287"/>
      <c r="L160" s="287"/>
      <c r="M160" s="1458"/>
      <c r="N160" s="1460">
        <v>36896.695746827834</v>
      </c>
      <c r="P160" s="1460">
        <v>37035.80176486298</v>
      </c>
    </row>
    <row r="161" ht="15.5" customHeight="1" spans="8:16" x14ac:dyDescent="0.25">
      <c r="H161" s="287" t="s">
        <v>2221</v>
      </c>
      <c r="I161" s="287"/>
      <c r="J161" s="287"/>
      <c r="K161" s="287"/>
      <c r="L161" s="287"/>
      <c r="M161" s="1458"/>
      <c r="N161" s="1465">
        <v>1917.721313541383</v>
      </c>
      <c r="P161" s="1465">
        <v>1857.3514919198087</v>
      </c>
    </row>
    <row r="162" ht="15.5" customHeight="1" spans="8:16" x14ac:dyDescent="0.25">
      <c r="H162" s="287" t="s">
        <v>2222</v>
      </c>
      <c r="I162" s="287"/>
      <c r="J162" s="287"/>
      <c r="K162" s="287"/>
      <c r="L162" s="287"/>
      <c r="M162" s="1727"/>
      <c r="N162" s="1465">
        <v>2276.1597779199983</v>
      </c>
      <c r="P162" s="1465">
        <v>2219.6922221474533</v>
      </c>
    </row>
    <row r="163" ht="15.5" customHeight="1" spans="8:16" x14ac:dyDescent="0.25">
      <c r="H163" s="287" t="s">
        <v>2223</v>
      </c>
      <c r="I163" s="287"/>
      <c r="J163" s="287"/>
      <c r="K163" s="287"/>
      <c r="L163" s="287"/>
      <c r="M163" s="1458"/>
      <c r="N163" s="1465">
        <v>1475.4860391378359</v>
      </c>
      <c r="P163" s="1465">
        <v>1447.3221457629838</v>
      </c>
    </row>
    <row r="164" ht="15.5" customHeight="1" spans="8:16" x14ac:dyDescent="0.25">
      <c r="H164" s="287" t="s">
        <v>2224</v>
      </c>
      <c r="I164" s="287"/>
      <c r="J164" s="287"/>
      <c r="K164" s="287"/>
      <c r="L164" s="287"/>
      <c r="M164" s="1458"/>
      <c r="N164" s="1465">
        <v>1023.4995121108134</v>
      </c>
      <c r="P164" s="1465">
        <v>1026.5366026512015</v>
      </c>
    </row>
    <row r="165" ht="15.5" customHeight="1" spans="8:16" x14ac:dyDescent="0.25">
      <c r="H165" s="287" t="s">
        <v>2225</v>
      </c>
      <c r="I165" s="287"/>
      <c r="J165" s="287"/>
      <c r="K165" s="287"/>
      <c r="L165" s="287"/>
      <c r="M165" s="1458"/>
      <c r="N165" s="1465">
        <v>2384.7609402238677</v>
      </c>
      <c r="P165" s="1465">
        <v>2352.1287138947514</v>
      </c>
    </row>
    <row r="166" ht="15.5" customHeight="1" spans="8:16" x14ac:dyDescent="0.25">
      <c r="H166" s="287" t="s">
        <v>2226</v>
      </c>
      <c r="I166" s="287"/>
      <c r="J166" s="287"/>
      <c r="K166" s="287"/>
      <c r="L166" s="287"/>
      <c r="M166" s="1458"/>
      <c r="N166" s="1468">
        <v>1.6693903022038423</v>
      </c>
      <c r="P166" s="1468">
        <v>1.6465469549926817</v>
      </c>
    </row>
    <row r="167" ht="15.5" customHeight="1" spans="8:16" x14ac:dyDescent="0.25">
      <c r="H167" s="287" t="s">
        <v>2227</v>
      </c>
      <c r="I167" s="287"/>
      <c r="J167" s="287"/>
      <c r="K167" s="287"/>
      <c r="L167" s="287"/>
      <c r="M167" s="1458"/>
      <c r="N167" s="1460">
        <v>2687.9894065194867</v>
      </c>
      <c r="P167" s="1460">
        <v>2728.4693081179116</v>
      </c>
    </row>
    <row r="168" ht="15.5" customHeight="1" spans="8:16" x14ac:dyDescent="0.25">
      <c r="H168" s="287" t="s">
        <v>2228</v>
      </c>
      <c r="I168" s="287"/>
      <c r="J168" s="287"/>
      <c r="K168" s="287"/>
      <c r="L168" s="287"/>
      <c r="M168" s="1458"/>
      <c r="N168" s="1534">
        <v>1.881657558199125</v>
      </c>
      <c r="P168" s="1534">
        <v>1.9099944677915108</v>
      </c>
    </row>
    <row r="169" ht="15.5" customHeight="1" spans="8:16" x14ac:dyDescent="0.25">
      <c r="H169" s="287" t="s">
        <v>2229</v>
      </c>
      <c r="I169" s="287"/>
      <c r="J169" s="287"/>
      <c r="K169" s="287"/>
      <c r="L169" s="287"/>
      <c r="M169" s="1727"/>
      <c r="N169" s="1460">
        <v>5570.9564439922</v>
      </c>
      <c r="P169" s="1460">
        <v>5617.71615309699</v>
      </c>
    </row>
    <row r="170" ht="15.5" customHeight="1" spans="8:16" x14ac:dyDescent="0.25">
      <c r="H170" s="287" t="s">
        <v>2230</v>
      </c>
      <c r="I170" s="287"/>
      <c r="J170" s="287"/>
      <c r="K170" s="287"/>
      <c r="L170" s="287"/>
      <c r="M170" s="1458"/>
      <c r="N170" s="1468">
        <v>1.9367010545246712</v>
      </c>
      <c r="P170" s="1468">
        <v>1.9529567152613792</v>
      </c>
    </row>
    <row r="171" ht="16.25" customHeight="1" spans="8:16" x14ac:dyDescent="0.25">
      <c r="H171" s="287" t="s">
        <v>2231</v>
      </c>
      <c r="I171" s="287"/>
      <c r="J171" s="287"/>
      <c r="K171" s="287"/>
      <c r="L171" s="287"/>
      <c r="M171" s="1458"/>
      <c r="N171" s="1465">
        <v>5360.058220639103</v>
      </c>
      <c r="P171" s="1465">
        <v>5405.047759814573</v>
      </c>
    </row>
    <row r="172" ht="16.25" customHeight="1" spans="8:16" x14ac:dyDescent="0.25">
      <c r="H172" s="287" t="s">
        <v>2232</v>
      </c>
      <c r="I172" s="287"/>
      <c r="J172" s="287"/>
      <c r="K172" s="287"/>
      <c r="L172" s="287"/>
      <c r="M172" s="1458"/>
      <c r="N172" s="2460">
        <v>71.54</v>
      </c>
      <c r="P172" s="2460">
        <v>71.63820357195463</v>
      </c>
    </row>
    <row r="173" ht="15" customHeight="1" spans="8:16" x14ac:dyDescent="0.25">
      <c r="H173" s="1458" t="s">
        <v>2233</v>
      </c>
      <c r="I173" s="1458"/>
      <c r="J173" s="1458"/>
      <c r="K173" s="1458"/>
      <c r="L173" s="1458"/>
      <c r="M173" s="1458"/>
      <c r="N173" s="1460">
        <v>37345.8326703266</v>
      </c>
      <c r="P173" s="1460">
        <v>37701.49689409965</v>
      </c>
    </row>
    <row r="174" ht="15.5" customHeight="1" spans="8:16" x14ac:dyDescent="0.25">
      <c r="H174" s="287" t="s">
        <v>2234</v>
      </c>
      <c r="I174" s="287"/>
      <c r="J174" s="287"/>
      <c r="K174" s="1458"/>
      <c r="L174" s="1727"/>
      <c r="M174" s="1458"/>
      <c r="N174" s="1460">
        <v>71939.5611716478</v>
      </c>
      <c r="P174" s="1460">
        <v>72703.50584368361</v>
      </c>
    </row>
    <row r="175" ht="15.5" customHeight="1" spans="8:16" x14ac:dyDescent="0.25">
      <c r="H175" s="939" t="s">
        <v>2235</v>
      </c>
      <c r="I175" s="939"/>
      <c r="J175" s="287"/>
      <c r="K175" s="1458"/>
      <c r="L175" s="1458"/>
      <c r="M175" s="1458"/>
      <c r="N175" s="1460">
        <v>48207.09808760663</v>
      </c>
      <c r="P175" s="1460">
        <v>48388.91225312114</v>
      </c>
    </row>
    <row r="176" ht="15.5" customHeight="1" spans="8:16" x14ac:dyDescent="0.25">
      <c r="H176" s="287" t="s">
        <v>2220</v>
      </c>
      <c r="I176" s="287"/>
      <c r="J176" s="287"/>
      <c r="K176" s="287"/>
      <c r="L176" s="287"/>
      <c r="M176" s="1458"/>
      <c r="N176" s="1460">
        <v>37946.695746827834</v>
      </c>
      <c r="P176" s="1460">
        <v>38085.80176486298</v>
      </c>
    </row>
    <row r="177" ht="15.5" customHeight="1" spans="8:16" x14ac:dyDescent="0.25">
      <c r="H177" s="287" t="s">
        <v>2236</v>
      </c>
      <c r="I177" s="287"/>
      <c r="J177" s="287"/>
      <c r="K177" s="1458"/>
      <c r="L177" s="1458"/>
      <c r="M177" s="1458"/>
      <c r="N177" s="1460">
        <v>27817.895026076414</v>
      </c>
      <c r="P177" s="1460">
        <v>27990.84974981819</v>
      </c>
    </row>
    <row r="178" ht="15.5" customHeight="1" spans="8:16" x14ac:dyDescent="0.25">
      <c r="H178" s="287" t="s">
        <v>2216</v>
      </c>
      <c r="I178" s="287"/>
      <c r="J178" s="287"/>
      <c r="K178" s="287"/>
      <c r="L178" s="287"/>
      <c r="M178" s="1458"/>
      <c r="N178" s="1460">
        <v>14095.655964370553</v>
      </c>
      <c r="P178" s="1460">
        <v>14241.951369065411</v>
      </c>
    </row>
    <row r="179" ht="15.5" customHeight="1" spans="8:16" x14ac:dyDescent="0.25">
      <c r="H179" s="287" t="s">
        <v>2218</v>
      </c>
      <c r="I179" s="287"/>
      <c r="J179" s="287"/>
      <c r="K179" s="1458"/>
      <c r="L179" s="1458"/>
      <c r="M179" s="1458"/>
      <c r="N179" s="1465">
        <v>292.7519918108127</v>
      </c>
      <c r="P179" s="1465">
        <v>294.5721453422366</v>
      </c>
    </row>
    <row r="180" ht="15.5" customHeight="1" spans="8:16" x14ac:dyDescent="0.25">
      <c r="H180" s="287" t="s">
        <v>2237</v>
      </c>
      <c r="I180" s="287"/>
      <c r="J180" s="287"/>
      <c r="K180" s="1458"/>
      <c r="L180" s="1458"/>
      <c r="M180" s="1458"/>
      <c r="N180" s="1460">
        <v>52335.103703009205</v>
      </c>
      <c r="P180" s="1460">
        <v>52622.32527927063</v>
      </c>
    </row>
    <row r="181" ht="15.5" customHeight="1" spans="8:16" x14ac:dyDescent="0.25">
      <c r="H181" s="287" t="s">
        <v>2211</v>
      </c>
      <c r="I181" s="1727"/>
      <c r="J181" s="287"/>
      <c r="K181" s="1727"/>
      <c r="L181" s="287"/>
      <c r="M181" s="1727"/>
      <c r="N181" s="1534">
        <v>2.2510816721384304</v>
      </c>
      <c r="P181" s="1534">
        <v>2.2510816721384304</v>
      </c>
    </row>
    <row r="182" ht="15.5" customHeight="1" spans="8:16" x14ac:dyDescent="0.25">
      <c r="H182" s="287" t="s">
        <v>2212</v>
      </c>
      <c r="I182" s="287"/>
      <c r="J182" s="287"/>
      <c r="K182" s="287"/>
      <c r="L182" s="287"/>
      <c r="M182" s="1453">
        <v>296.96774193548384</v>
      </c>
      <c r="N182" s="1465">
        <v>600.9802783374853</v>
      </c>
      <c r="P182" s="1465">
        <v>600.9802783374853</v>
      </c>
    </row>
    <row r="183" ht="15.5" customHeight="1" spans="8:16" x14ac:dyDescent="0.25">
      <c r="H183" s="287" t="s">
        <v>2213</v>
      </c>
      <c r="I183" s="287"/>
      <c r="J183" s="287"/>
      <c r="K183" s="287"/>
      <c r="L183" s="287"/>
      <c r="M183" s="1458"/>
      <c r="N183" s="1369">
        <v>2.1244326923292722</v>
      </c>
      <c r="P183" s="1369">
        <v>2.1244326923292722</v>
      </c>
    </row>
    <row r="184" ht="15.5" customHeight="1" spans="8:16" x14ac:dyDescent="0.25">
      <c r="H184" s="287" t="s">
        <v>2214</v>
      </c>
      <c r="I184" s="287"/>
      <c r="J184" s="287"/>
      <c r="K184" s="287"/>
      <c r="L184" s="287"/>
      <c r="M184" s="287"/>
      <c r="N184" s="1465">
        <v>639.7027990161135</v>
      </c>
      <c r="P184" s="1465">
        <v>639.7027990161135</v>
      </c>
    </row>
    <row r="185" ht="15.5" customHeight="1" spans="8:16" x14ac:dyDescent="0.25">
      <c r="H185" s="287" t="s">
        <v>2215</v>
      </c>
      <c r="I185" s="287"/>
      <c r="J185" s="287"/>
      <c r="K185" s="287"/>
      <c r="L185" s="287"/>
      <c r="M185" s="287"/>
      <c r="N185" s="1465">
        <v>560.5876893308925</v>
      </c>
      <c r="P185" s="1465">
        <v>553.2220348590804</v>
      </c>
    </row>
    <row r="186" ht="15.5" customHeight="1" spans="8:16" x14ac:dyDescent="0.25">
      <c r="H186" s="287" t="s">
        <v>2238</v>
      </c>
      <c r="I186" s="287"/>
      <c r="J186" s="287"/>
      <c r="K186" s="287"/>
      <c r="L186" s="287"/>
      <c r="M186" s="287"/>
      <c r="N186" s="1465">
        <v>14618.265227780905</v>
      </c>
      <c r="P186" s="1465">
        <v>15430.5336597535</v>
      </c>
    </row>
    <row r="187" ht="15.5" customHeight="1" spans="8:16" x14ac:dyDescent="0.25">
      <c r="H187" s="287" t="s">
        <v>2223</v>
      </c>
      <c r="I187" s="287"/>
      <c r="J187" s="287"/>
      <c r="K187" s="287"/>
      <c r="L187" s="287"/>
      <c r="M187" s="287"/>
      <c r="N187" s="1465">
        <v>1475.4860391378359</v>
      </c>
      <c r="P187" s="1465">
        <v>1447.3221457629838</v>
      </c>
    </row>
    <row r="188" ht="15.5" customHeight="1" spans="8:16" x14ac:dyDescent="0.25">
      <c r="H188" s="287" t="s">
        <v>2239</v>
      </c>
      <c r="I188" s="287"/>
      <c r="J188" s="287"/>
      <c r="K188" s="287"/>
      <c r="L188" s="287"/>
      <c r="M188" s="287"/>
      <c r="N188" s="1460">
        <v>15980.087759142305</v>
      </c>
      <c r="P188" s="1460">
        <v>14545.587564917989</v>
      </c>
    </row>
    <row r="189" ht="15.5" customHeight="1" spans="8:16" x14ac:dyDescent="0.25">
      <c r="H189" s="287" t="s">
        <v>2240</v>
      </c>
      <c r="I189" s="287"/>
      <c r="J189" s="287"/>
      <c r="K189" s="287"/>
      <c r="L189" s="287"/>
      <c r="M189" s="287"/>
      <c r="N189" s="1460">
        <v>21437.26</v>
      </c>
      <c r="P189" s="1460">
        <v>19196.234469577466</v>
      </c>
    </row>
    <row r="190" ht="15.5" customHeight="1" spans="8:16" x14ac:dyDescent="0.25">
      <c r="H190" s="287" t="s">
        <v>2241</v>
      </c>
      <c r="I190" s="287"/>
      <c r="J190" s="287"/>
      <c r="K190" s="287"/>
      <c r="L190" s="287"/>
      <c r="M190" s="287"/>
      <c r="N190" s="1460">
        <v>71939.5611716478</v>
      </c>
      <c r="P190" s="1460">
        <v>72703.50584368361</v>
      </c>
    </row>
    <row r="191" ht="15.5" customHeight="1" spans="8:16" x14ac:dyDescent="0.25">
      <c r="H191" s="287" t="s">
        <v>2242</v>
      </c>
      <c r="I191" s="287"/>
      <c r="J191" s="287"/>
      <c r="K191" s="287"/>
      <c r="L191" s="287"/>
      <c r="M191" s="414"/>
      <c r="N191" s="1465">
        <v>26.76333507757307</v>
      </c>
      <c r="P191" s="1465">
        <v>26.646261193912505</v>
      </c>
    </row>
    <row r="192" ht="15.5" customHeight="1" spans="8:16" x14ac:dyDescent="0.25">
      <c r="H192" s="287" t="s">
        <v>2243</v>
      </c>
      <c r="I192" s="287"/>
      <c r="J192" s="287"/>
      <c r="K192" s="287"/>
      <c r="L192" s="287"/>
      <c r="M192" s="287"/>
      <c r="N192" s="1468">
        <v>0.9201569926194686</v>
      </c>
      <c r="P192" s="1468">
        <v>0.9207430594344886</v>
      </c>
    </row>
    <row r="193" ht="15.5" customHeight="1" spans="8:16" x14ac:dyDescent="0.25">
      <c r="H193" s="287" t="s">
        <v>2244</v>
      </c>
      <c r="I193" s="287"/>
      <c r="J193" s="414"/>
      <c r="K193" s="414"/>
      <c r="L193" s="414"/>
      <c r="M193" s="287"/>
      <c r="N193" s="1468">
        <v>0.4761807610042884</v>
      </c>
      <c r="P193" s="1468">
        <v>0.47354724001868786</v>
      </c>
    </row>
    <row r="194" ht="15.5" customHeight="1" spans="8:16" x14ac:dyDescent="0.25">
      <c r="H194" s="287" t="s">
        <v>2245</v>
      </c>
      <c r="I194" s="287"/>
      <c r="J194" s="287"/>
      <c r="K194" s="287"/>
      <c r="L194" s="287"/>
      <c r="M194" s="287"/>
      <c r="N194" s="1460">
        <v>137336.61503073727</v>
      </c>
      <c r="O194" s="100"/>
      <c r="P194" s="1460">
        <v>138100.7212238082</v>
      </c>
    </row>
    <row r="195" ht="15.5" customHeight="1" spans="8:16" x14ac:dyDescent="0.25">
      <c r="H195" s="287" t="s">
        <v>2246</v>
      </c>
      <c r="I195" s="287"/>
      <c r="J195" s="287"/>
      <c r="K195" s="287"/>
      <c r="L195" s="287"/>
      <c r="M195" s="287"/>
      <c r="N195" s="1369">
        <v>24.65225072417198</v>
      </c>
      <c r="P195" s="1369">
        <v>24.583072099090426</v>
      </c>
    </row>
    <row r="196" ht="15.5" customHeight="1" spans="8:16" x14ac:dyDescent="0.25">
      <c r="H196" s="287" t="s">
        <v>2247</v>
      </c>
      <c r="I196" s="287"/>
      <c r="J196" s="287"/>
      <c r="K196" s="287"/>
      <c r="L196" s="287"/>
      <c r="M196" s="287"/>
      <c r="N196" s="1460">
        <v>126956.6024056171</v>
      </c>
      <c r="P196" s="1460">
        <v>127347.37083727632</v>
      </c>
    </row>
    <row r="197" ht="15.5" customHeight="1" spans="8:16" x14ac:dyDescent="0.25">
      <c r="H197" s="287" t="s">
        <v>2248</v>
      </c>
      <c r="I197" s="287"/>
      <c r="J197" s="287"/>
      <c r="K197" s="287"/>
      <c r="L197" s="287"/>
      <c r="M197" s="287"/>
      <c r="N197" s="1465">
        <v>10380.01262512018</v>
      </c>
      <c r="P197" s="1465">
        <v>10753.3503865319</v>
      </c>
    </row>
    <row r="198" ht="15.5" customHeight="1" spans="8:16" x14ac:dyDescent="0.25">
      <c r="H198" s="287" t="s">
        <v>2249</v>
      </c>
      <c r="I198" s="287"/>
      <c r="J198" s="287"/>
      <c r="K198" s="287"/>
      <c r="L198" s="287"/>
      <c r="M198" s="287"/>
      <c r="N198" s="1465">
        <v>22.789013642806154</v>
      </c>
      <c r="P198" s="1465">
        <v>22.66888667329178</v>
      </c>
    </row>
    <row r="199" ht="15.5" customHeight="1" spans="8:16" x14ac:dyDescent="0.25">
      <c r="H199" s="287" t="s">
        <v>2250</v>
      </c>
      <c r="I199" s="287"/>
      <c r="J199" s="287"/>
      <c r="K199" s="287"/>
      <c r="L199" s="287"/>
      <c r="M199" s="287"/>
      <c r="N199" s="1460">
        <v>27817.895026076414</v>
      </c>
      <c r="P199" s="1460">
        <v>27990.84974981819</v>
      </c>
    </row>
    <row r="200" ht="15.5" customHeight="1" spans="8:16" x14ac:dyDescent="0.25">
      <c r="H200" s="287" t="s">
        <v>2251</v>
      </c>
      <c r="I200" s="287"/>
      <c r="J200" s="287"/>
      <c r="K200" s="287"/>
      <c r="L200" s="287"/>
      <c r="M200" s="287"/>
      <c r="N200" s="1460">
        <v>11193.420478196816</v>
      </c>
      <c r="P200" s="1460">
        <v>12698.046097107941</v>
      </c>
    </row>
    <row r="201" ht="15.5" customHeight="1" spans="8:16" x14ac:dyDescent="0.25">
      <c r="H201" s="287" t="s">
        <v>2252</v>
      </c>
      <c r="I201" s="287"/>
      <c r="J201" s="287"/>
      <c r="K201" s="287"/>
      <c r="L201" s="287"/>
      <c r="M201" s="287"/>
      <c r="N201" s="1460">
        <v>23400.308023124388</v>
      </c>
      <c r="P201" s="1460">
        <v>22303.962852476023</v>
      </c>
    </row>
    <row r="202" ht="15.5" customHeight="1" spans="8:16" x14ac:dyDescent="0.25">
      <c r="H202" s="287" t="s">
        <v>2253</v>
      </c>
      <c r="I202" s="287"/>
      <c r="J202" s="287"/>
      <c r="K202" s="287"/>
      <c r="L202" s="287"/>
      <c r="M202" s="287"/>
      <c r="N202" s="1460">
        <v>65397.05385908947</v>
      </c>
      <c r="P202" s="1460">
        <v>65397.2153801246</v>
      </c>
    </row>
    <row r="203" ht="15.5" customHeight="1" spans="8:16" x14ac:dyDescent="0.25">
      <c r="H203" s="287" t="s">
        <v>2254</v>
      </c>
      <c r="I203" s="287"/>
      <c r="J203" s="287"/>
      <c r="K203" s="287"/>
      <c r="L203" s="287"/>
      <c r="M203" s="287"/>
      <c r="N203" s="1460">
        <v>2882.967037472713</v>
      </c>
      <c r="P203" s="1460">
        <v>2889.246844979078</v>
      </c>
    </row>
    <row r="204" ht="15.5" customHeight="1" spans="8:16" x14ac:dyDescent="0.25">
      <c r="H204" s="287" t="s">
        <v>2255</v>
      </c>
      <c r="I204" s="287"/>
      <c r="J204" s="287"/>
      <c r="K204" s="287"/>
      <c r="L204" s="287"/>
      <c r="M204" s="287"/>
      <c r="N204" s="1465">
        <v>22.683940887655208</v>
      </c>
      <c r="P204" s="1465">
        <v>22.634693014815134</v>
      </c>
    </row>
    <row r="205" ht="15" customHeight="1" spans="8:16" x14ac:dyDescent="0.25">
      <c r="H205" s="1458" t="s">
        <v>2256</v>
      </c>
      <c r="I205" s="1458"/>
      <c r="J205" s="1458"/>
      <c r="K205" s="1458"/>
      <c r="L205" s="1458"/>
      <c r="M205" s="1458"/>
      <c r="N205" s="2461">
        <v>74.92393375229385</v>
      </c>
      <c r="P205" s="2461">
        <v>75.44923644526695</v>
      </c>
    </row>
    <row r="206" ht="15" customHeight="1" spans="8:16" x14ac:dyDescent="0.25">
      <c r="H206" s="1458" t="s">
        <v>2257</v>
      </c>
      <c r="I206" s="1458"/>
      <c r="J206" s="1458"/>
      <c r="K206" s="1458"/>
      <c r="L206" s="1458"/>
      <c r="M206" s="1458"/>
      <c r="N206" s="103">
        <v>37.573237440865064</v>
      </c>
      <c r="P206" s="103">
        <v>38.08679129394123</v>
      </c>
    </row>
    <row r="207" ht="15" customHeight="1" spans="8:16" x14ac:dyDescent="0.25">
      <c r="H207" s="1458"/>
      <c r="I207" s="1458"/>
      <c r="J207" s="1458"/>
      <c r="K207" s="1458"/>
      <c r="L207" s="1458"/>
      <c r="M207" s="1458"/>
      <c r="N207" s="1359"/>
      <c r="P207" s="1359"/>
    </row>
    <row r="208" ht="15" customHeight="1" spans="8:16" x14ac:dyDescent="0.25">
      <c r="H208" s="1458" t="s">
        <v>2258</v>
      </c>
      <c r="I208" s="1458"/>
      <c r="J208" s="1458"/>
      <c r="K208" s="1458"/>
      <c r="L208" s="1458"/>
      <c r="M208" s="1458"/>
      <c r="N208" s="103">
        <v>765.5438290797225</v>
      </c>
      <c r="P208" s="103">
        <v>781.6182772916134</v>
      </c>
    </row>
    <row r="209" ht="15" customHeight="1" spans="8:16" x14ac:dyDescent="0.25">
      <c r="H209" s="1458" t="s">
        <v>2259</v>
      </c>
      <c r="I209" s="1458"/>
      <c r="J209" s="1458"/>
      <c r="K209" s="1458"/>
      <c r="L209" s="1458"/>
      <c r="M209" s="1458"/>
      <c r="N209" s="1359">
        <v>0.6963644435055517</v>
      </c>
      <c r="P209" s="1359">
        <v>0.7015042097417019</v>
      </c>
    </row>
    <row r="210" ht="15" customHeight="1" spans="8:16" x14ac:dyDescent="0.25">
      <c r="H210" s="1458" t="s">
        <v>2260</v>
      </c>
      <c r="I210" s="1458"/>
      <c r="J210" s="1458"/>
      <c r="K210" s="1458"/>
      <c r="L210" s="1458"/>
      <c r="M210" s="1458"/>
      <c r="N210" s="1460">
        <v>7697.202622316787</v>
      </c>
      <c r="P210" s="1460">
        <v>7704.939877416764</v>
      </c>
    </row>
    <row r="211" ht="15" customHeight="1" spans="8:16" x14ac:dyDescent="0.25">
      <c r="H211" s="1458" t="s">
        <v>2261</v>
      </c>
      <c r="I211" s="1458"/>
      <c r="J211" s="1458"/>
      <c r="K211" s="1458"/>
      <c r="L211" s="1458"/>
      <c r="M211" s="1458"/>
      <c r="N211" s="1369">
        <v>1.9367010545246712</v>
      </c>
      <c r="P211" s="1369">
        <v>1.9529567152613792</v>
      </c>
    </row>
    <row r="212" ht="15" customHeight="1" spans="8:16" x14ac:dyDescent="0.25">
      <c r="H212" s="1458" t="s">
        <v>2262</v>
      </c>
      <c r="I212" s="1458"/>
      <c r="J212" s="1469"/>
      <c r="K212" s="1458"/>
      <c r="L212" s="1458"/>
      <c r="M212" s="1458"/>
      <c r="N212" s="1460">
        <v>36.744591121007645</v>
      </c>
      <c r="P212" s="1460">
        <v>39.16291573993428</v>
      </c>
    </row>
    <row r="213" ht="15" customHeight="1" spans="14:16" x14ac:dyDescent="0.25">
      <c r="N213" s="1452">
        <v>2014</v>
      </c>
      <c r="P213" s="1452">
        <v>2014</v>
      </c>
    </row>
    <row r="214" ht="15" customHeight="1" spans="14:16" x14ac:dyDescent="0.25">
      <c r="N214" s="1460">
        <v>6228.976416550059</v>
      </c>
      <c r="P214" s="1460">
        <v>6235.23780551322</v>
      </c>
    </row>
    <row r="215" ht="15" customHeight="1" spans="14:16" x14ac:dyDescent="0.25">
      <c r="N215" s="1460">
        <v>5360.058220639103</v>
      </c>
      <c r="P215" s="1460">
        <v>5405.047759814573</v>
      </c>
    </row>
    <row r="217" ht="15" customHeight="1" spans="14:16" x14ac:dyDescent="0.25">
      <c r="N217" s="2462"/>
      <c r="P217" s="2462">
        <v>0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196"/>
  <sheetViews>
    <sheetView workbookViewId="0" zoomScale="70" zoomScaleNormal="70">
      <selection activeCell="AN206" sqref="AN206"/>
    </sheetView>
  </sheetViews>
  <sheetFormatPr defaultRowHeight="14.5" outlineLevelRow="0" outlineLevelCol="0" x14ac:dyDescent="0" defaultColWidth="8.83203125" customHeight="1"/>
  <cols>
    <col min="4" max="4" width="10.83203125" customWidth="1"/>
    <col min="14" max="29" width="9.5" customWidth="1"/>
    <col min="30" max="32" width="9.6640625" customWidth="1"/>
    <col min="33" max="48" width="9.5" customWidth="1"/>
  </cols>
  <sheetData>
    <row r="1" ht="15" customHeight="1" x14ac:dyDescent="0.25"/>
    <row r="2" ht="18" customHeight="1" spans="3:49" x14ac:dyDescent="0.25">
      <c r="C2" s="1323" t="s">
        <v>520</v>
      </c>
      <c r="D2" s="1324">
        <v>42316</v>
      </c>
      <c r="E2" s="1325" t="s">
        <v>1626</v>
      </c>
      <c r="F2" s="1326"/>
      <c r="G2" s="1326"/>
      <c r="H2" s="1326"/>
      <c r="I2" s="1326"/>
      <c r="J2" s="1326"/>
      <c r="K2" s="1326"/>
      <c r="L2" s="1327"/>
      <c r="M2" s="1714" t="s">
        <v>1004</v>
      </c>
      <c r="N2" s="1329" t="s">
        <v>1565</v>
      </c>
      <c r="O2" s="1329" t="s">
        <v>1006</v>
      </c>
      <c r="P2" s="1329" t="s">
        <v>1007</v>
      </c>
      <c r="Q2" s="1329" t="s">
        <v>1008</v>
      </c>
      <c r="R2" s="1329" t="s">
        <v>1006</v>
      </c>
      <c r="S2" s="1329"/>
      <c r="T2" s="1329"/>
      <c r="U2" s="1329"/>
      <c r="V2" s="1329"/>
      <c r="W2" s="1329"/>
      <c r="X2" s="1329"/>
      <c r="Y2" s="1329"/>
      <c r="Z2" s="1329"/>
      <c r="AA2" s="1329"/>
      <c r="AB2" s="1715" t="s">
        <v>1566</v>
      </c>
      <c r="AC2" s="1330" t="s">
        <v>1567</v>
      </c>
      <c r="AD2" s="1330" t="s">
        <v>1565</v>
      </c>
      <c r="AE2" s="1330" t="s">
        <v>1568</v>
      </c>
      <c r="AF2" s="1330" t="s">
        <v>1569</v>
      </c>
      <c r="AG2" s="1330" t="s">
        <v>1565</v>
      </c>
      <c r="AH2" s="1330" t="s">
        <v>1570</v>
      </c>
      <c r="AI2" s="1330"/>
      <c r="AJ2" s="1330"/>
      <c r="AK2" s="1330"/>
      <c r="AL2" s="1330"/>
      <c r="AM2" s="1330"/>
      <c r="AN2" s="1330"/>
      <c r="AO2" s="1330"/>
      <c r="AP2" s="1330"/>
      <c r="AQ2" s="1330"/>
      <c r="AR2" s="1330"/>
      <c r="AS2" s="1330"/>
      <c r="AT2" s="1330"/>
      <c r="AU2" s="1330"/>
      <c r="AV2" s="1330"/>
      <c r="AW2" s="1332"/>
    </row>
    <row r="3" ht="16.25" customHeight="1" spans="3:49" x14ac:dyDescent="0.25">
      <c r="C3" s="1335"/>
      <c r="D3" s="1336" t="s">
        <v>1011</v>
      </c>
      <c r="E3" s="1716"/>
      <c r="F3" s="1393"/>
      <c r="G3" s="1717" t="s">
        <v>1571</v>
      </c>
      <c r="H3" s="1442"/>
      <c r="I3" s="1442"/>
      <c r="J3" s="1442"/>
      <c r="K3" s="1442"/>
      <c r="L3" s="1100"/>
      <c r="M3" s="1718">
        <v>1995</v>
      </c>
      <c r="N3" s="1437">
        <v>1996</v>
      </c>
      <c r="O3" s="1437">
        <v>1997</v>
      </c>
      <c r="P3" s="1437">
        <v>1998</v>
      </c>
      <c r="Q3" s="1437">
        <v>1999</v>
      </c>
      <c r="R3" s="1437">
        <v>2000</v>
      </c>
      <c r="S3" s="1437">
        <v>2001</v>
      </c>
      <c r="T3" s="1437">
        <v>2002</v>
      </c>
      <c r="U3" s="1437">
        <v>2003</v>
      </c>
      <c r="V3" s="1437">
        <v>2004</v>
      </c>
      <c r="W3" s="1437">
        <v>2005</v>
      </c>
      <c r="X3" s="1437">
        <v>2006</v>
      </c>
      <c r="Y3" s="1437">
        <v>2007</v>
      </c>
      <c r="Z3" s="1437">
        <v>2008</v>
      </c>
      <c r="AA3" s="1437">
        <v>2009</v>
      </c>
      <c r="AB3" s="1437">
        <v>2010</v>
      </c>
      <c r="AC3" s="1437">
        <v>2011</v>
      </c>
      <c r="AD3" s="1437">
        <v>2012</v>
      </c>
      <c r="AE3" s="1437">
        <v>2013</v>
      </c>
      <c r="AF3" s="1437">
        <v>2014</v>
      </c>
      <c r="AG3" s="1437">
        <v>2015</v>
      </c>
      <c r="AH3" s="1437">
        <v>2016</v>
      </c>
      <c r="AI3" s="1437">
        <v>2017</v>
      </c>
      <c r="AJ3" s="1437">
        <v>2018</v>
      </c>
      <c r="AK3" s="1437">
        <v>2019</v>
      </c>
      <c r="AL3" s="1437">
        <v>2020</v>
      </c>
      <c r="AM3" s="1437">
        <v>2021</v>
      </c>
      <c r="AN3" s="1437">
        <v>2022</v>
      </c>
      <c r="AO3" s="1437">
        <v>2023</v>
      </c>
      <c r="AP3" s="1437">
        <v>2024</v>
      </c>
      <c r="AQ3" s="1437">
        <v>2025</v>
      </c>
      <c r="AR3" s="1437">
        <v>2026</v>
      </c>
      <c r="AS3" s="1437">
        <v>2027</v>
      </c>
      <c r="AT3" s="1437">
        <v>2028</v>
      </c>
      <c r="AU3" s="1437">
        <v>2029</v>
      </c>
      <c r="AV3" s="1437">
        <v>2030</v>
      </c>
      <c r="AW3" s="1344"/>
    </row>
    <row r="4" ht="17.5" customHeight="1" spans="3:49" x14ac:dyDescent="0.25">
      <c r="C4" s="1335">
        <v>1</v>
      </c>
      <c r="D4" s="1348">
        <v>40873</v>
      </c>
      <c r="E4" s="1349" t="s">
        <v>361</v>
      </c>
      <c r="F4" s="26" t="s">
        <v>1015</v>
      </c>
      <c r="G4" s="287" t="s">
        <v>1538</v>
      </c>
      <c r="H4" s="287"/>
      <c r="I4" s="287"/>
      <c r="J4" s="287"/>
      <c r="K4" s="287"/>
      <c r="L4" s="287"/>
      <c r="M4" s="1581">
        <v>148.3</v>
      </c>
      <c r="N4" s="1351">
        <v>148.3</v>
      </c>
      <c r="O4" s="1351">
        <v>148</v>
      </c>
      <c r="P4" s="1351">
        <v>147.8</v>
      </c>
      <c r="Q4" s="1351">
        <v>147.5</v>
      </c>
      <c r="R4" s="1351">
        <v>146.3</v>
      </c>
      <c r="S4" s="1351">
        <v>146.304</v>
      </c>
      <c r="T4" s="1351">
        <v>145.17</v>
      </c>
      <c r="U4" s="1351">
        <v>144.2</v>
      </c>
      <c r="V4" s="1351">
        <v>143.5</v>
      </c>
      <c r="W4" s="1351">
        <v>142.8</v>
      </c>
      <c r="X4" s="1351">
        <v>142.2</v>
      </c>
      <c r="Y4" s="1351">
        <v>142</v>
      </c>
      <c r="Z4" s="1351">
        <v>141.9</v>
      </c>
      <c r="AA4" s="1351">
        <v>141.9</v>
      </c>
      <c r="AB4" s="1352">
        <v>142.9</v>
      </c>
      <c r="AC4" s="1351">
        <v>142.9</v>
      </c>
      <c r="AD4" s="1351">
        <v>143</v>
      </c>
      <c r="AE4" s="1351">
        <v>143.7</v>
      </c>
      <c r="AF4" s="1351">
        <v>146.27964828533638</v>
      </c>
      <c r="AG4" s="1351">
        <v>146.60860505285606</v>
      </c>
      <c r="AH4" s="1351">
        <v>146.95209669376763</v>
      </c>
      <c r="AI4" s="1351">
        <v>147.30774804928996</v>
      </c>
      <c r="AJ4" s="1351">
        <v>147.6736597822164</v>
      </c>
      <c r="AK4" s="1351">
        <v>148.04831323934812</v>
      </c>
      <c r="AL4" s="1351">
        <v>148.43049449760025</v>
      </c>
      <c r="AM4" s="1351">
        <v>148.819233670374</v>
      </c>
      <c r="AN4" s="1351">
        <v>149.21375637262125</v>
      </c>
      <c r="AO4" s="1351">
        <v>149.6134448859481</v>
      </c>
      <c r="AP4" s="1351">
        <v>150.01780707036897</v>
      </c>
      <c r="AQ4" s="1351">
        <v>150.4264514679149</v>
      </c>
      <c r="AR4" s="279">
        <v>150.8390673587233</v>
      </c>
      <c r="AS4" s="279">
        <v>151.25540878048454</v>
      </c>
      <c r="AT4" s="279">
        <v>151.6752817210744</v>
      </c>
      <c r="AU4" s="279">
        <v>152.09853385264347</v>
      </c>
      <c r="AV4" s="279">
        <v>152.52504630178834</v>
      </c>
      <c r="AW4" s="287" t="s">
        <v>361</v>
      </c>
    </row>
    <row r="5" ht="17.5" customHeight="1" spans="3:49" x14ac:dyDescent="0.25">
      <c r="C5" s="1335">
        <v>2</v>
      </c>
      <c r="D5" s="1348">
        <v>40873</v>
      </c>
      <c r="E5" s="1349" t="s">
        <v>1018</v>
      </c>
      <c r="F5" s="26" t="s">
        <v>866</v>
      </c>
      <c r="G5" s="287" t="s">
        <v>1572</v>
      </c>
      <c r="H5" s="287"/>
      <c r="I5" s="287"/>
      <c r="J5" s="287"/>
      <c r="K5" s="287"/>
      <c r="L5" s="287"/>
      <c r="M5" s="1362">
        <v>0.4770060687795009</v>
      </c>
      <c r="N5" s="419">
        <v>0.4697235333782872</v>
      </c>
      <c r="O5" s="419">
        <v>0.4599932432432432</v>
      </c>
      <c r="P5" s="419">
        <v>0.45560893098782135</v>
      </c>
      <c r="Q5" s="419">
        <v>0.4893220338983051</v>
      </c>
      <c r="R5" s="419">
        <v>0.49740259740259735</v>
      </c>
      <c r="S5" s="419">
        <v>0.48901602143482065</v>
      </c>
      <c r="T5" s="419">
        <v>0.49842942756767933</v>
      </c>
      <c r="U5" s="419">
        <v>0.5011997226074896</v>
      </c>
      <c r="V5" s="419">
        <v>0.5086062717770035</v>
      </c>
      <c r="W5" s="419">
        <v>0.5152731092436975</v>
      </c>
      <c r="X5" s="419">
        <v>0.5233403656821378</v>
      </c>
      <c r="Y5" s="419">
        <v>0.5302042253521126</v>
      </c>
      <c r="Z5" s="419">
        <v>0.5334742776603242</v>
      </c>
      <c r="AA5" s="419">
        <v>0.5334319943622269</v>
      </c>
      <c r="AB5" s="1363">
        <v>0.5281875437368789</v>
      </c>
      <c r="AC5" s="419">
        <v>0.530293911826452</v>
      </c>
      <c r="AD5" s="419">
        <v>0.5292027972027972</v>
      </c>
      <c r="AE5" s="419">
        <v>0.530293911826452</v>
      </c>
      <c r="AF5" s="419">
        <v>0.530293911826452</v>
      </c>
      <c r="AG5" s="419">
        <v>0.530293911826452</v>
      </c>
      <c r="AH5" s="419">
        <v>0.530293911826452</v>
      </c>
      <c r="AI5" s="419">
        <v>0.530293911826452</v>
      </c>
      <c r="AJ5" s="419">
        <v>0.530293911826452</v>
      </c>
      <c r="AK5" s="419">
        <v>0.530293911826452</v>
      </c>
      <c r="AL5" s="419">
        <v>0.530293911826452</v>
      </c>
      <c r="AM5" s="419">
        <v>0.530293911826452</v>
      </c>
      <c r="AN5" s="419">
        <v>0.530293911826452</v>
      </c>
      <c r="AO5" s="419">
        <v>0.530293911826452</v>
      </c>
      <c r="AP5" s="419">
        <v>0.530293911826452</v>
      </c>
      <c r="AQ5" s="419">
        <v>0.530293911826452</v>
      </c>
      <c r="AR5" s="271">
        <v>0.530293911826452</v>
      </c>
      <c r="AS5" s="271">
        <v>0.530293911826452</v>
      </c>
      <c r="AT5" s="271">
        <v>0.530293911826452</v>
      </c>
      <c r="AU5" s="271">
        <v>0.530293911826452</v>
      </c>
      <c r="AV5" s="271">
        <v>0.530293911826452</v>
      </c>
      <c r="AW5" s="287" t="s">
        <v>1018</v>
      </c>
    </row>
    <row r="6" ht="17.5" customHeight="1" spans="3:49" x14ac:dyDescent="0.25">
      <c r="C6" s="1335">
        <v>3</v>
      </c>
      <c r="D6" s="1348">
        <v>41558</v>
      </c>
      <c r="E6" s="1349" t="s">
        <v>1437</v>
      </c>
      <c r="F6" s="26" t="s">
        <v>866</v>
      </c>
      <c r="G6" s="287" t="s">
        <v>2263</v>
      </c>
      <c r="H6" s="287"/>
      <c r="I6" s="287"/>
      <c r="J6" s="287"/>
      <c r="K6" s="287"/>
      <c r="L6" s="287"/>
      <c r="M6" s="1362">
        <v>0.18688841024307026</v>
      </c>
      <c r="N6" s="1369">
        <v>0.18724637981433837</v>
      </c>
      <c r="O6" s="1369">
        <v>0.17451210637530107</v>
      </c>
      <c r="P6" s="1369">
        <v>0.15480774828968824</v>
      </c>
      <c r="Q6" s="1369">
        <v>0.13900199594342622</v>
      </c>
      <c r="R6" s="1369">
        <v>0.1594977233089813</v>
      </c>
      <c r="S6" s="1369">
        <v>0.1682435403459012</v>
      </c>
      <c r="T6" s="1369">
        <v>0.16289540782927425</v>
      </c>
      <c r="U6" s="1369">
        <v>0.1655331085977597</v>
      </c>
      <c r="V6" s="1369">
        <v>0.16826028537684393</v>
      </c>
      <c r="W6" s="1369">
        <v>0.1671050062991197</v>
      </c>
      <c r="X6" s="1369">
        <v>0.17572406320071596</v>
      </c>
      <c r="Y6" s="1369">
        <v>0.2020067473798311</v>
      </c>
      <c r="Z6" s="1369">
        <v>0.21274918435392595</v>
      </c>
      <c r="AA6" s="1369">
        <v>0.205529105293528</v>
      </c>
      <c r="AB6" s="2463">
        <v>0.19763308889390407</v>
      </c>
      <c r="AC6" s="1369">
        <v>0.19718146836183256</v>
      </c>
      <c r="AD6" s="1369">
        <v>0.20242538618696554</v>
      </c>
      <c r="AE6" s="1468">
        <v>0.20320561534126705</v>
      </c>
      <c r="AF6" s="1468">
        <v>0.18944660422595175</v>
      </c>
      <c r="AG6" s="1468">
        <v>0.18</v>
      </c>
      <c r="AH6" s="1468">
        <v>0.175</v>
      </c>
      <c r="AI6" s="1468">
        <v>0.1725</v>
      </c>
      <c r="AJ6" s="1468">
        <v>0.17124999999999999</v>
      </c>
      <c r="AK6" s="1468">
        <v>0.17062499999999997</v>
      </c>
      <c r="AL6" s="1369">
        <v>0.17031249999999998</v>
      </c>
      <c r="AM6" s="1369">
        <v>0.17015624999999998</v>
      </c>
      <c r="AN6" s="1369">
        <v>0.17007812499999997</v>
      </c>
      <c r="AO6" s="1369">
        <v>0.17003906249999995</v>
      </c>
      <c r="AP6" s="1369">
        <v>0.17001953124999994</v>
      </c>
      <c r="AQ6" s="1369">
        <v>0.17000976562499992</v>
      </c>
      <c r="AR6" s="1369">
        <v>0.17000488281249992</v>
      </c>
      <c r="AS6" s="1369">
        <v>0.17000244140624993</v>
      </c>
      <c r="AT6" s="1369">
        <v>0.17000122070312493</v>
      </c>
      <c r="AU6" s="1369">
        <v>0.17000061035156244</v>
      </c>
      <c r="AV6" s="1369">
        <v>0.17000030517578119</v>
      </c>
      <c r="AW6" s="287" t="s">
        <v>1437</v>
      </c>
    </row>
    <row r="7" ht="17.5" customHeight="1" spans="3:49" x14ac:dyDescent="0.25">
      <c r="C7" s="1335">
        <v>4</v>
      </c>
      <c r="D7" s="1348">
        <v>40635</v>
      </c>
      <c r="E7" s="1349" t="s">
        <v>438</v>
      </c>
      <c r="F7" s="26" t="s">
        <v>1015</v>
      </c>
      <c r="G7" s="287" t="s">
        <v>1574</v>
      </c>
      <c r="H7" s="287"/>
      <c r="I7" s="287"/>
      <c r="J7" s="287"/>
      <c r="K7" s="287"/>
      <c r="L7" s="287"/>
      <c r="M7" s="1371"/>
      <c r="N7" s="1372"/>
      <c r="O7" s="1372"/>
      <c r="P7" s="1372"/>
      <c r="Q7" s="1372"/>
      <c r="R7" s="1372"/>
      <c r="S7" s="1372"/>
      <c r="T7" s="1372"/>
      <c r="U7" s="1372"/>
      <c r="V7" s="1372"/>
      <c r="W7" s="1372"/>
      <c r="X7" s="1372"/>
      <c r="Y7" s="1372"/>
      <c r="Z7" s="1372"/>
      <c r="AA7" s="1372"/>
      <c r="AB7" s="1352"/>
      <c r="AC7" s="1351"/>
      <c r="AD7" s="1351"/>
      <c r="AE7" s="1351"/>
      <c r="AF7" s="1351"/>
      <c r="AG7" s="1351"/>
      <c r="AH7" s="1351"/>
      <c r="AI7" s="1351"/>
      <c r="AJ7" s="1351"/>
      <c r="AK7" s="1351"/>
      <c r="AL7" s="1351"/>
      <c r="AM7" s="1351"/>
      <c r="AN7" s="1351"/>
      <c r="AO7" s="1351"/>
      <c r="AP7" s="1351"/>
      <c r="AQ7" s="1351"/>
      <c r="AR7" s="279"/>
      <c r="AS7" s="279"/>
      <c r="AT7" s="279"/>
      <c r="AU7" s="279"/>
      <c r="AV7" s="279"/>
      <c r="AW7" s="287" t="s">
        <v>438</v>
      </c>
    </row>
    <row r="8" ht="17.5" customHeight="1" spans="3:49" x14ac:dyDescent="0.25">
      <c r="C8" s="1335">
        <v>5</v>
      </c>
      <c r="D8" s="1348">
        <v>40873</v>
      </c>
      <c r="E8" s="1349" t="s">
        <v>1575</v>
      </c>
      <c r="F8" s="26" t="s">
        <v>277</v>
      </c>
      <c r="G8" s="287" t="s">
        <v>1576</v>
      </c>
      <c r="H8" s="287"/>
      <c r="I8" s="287"/>
      <c r="J8" s="287"/>
      <c r="K8" s="287"/>
      <c r="L8" s="287"/>
      <c r="M8" s="1386">
        <v>5182.04</v>
      </c>
      <c r="N8" s="1721"/>
      <c r="O8" s="1721"/>
      <c r="P8" s="1721"/>
      <c r="Q8" s="1721"/>
      <c r="R8" s="1721"/>
      <c r="S8" s="1721"/>
      <c r="T8" s="1721"/>
      <c r="U8" s="1721"/>
      <c r="V8" s="1721"/>
      <c r="W8" s="1721"/>
      <c r="X8" s="187"/>
      <c r="Y8" s="187"/>
      <c r="Z8" s="187"/>
      <c r="AA8" s="187"/>
      <c r="AB8" s="2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W8" s="287" t="s">
        <v>1575</v>
      </c>
    </row>
    <row r="9" ht="17.5" customHeight="1" spans="3:49" x14ac:dyDescent="0.25">
      <c r="C9" s="1335">
        <v>6</v>
      </c>
      <c r="D9" s="1387">
        <v>41926</v>
      </c>
      <c r="E9" s="1349" t="s">
        <v>989</v>
      </c>
      <c r="F9" s="26" t="s">
        <v>866</v>
      </c>
      <c r="G9" s="287" t="s">
        <v>1577</v>
      </c>
      <c r="H9" s="287"/>
      <c r="I9" s="287"/>
      <c r="J9" s="287"/>
      <c r="K9" s="287"/>
      <c r="L9" s="287"/>
      <c r="M9" s="1362">
        <v>0.5033850497134363</v>
      </c>
      <c r="N9" s="419">
        <v>0.4953618002876285</v>
      </c>
      <c r="O9" s="419">
        <v>0.48426929267941665</v>
      </c>
      <c r="P9" s="419">
        <v>0.4544735980569671</v>
      </c>
      <c r="Q9" s="419">
        <v>0.45181578644747206</v>
      </c>
      <c r="R9" s="419">
        <v>0.4542184044051023</v>
      </c>
      <c r="S9" s="419">
        <v>0.47453367284444886</v>
      </c>
      <c r="T9" s="419">
        <v>0.4650009877874736</v>
      </c>
      <c r="U9" s="419">
        <v>0.4687286466539077</v>
      </c>
      <c r="V9" s="419">
        <v>0.46217016187985543</v>
      </c>
      <c r="W9" s="419">
        <v>0.4612737431649456</v>
      </c>
      <c r="X9" s="419">
        <v>0.4634129962414176</v>
      </c>
      <c r="Y9" s="419">
        <v>0.46816891313324255</v>
      </c>
      <c r="Z9" s="419">
        <v>0.4687377628534321</v>
      </c>
      <c r="AA9" s="419">
        <v>0.469065544327923</v>
      </c>
      <c r="AB9" s="1363">
        <v>0.47569154866767077</v>
      </c>
      <c r="AC9" s="419">
        <v>0.471658701836135</v>
      </c>
      <c r="AD9" s="419">
        <v>0.47199853571887007</v>
      </c>
      <c r="AE9" s="419">
        <v>0.47520359541325385</v>
      </c>
      <c r="AF9" s="419">
        <v>0.47618076100428836</v>
      </c>
      <c r="AG9" s="419">
        <v>0.4779637096785983</v>
      </c>
      <c r="AH9" s="419">
        <v>0.4795683634854772</v>
      </c>
      <c r="AI9" s="419">
        <v>0.48101255191166825</v>
      </c>
      <c r="AJ9" s="419">
        <v>0.4823123214952402</v>
      </c>
      <c r="AK9" s="419">
        <v>0.48348211412045494</v>
      </c>
      <c r="AL9" s="419">
        <v>0.48453492748314825</v>
      </c>
      <c r="AM9" s="419">
        <v>0.48548245950957214</v>
      </c>
      <c r="AN9" s="419">
        <v>0.48633523833335374</v>
      </c>
      <c r="AO9" s="419">
        <v>0.48710273927475706</v>
      </c>
      <c r="AP9" s="419">
        <v>0.4877934901220201</v>
      </c>
      <c r="AQ9" s="419">
        <v>0.4884151658845569</v>
      </c>
      <c r="AR9" s="419">
        <v>0.48897467407084</v>
      </c>
      <c r="AS9" s="419">
        <v>0.48947823143849484</v>
      </c>
      <c r="AT9" s="419">
        <v>0.48993143306938414</v>
      </c>
      <c r="AU9" s="419">
        <v>0.4903393145371845</v>
      </c>
      <c r="AV9" s="419">
        <v>0.49070640785820474</v>
      </c>
      <c r="AW9" s="287" t="s">
        <v>989</v>
      </c>
    </row>
    <row r="10" ht="17.5" customHeight="1" spans="3:49" x14ac:dyDescent="0.25">
      <c r="C10" s="1335">
        <v>7</v>
      </c>
      <c r="D10" s="1387">
        <v>41926</v>
      </c>
      <c r="E10" s="1349" t="s">
        <v>355</v>
      </c>
      <c r="F10" s="26" t="s">
        <v>866</v>
      </c>
      <c r="G10" s="287" t="s">
        <v>1578</v>
      </c>
      <c r="H10" s="287"/>
      <c r="I10" s="287"/>
      <c r="J10" s="287"/>
      <c r="K10" s="287"/>
      <c r="L10" s="287"/>
      <c r="M10" s="1362">
        <v>0.5033850497134363</v>
      </c>
      <c r="N10" s="419">
        <v>0.5074724155594162</v>
      </c>
      <c r="O10" s="419">
        <v>0.5074724155594164</v>
      </c>
      <c r="P10" s="419">
        <v>0.5085104083611879</v>
      </c>
      <c r="Q10" s="419">
        <v>0.5057231327942381</v>
      </c>
      <c r="R10" s="419">
        <v>0.5030122907437494</v>
      </c>
      <c r="S10" s="419">
        <v>0.5020647450635659</v>
      </c>
      <c r="T10" s="419">
        <v>0.5006338966298406</v>
      </c>
      <c r="U10" s="419">
        <v>0.5020261813046646</v>
      </c>
      <c r="V10" s="419">
        <v>0.5057148762579633</v>
      </c>
      <c r="W10" s="419">
        <v>0.502441464842453</v>
      </c>
      <c r="X10" s="820">
        <v>0.5056397290721157</v>
      </c>
      <c r="Y10" s="820">
        <v>0.5070028548191596</v>
      </c>
      <c r="Z10" s="820">
        <v>0.5060638126378627</v>
      </c>
      <c r="AA10" s="820">
        <v>0.5087308546862543</v>
      </c>
      <c r="AB10" s="1363">
        <v>0.5110702315687009</v>
      </c>
      <c r="AC10" s="419">
        <v>0.5110702315687009</v>
      </c>
      <c r="AD10" s="419">
        <v>0.5129543539904016</v>
      </c>
      <c r="AE10" s="419">
        <v>0.5153465231751246</v>
      </c>
      <c r="AF10" s="419">
        <v>0.5163081372164439</v>
      </c>
      <c r="AG10" s="419">
        <v>0.5194371324810011</v>
      </c>
      <c r="AH10" s="419">
        <v>0.5211810238166642</v>
      </c>
      <c r="AI10" s="419">
        <v>0.522750526018761</v>
      </c>
      <c r="AJ10" s="419">
        <v>0.5241630780006482</v>
      </c>
      <c r="AK10" s="419">
        <v>0.5254343747843466</v>
      </c>
      <c r="AL10" s="419">
        <v>0.5265785418896752</v>
      </c>
      <c r="AM10" s="419">
        <v>0.5276082922844709</v>
      </c>
      <c r="AN10" s="419">
        <v>0.5285350676397871</v>
      </c>
      <c r="AO10" s="419">
        <v>0.5293691654595716</v>
      </c>
      <c r="AP10" s="419">
        <v>0.5301198534973777</v>
      </c>
      <c r="AQ10" s="419">
        <v>0.5307954727314032</v>
      </c>
      <c r="AR10" s="419">
        <v>0.5314035300420261</v>
      </c>
      <c r="AS10" s="419">
        <v>0.5319507816215868</v>
      </c>
      <c r="AT10" s="419">
        <v>0.5324433080431914</v>
      </c>
      <c r="AU10" s="419">
        <v>0.5328865818226355</v>
      </c>
      <c r="AV10" s="419">
        <v>0.5332855282241351</v>
      </c>
      <c r="AW10" s="287" t="s">
        <v>355</v>
      </c>
    </row>
    <row r="11" ht="17.5" customHeight="1" spans="3:49" x14ac:dyDescent="0.25">
      <c r="C11" s="1335">
        <v>8</v>
      </c>
      <c r="D11" s="1387">
        <v>41926</v>
      </c>
      <c r="E11" s="1349" t="s">
        <v>358</v>
      </c>
      <c r="F11" s="26" t="s">
        <v>866</v>
      </c>
      <c r="G11" s="287" t="s">
        <v>1579</v>
      </c>
      <c r="H11" s="287"/>
      <c r="I11" s="287"/>
      <c r="J11" s="287"/>
      <c r="K11" s="287"/>
      <c r="L11" s="287"/>
      <c r="M11" s="1362">
        <v>1.0000000000000002</v>
      </c>
      <c r="N11" s="419">
        <v>0.9761354215510659</v>
      </c>
      <c r="O11" s="419">
        <v>0.954277075623073</v>
      </c>
      <c r="P11" s="419">
        <v>0.8937350948658671</v>
      </c>
      <c r="Q11" s="419">
        <v>0.8934054172113596</v>
      </c>
      <c r="R11" s="419">
        <v>0.9029966320176771</v>
      </c>
      <c r="S11" s="419">
        <v>0.9451642990474638</v>
      </c>
      <c r="T11" s="419">
        <v>0.9288244182380777</v>
      </c>
      <c r="U11" s="419">
        <v>0.9336737088806338</v>
      </c>
      <c r="V11" s="419">
        <v>0.9138947331343762</v>
      </c>
      <c r="W11" s="419">
        <v>0.9180646412405153</v>
      </c>
      <c r="X11" s="419">
        <v>0.9164884988207174</v>
      </c>
      <c r="Y11" s="419">
        <v>0.9234048855607163</v>
      </c>
      <c r="Z11" s="419">
        <v>0.9262424049056813</v>
      </c>
      <c r="AA11" s="419">
        <v>0.9220308538533725</v>
      </c>
      <c r="AB11" s="1363">
        <v>0.9307753010923033</v>
      </c>
      <c r="AC11" s="419">
        <v>0.9228843174614291</v>
      </c>
      <c r="AD11" s="419">
        <v>0.9201569926194683</v>
      </c>
      <c r="AE11" s="419">
        <v>0.9201569926194683</v>
      </c>
      <c r="AF11" s="419">
        <v>0.9201569926194683</v>
      </c>
      <c r="AG11" s="419">
        <v>0.9201569926194683</v>
      </c>
      <c r="AH11" s="419">
        <v>0.9201569926194683</v>
      </c>
      <c r="AI11" s="419">
        <v>0.9201569926194683</v>
      </c>
      <c r="AJ11" s="419">
        <v>0.9201569926194683</v>
      </c>
      <c r="AK11" s="419">
        <v>0.9201569926194683</v>
      </c>
      <c r="AL11" s="419">
        <v>0.9201569926194683</v>
      </c>
      <c r="AM11" s="419">
        <v>0.9201569926194683</v>
      </c>
      <c r="AN11" s="419">
        <v>0.9201569926194683</v>
      </c>
      <c r="AO11" s="419">
        <v>0.9201569926194683</v>
      </c>
      <c r="AP11" s="419">
        <v>0.9201569926194683</v>
      </c>
      <c r="AQ11" s="419">
        <v>0.9201569926194683</v>
      </c>
      <c r="AR11" s="419">
        <v>0.9201569926194683</v>
      </c>
      <c r="AS11" s="419">
        <v>0.9201569926194683</v>
      </c>
      <c r="AT11" s="419">
        <v>0.9201569926194683</v>
      </c>
      <c r="AU11" s="419">
        <v>0.9201569926194683</v>
      </c>
      <c r="AV11" s="419">
        <v>0.9201569926194683</v>
      </c>
      <c r="AW11" s="287" t="s">
        <v>358</v>
      </c>
    </row>
    <row r="12" ht="17.5" customHeight="1" spans="3:49" x14ac:dyDescent="0.25">
      <c r="C12" s="1335">
        <v>9</v>
      </c>
      <c r="D12" s="1387"/>
      <c r="E12" s="1349"/>
      <c r="F12" s="26"/>
      <c r="G12" s="287"/>
      <c r="H12" s="287"/>
      <c r="I12" s="287"/>
      <c r="J12" s="287"/>
      <c r="K12" s="287"/>
      <c r="L12" s="287"/>
      <c r="M12" s="1362">
        <v>1</v>
      </c>
      <c r="N12" s="1723"/>
      <c r="O12" s="1723"/>
      <c r="P12" s="1723"/>
      <c r="Q12" s="1723"/>
      <c r="R12" s="1723"/>
      <c r="S12" s="1723"/>
      <c r="T12" s="1723"/>
      <c r="U12" s="1723"/>
      <c r="V12" s="1723"/>
      <c r="W12" s="1723"/>
      <c r="X12" s="1723"/>
      <c r="Y12" s="1723"/>
      <c r="Z12" s="1723"/>
      <c r="AA12" s="1723"/>
      <c r="AB12" s="1723"/>
      <c r="AC12" s="1723"/>
      <c r="AD12" s="1723"/>
      <c r="AE12" s="1723"/>
      <c r="AF12" s="1723"/>
      <c r="AG12" s="1723"/>
      <c r="AH12" s="1723"/>
      <c r="AI12" s="1723"/>
      <c r="AJ12" s="1723"/>
      <c r="AK12" s="1723"/>
      <c r="AL12" s="1723"/>
      <c r="AM12" s="1723"/>
      <c r="AN12" s="1723"/>
      <c r="AO12" s="1723"/>
      <c r="AP12" s="1723"/>
      <c r="AQ12" s="1723"/>
      <c r="AW12" s="287">
        <v>0</v>
      </c>
    </row>
    <row r="13" ht="17.5" customHeight="1" spans="3:49" x14ac:dyDescent="0.25">
      <c r="C13" s="1335">
        <v>10</v>
      </c>
      <c r="D13" s="1348">
        <v>41613</v>
      </c>
      <c r="E13" s="1349" t="s">
        <v>596</v>
      </c>
      <c r="F13" s="26" t="s">
        <v>1627</v>
      </c>
      <c r="G13" s="287" t="s">
        <v>1582</v>
      </c>
      <c r="H13" s="287"/>
      <c r="I13" s="287"/>
      <c r="J13" s="287"/>
      <c r="K13" s="287"/>
      <c r="L13" s="287"/>
      <c r="M13" s="1368">
        <v>43.206939348996954</v>
      </c>
      <c r="N13" s="1351">
        <v>42.7492868993135</v>
      </c>
      <c r="O13" s="1351">
        <v>45.44724189473684</v>
      </c>
      <c r="P13" s="1351">
        <v>44.298503885723704</v>
      </c>
      <c r="Q13" s="1351">
        <v>43.41673739769028</v>
      </c>
      <c r="R13" s="1351">
        <v>46.04676815125376</v>
      </c>
      <c r="S13" s="1351">
        <v>48.263748607689806</v>
      </c>
      <c r="T13" s="1351">
        <v>49.22629539903151</v>
      </c>
      <c r="U13" s="1351">
        <v>53.22299360111471</v>
      </c>
      <c r="V13" s="1351">
        <v>56.64405273852399</v>
      </c>
      <c r="W13" s="1351">
        <v>58.97912732881757</v>
      </c>
      <c r="X13" s="1351">
        <v>63.457556425113935</v>
      </c>
      <c r="Y13" s="1351">
        <v>67.47991724969835</v>
      </c>
      <c r="Z13" s="1351">
        <v>70.62140234848118</v>
      </c>
      <c r="AA13" s="1351">
        <v>66.89628158851706</v>
      </c>
      <c r="AB13" s="1352">
        <v>69.71479466800007</v>
      </c>
      <c r="AC13" s="1351">
        <v>71.76536025622492</v>
      </c>
      <c r="AD13" s="1351">
        <v>73.77610036590946</v>
      </c>
      <c r="AE13" s="1351">
        <v>75.25659244385453</v>
      </c>
      <c r="AF13" s="1351">
        <v>75.71019382296818</v>
      </c>
      <c r="AG13" s="1351">
        <v>76.11843506417047</v>
      </c>
      <c r="AH13" s="1351">
        <v>76.48585218125253</v>
      </c>
      <c r="AI13" s="1351">
        <v>76.81652758662638</v>
      </c>
      <c r="AJ13" s="1351">
        <v>77.11413545146284</v>
      </c>
      <c r="AK13" s="1351">
        <v>77.38198252981566</v>
      </c>
      <c r="AL13" s="1351">
        <v>77.6230449003332</v>
      </c>
      <c r="AM13" s="1351">
        <v>77.84000103379898</v>
      </c>
      <c r="AN13" s="1351">
        <v>78.03526155391819</v>
      </c>
      <c r="AO13" s="1351">
        <v>78.21099602202547</v>
      </c>
      <c r="AP13" s="1351">
        <v>78.36915704332202</v>
      </c>
      <c r="AQ13" s="1351">
        <v>78.51150196248892</v>
      </c>
      <c r="AR13" s="1351">
        <v>78.63961238973913</v>
      </c>
      <c r="AS13" s="1351">
        <v>78.75491177426431</v>
      </c>
      <c r="AT13" s="1351">
        <v>78.85868122033699</v>
      </c>
      <c r="AU13" s="1351">
        <v>78.95207372180239</v>
      </c>
      <c r="AV13" s="1351">
        <v>79.03612697312126</v>
      </c>
      <c r="AW13" s="287" t="s">
        <v>596</v>
      </c>
    </row>
    <row r="14" ht="17.5" customHeight="1" spans="3:49" x14ac:dyDescent="0.25">
      <c r="C14" s="1335">
        <v>11</v>
      </c>
      <c r="D14" s="1348">
        <v>41976</v>
      </c>
      <c r="E14" s="1349" t="s">
        <v>661</v>
      </c>
      <c r="F14" s="26" t="s">
        <v>919</v>
      </c>
      <c r="G14" s="287" t="s">
        <v>1583</v>
      </c>
      <c r="H14" s="287"/>
      <c r="I14" s="287"/>
      <c r="J14" s="287"/>
      <c r="K14" s="287"/>
      <c r="L14" s="287"/>
      <c r="M14" s="1362">
        <v>0.5216020542781756</v>
      </c>
      <c r="N14" s="419">
        <v>0.5075047014598465</v>
      </c>
      <c r="O14" s="419">
        <v>0.5166764731729763</v>
      </c>
      <c r="P14" s="419">
        <v>0.4918013771726725</v>
      </c>
      <c r="Q14" s="419">
        <v>0.5192872824837201</v>
      </c>
      <c r="R14" s="419">
        <v>0.5652739174499402</v>
      </c>
      <c r="S14" s="419">
        <v>0.587683190688788</v>
      </c>
      <c r="T14" s="419">
        <v>0.6074665852268265</v>
      </c>
      <c r="U14" s="419">
        <v>0.6452458496585047</v>
      </c>
      <c r="V14" s="419">
        <v>0.6858912575110089</v>
      </c>
      <c r="W14" s="419">
        <v>0.7114691454260414</v>
      </c>
      <c r="X14" s="419">
        <v>0.7566307611024992</v>
      </c>
      <c r="Y14" s="419">
        <v>0.7984619477007946</v>
      </c>
      <c r="Z14" s="419">
        <v>0.8092519740210756</v>
      </c>
      <c r="AA14" s="419">
        <v>0.8092519740210756</v>
      </c>
      <c r="AB14" s="1363">
        <v>0.8092519740210756</v>
      </c>
      <c r="AC14" s="419">
        <v>0.8092519740210756</v>
      </c>
      <c r="AD14" s="419">
        <v>0.8092519740210756</v>
      </c>
      <c r="AE14" s="419">
        <v>0.8092519740210756</v>
      </c>
      <c r="AF14" s="419">
        <v>0.8092519740210756</v>
      </c>
      <c r="AG14" s="419">
        <v>0.8092519740210756</v>
      </c>
      <c r="AH14" s="419">
        <v>0.8092519740210756</v>
      </c>
      <c r="AI14" s="419">
        <v>0.8092519740210756</v>
      </c>
      <c r="AJ14" s="419">
        <v>0.8092519740210756</v>
      </c>
      <c r="AK14" s="419">
        <v>0.8092519740210756</v>
      </c>
      <c r="AL14" s="419">
        <v>0.8092519740210756</v>
      </c>
      <c r="AM14" s="419">
        <v>0.8092519740210756</v>
      </c>
      <c r="AN14" s="419">
        <v>0.8092519740210756</v>
      </c>
      <c r="AO14" s="419">
        <v>0.8092519740210756</v>
      </c>
      <c r="AP14" s="419">
        <v>0.8092519740210756</v>
      </c>
      <c r="AQ14" s="419">
        <v>0.8092519740210756</v>
      </c>
      <c r="AR14" s="419">
        <v>0.8092519740210756</v>
      </c>
      <c r="AS14" s="419">
        <v>0.8092519740210756</v>
      </c>
      <c r="AT14" s="419">
        <v>0.8092519740210756</v>
      </c>
      <c r="AU14" s="419">
        <v>0.8092519740210756</v>
      </c>
      <c r="AV14" s="419">
        <v>0.8092519740210756</v>
      </c>
      <c r="AW14" s="287" t="s">
        <v>661</v>
      </c>
    </row>
    <row r="15" ht="17.5" customHeight="1" spans="3:49" x14ac:dyDescent="0.25">
      <c r="C15" s="1335">
        <v>12</v>
      </c>
      <c r="D15" s="1348">
        <v>42288</v>
      </c>
      <c r="E15" s="1349" t="s">
        <v>381</v>
      </c>
      <c r="F15" s="26" t="s">
        <v>866</v>
      </c>
      <c r="G15" s="287" t="s">
        <v>1584</v>
      </c>
      <c r="H15" s="287"/>
      <c r="I15" s="287"/>
      <c r="J15" s="287"/>
      <c r="K15" s="287"/>
      <c r="L15" s="287"/>
      <c r="M15" s="1371">
        <v>1</v>
      </c>
      <c r="N15" s="1372">
        <v>1.218</v>
      </c>
      <c r="O15" s="1372">
        <v>1.3519800000000002</v>
      </c>
      <c r="P15" s="1372">
        <v>2.4930511200000005</v>
      </c>
      <c r="Q15" s="1372">
        <v>3.4030147788000007</v>
      </c>
      <c r="R15" s="1372">
        <v>4.090423764117601</v>
      </c>
      <c r="S15" s="1372">
        <v>4.851242584243474</v>
      </c>
      <c r="T15" s="1372">
        <v>5.583780214464239</v>
      </c>
      <c r="U15" s="1372">
        <v>6.253833840199949</v>
      </c>
      <c r="V15" s="1372">
        <v>6.9855323995033425</v>
      </c>
      <c r="W15" s="1372">
        <v>7.746955431049207</v>
      </c>
      <c r="X15" s="1372">
        <v>8.444181419843636</v>
      </c>
      <c r="Y15" s="1372">
        <v>9.449039008805029</v>
      </c>
      <c r="Z15" s="1372">
        <v>10.705761196976098</v>
      </c>
      <c r="AA15" s="1372">
        <v>11.647868182309995</v>
      </c>
      <c r="AB15" s="2464">
        <v>12.672880582353276</v>
      </c>
      <c r="AC15" s="1372">
        <v>13.445926297876825</v>
      </c>
      <c r="AD15" s="1372">
        <v>14.333357433536698</v>
      </c>
      <c r="AE15" s="1372">
        <v>15.308025739017193</v>
      </c>
      <c r="AF15" s="1372">
        <v>17.053140673265155</v>
      </c>
      <c r="AG15" s="1372">
        <v>19.133623835403505</v>
      </c>
      <c r="AH15" s="1372">
        <v>21.046986218943857</v>
      </c>
      <c r="AI15" s="1372">
        <v>22.941214978648805</v>
      </c>
      <c r="AJ15" s="1372">
        <v>24.77651217694071</v>
      </c>
      <c r="AK15" s="1372">
        <v>26.51086802932656</v>
      </c>
      <c r="AL15" s="1372">
        <v>28.101520111086153</v>
      </c>
      <c r="AM15" s="1372">
        <v>29.787611317751324</v>
      </c>
      <c r="AN15" s="1372">
        <v>31.276991883638892</v>
      </c>
      <c r="AO15" s="1372">
        <v>32.84084147782084</v>
      </c>
      <c r="AP15" s="1372">
        <v>34.48288355171188</v>
      </c>
      <c r="AQ15" s="1372">
        <v>36.20702772929747</v>
      </c>
      <c r="AR15" s="1372">
        <v>38.017379115762346</v>
      </c>
      <c r="AS15" s="1372">
        <v>39.53807428039284</v>
      </c>
      <c r="AT15" s="1372">
        <v>41.11959725160855</v>
      </c>
      <c r="AU15" s="1372">
        <v>42.7643811416729</v>
      </c>
      <c r="AV15" s="1372">
        <v>44.474956387339816</v>
      </c>
      <c r="AW15" s="287" t="s">
        <v>381</v>
      </c>
    </row>
    <row r="16" ht="17.5" customHeight="1" spans="3:49" x14ac:dyDescent="0.25">
      <c r="C16" s="1335">
        <v>13</v>
      </c>
      <c r="D16" s="1387">
        <v>42288</v>
      </c>
      <c r="E16" s="1349" t="s">
        <v>121</v>
      </c>
      <c r="F16" s="26" t="s">
        <v>866</v>
      </c>
      <c r="G16" s="287" t="s">
        <v>1585</v>
      </c>
      <c r="H16" s="287"/>
      <c r="I16" s="287"/>
      <c r="J16" s="287"/>
      <c r="K16" s="287"/>
      <c r="L16" s="287"/>
      <c r="M16" s="1371">
        <v>2.313</v>
      </c>
      <c r="N16" s="187">
        <v>1.218</v>
      </c>
      <c r="O16" s="187">
        <v>1.11</v>
      </c>
      <c r="P16" s="187">
        <v>1.844</v>
      </c>
      <c r="Q16" s="187">
        <v>1.365</v>
      </c>
      <c r="R16" s="187">
        <v>1.202</v>
      </c>
      <c r="S16" s="187">
        <v>1.186</v>
      </c>
      <c r="T16" s="187">
        <v>1.151</v>
      </c>
      <c r="U16" s="187">
        <v>1.12</v>
      </c>
      <c r="V16" s="187">
        <v>1.117</v>
      </c>
      <c r="W16" s="187">
        <v>1.109</v>
      </c>
      <c r="X16" s="187">
        <v>1.09</v>
      </c>
      <c r="Y16" s="187">
        <v>1.119</v>
      </c>
      <c r="Z16" s="187">
        <v>1.133</v>
      </c>
      <c r="AA16" s="419">
        <v>1.088</v>
      </c>
      <c r="AB16" s="1363">
        <v>1.088</v>
      </c>
      <c r="AC16" s="419">
        <v>1.061</v>
      </c>
      <c r="AD16" s="419">
        <v>1.066</v>
      </c>
      <c r="AE16" s="419">
        <v>1.068</v>
      </c>
      <c r="AF16" s="419">
        <v>1.114</v>
      </c>
      <c r="AG16" s="419">
        <v>1.122</v>
      </c>
      <c r="AH16" s="419">
        <v>1.1</v>
      </c>
      <c r="AI16" s="419">
        <v>1.09</v>
      </c>
      <c r="AJ16" s="419">
        <v>1.08</v>
      </c>
      <c r="AK16" s="419">
        <v>1.07</v>
      </c>
      <c r="AL16" s="419">
        <v>1.06</v>
      </c>
      <c r="AM16" s="419">
        <v>1.06</v>
      </c>
      <c r="AN16" s="419">
        <v>1.05</v>
      </c>
      <c r="AO16" s="419">
        <v>1.05</v>
      </c>
      <c r="AP16" s="419">
        <v>1.05</v>
      </c>
      <c r="AQ16" s="419">
        <v>1.05</v>
      </c>
      <c r="AR16" s="419">
        <v>1.05</v>
      </c>
      <c r="AS16" s="419">
        <v>1.04</v>
      </c>
      <c r="AT16" s="419">
        <v>1.04</v>
      </c>
      <c r="AU16" s="419">
        <v>1.04</v>
      </c>
      <c r="AV16" s="419">
        <v>1.04</v>
      </c>
      <c r="AW16" s="287" t="s">
        <v>121</v>
      </c>
    </row>
    <row r="17" ht="17.5" customHeight="1" spans="3:49" x14ac:dyDescent="0.25">
      <c r="C17" s="1335">
        <v>14</v>
      </c>
      <c r="D17" s="1348">
        <v>40878</v>
      </c>
      <c r="E17" s="1349"/>
      <c r="F17" s="26"/>
      <c r="G17" s="287"/>
      <c r="H17" s="287"/>
      <c r="I17" s="287"/>
      <c r="J17" s="287"/>
      <c r="K17" s="287"/>
      <c r="L17" s="287"/>
      <c r="M17" s="1376"/>
      <c r="N17" s="1351"/>
      <c r="O17" s="1351"/>
      <c r="P17" s="1351"/>
      <c r="Q17" s="1351"/>
      <c r="R17" s="1351"/>
      <c r="S17" s="1351"/>
      <c r="T17" s="1351"/>
      <c r="U17" s="1351"/>
      <c r="V17" s="1351"/>
      <c r="W17" s="1351"/>
      <c r="X17" s="1351"/>
      <c r="Y17" s="1351"/>
      <c r="Z17" s="1351"/>
      <c r="AA17" s="1351"/>
      <c r="AB17" s="1351"/>
      <c r="AC17" s="1351"/>
      <c r="AD17" s="1351"/>
      <c r="AE17" s="1351"/>
      <c r="AF17" s="1351"/>
      <c r="AG17" s="1351"/>
      <c r="AH17" s="1351"/>
      <c r="AI17" s="1351"/>
      <c r="AJ17" s="1351"/>
      <c r="AK17" s="1351"/>
      <c r="AL17" s="1351"/>
      <c r="AM17" s="1351"/>
      <c r="AN17" s="1351"/>
      <c r="AO17" s="1351"/>
      <c r="AP17" s="1351"/>
      <c r="AQ17" s="1351"/>
      <c r="AR17" s="1351"/>
      <c r="AS17" s="1351"/>
      <c r="AT17" s="1351"/>
      <c r="AU17" s="1351"/>
      <c r="AV17" s="1351"/>
      <c r="AW17" s="287">
        <v>0</v>
      </c>
    </row>
    <row r="18" ht="17.5" customHeight="1" spans="3:49" x14ac:dyDescent="0.25">
      <c r="C18" s="2465">
        <v>15</v>
      </c>
      <c r="D18" s="2466">
        <v>0</v>
      </c>
      <c r="E18" s="1349"/>
      <c r="F18" s="26"/>
      <c r="G18" s="287"/>
      <c r="H18" s="287"/>
      <c r="I18" s="287"/>
      <c r="J18" s="287"/>
      <c r="K18" s="287"/>
      <c r="L18" s="287"/>
      <c r="M18" s="1376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1469"/>
      <c r="AW18" s="287">
        <v>0</v>
      </c>
    </row>
    <row r="19" ht="17.5" customHeight="1" spans="3:49" x14ac:dyDescent="0.25">
      <c r="C19" s="1335">
        <v>16</v>
      </c>
      <c r="D19" s="1348">
        <v>41988</v>
      </c>
      <c r="E19" s="1349" t="s">
        <v>2264</v>
      </c>
      <c r="F19" s="26" t="s">
        <v>866</v>
      </c>
      <c r="G19" s="287" t="s">
        <v>2265</v>
      </c>
      <c r="H19" s="287"/>
      <c r="I19" s="287"/>
      <c r="J19" s="287"/>
      <c r="K19" s="287"/>
      <c r="L19" s="287"/>
      <c r="M19" s="1362">
        <v>0.2252273157796683</v>
      </c>
      <c r="N19" s="419">
        <v>0.25702596448827286</v>
      </c>
      <c r="O19" s="419">
        <v>0.26483194861824283</v>
      </c>
      <c r="P19" s="419">
        <v>0.2620244466972591</v>
      </c>
      <c r="Q19" s="419">
        <v>0.21976386096355607</v>
      </c>
      <c r="R19" s="419">
        <v>0.21943110087328907</v>
      </c>
      <c r="S19" s="419">
        <v>0.22610677441782925</v>
      </c>
      <c r="T19" s="419">
        <v>0.2504626718199346</v>
      </c>
      <c r="U19" s="419">
        <v>0.250643145724854</v>
      </c>
      <c r="V19" s="419">
        <v>0.24779782683499524</v>
      </c>
      <c r="W19" s="419">
        <v>0.23533261359456661</v>
      </c>
      <c r="X19" s="419">
        <v>0.23893569788919095</v>
      </c>
      <c r="Y19" s="419">
        <v>0.24835746079537857</v>
      </c>
      <c r="Z19" s="419">
        <v>0.25174794241925696</v>
      </c>
      <c r="AA19" s="419">
        <v>0.2792576440808345</v>
      </c>
      <c r="AB19" s="1363">
        <v>0.26035814335616153</v>
      </c>
      <c r="AC19" s="419">
        <v>0.2620861275235907</v>
      </c>
      <c r="AD19" s="419">
        <v>0.26510250485845077</v>
      </c>
      <c r="AE19" s="419">
        <v>0.27170633864113053</v>
      </c>
      <c r="AF19" s="419">
        <v>0.2719291768037842</v>
      </c>
      <c r="AG19" s="419">
        <v>0.2719291768037842</v>
      </c>
      <c r="AH19" s="419">
        <v>0.27</v>
      </c>
      <c r="AI19" s="419">
        <v>0.27</v>
      </c>
      <c r="AJ19" s="419">
        <v>0.27</v>
      </c>
      <c r="AK19" s="419">
        <v>0.27</v>
      </c>
      <c r="AL19" s="419">
        <v>0.27</v>
      </c>
      <c r="AM19" s="419">
        <v>0.27</v>
      </c>
      <c r="AN19" s="419">
        <v>0.27</v>
      </c>
      <c r="AO19" s="419">
        <v>0.27</v>
      </c>
      <c r="AP19" s="419">
        <v>0.27</v>
      </c>
      <c r="AQ19" s="419">
        <v>0.27</v>
      </c>
      <c r="AR19" s="419">
        <v>0.27</v>
      </c>
      <c r="AS19" s="419">
        <v>0.27</v>
      </c>
      <c r="AT19" s="419">
        <v>0.27</v>
      </c>
      <c r="AU19" s="419">
        <v>0.27</v>
      </c>
      <c r="AV19" s="419">
        <v>0.27</v>
      </c>
      <c r="AW19" s="287" t="s">
        <v>2264</v>
      </c>
    </row>
    <row r="20" ht="17.5" customHeight="1" spans="3:49" x14ac:dyDescent="0.25">
      <c r="C20" s="1335">
        <v>17</v>
      </c>
      <c r="D20" s="1348">
        <v>41715</v>
      </c>
      <c r="E20" s="1349" t="s">
        <v>631</v>
      </c>
      <c r="F20" s="26" t="s">
        <v>866</v>
      </c>
      <c r="G20" s="287" t="s">
        <v>1588</v>
      </c>
      <c r="H20" s="287"/>
      <c r="I20" s="287"/>
      <c r="J20" s="287"/>
      <c r="K20" s="287"/>
      <c r="L20" s="287"/>
      <c r="M20" s="1371">
        <v>1</v>
      </c>
      <c r="N20" s="1372">
        <v>1.5208627234830072</v>
      </c>
      <c r="O20" s="1372">
        <v>1.7178414165358655</v>
      </c>
      <c r="P20" s="1372">
        <v>2.396006361037087</v>
      </c>
      <c r="Q20" s="1372">
        <v>4.663543841500785</v>
      </c>
      <c r="R20" s="1372">
        <v>5.082155573958843</v>
      </c>
      <c r="S20" s="1372">
        <v>6.259732367609962</v>
      </c>
      <c r="T20" s="1372">
        <v>7.072806931090497</v>
      </c>
      <c r="U20" s="1372">
        <v>7.858642990356408</v>
      </c>
      <c r="V20" s="1372">
        <v>9.04805344120045</v>
      </c>
      <c r="W20" s="1372">
        <v>10.070168753275144</v>
      </c>
      <c r="X20" s="1372">
        <v>11.237649593940652</v>
      </c>
      <c r="Y20" s="1372">
        <v>12.985985567555964</v>
      </c>
      <c r="Z20" s="1372">
        <v>15.397267606350976</v>
      </c>
      <c r="AA20" s="1372">
        <v>18.209619166526906</v>
      </c>
      <c r="AB20" s="2467">
        <v>20.20580339197264</v>
      </c>
      <c r="AC20" s="2468">
        <v>22.295526856292707</v>
      </c>
      <c r="AD20" s="1372">
        <v>23.909137236205797</v>
      </c>
      <c r="AE20" s="1372">
        <v>25.146053890352416</v>
      </c>
      <c r="AF20" s="1372">
        <v>26.076679003117256</v>
      </c>
      <c r="AG20" s="1372">
        <v>30.21793531735215</v>
      </c>
      <c r="AH20" s="1372">
        <v>33.08510884908737</v>
      </c>
      <c r="AI20" s="1372">
        <v>35.923610645505235</v>
      </c>
      <c r="AJ20" s="1372">
        <v>38.67380349714565</v>
      </c>
      <c r="AK20" s="1372">
        <v>41.272735741945844</v>
      </c>
      <c r="AL20" s="1372">
        <v>43.6563278864626</v>
      </c>
      <c r="AM20" s="1372">
        <v>46.18293555965035</v>
      </c>
      <c r="AN20" s="1372">
        <v>48.414772337632876</v>
      </c>
      <c r="AO20" s="1372">
        <v>50.75820095451452</v>
      </c>
      <c r="AP20" s="1372">
        <v>53.21880100224025</v>
      </c>
      <c r="AQ20" s="1372">
        <v>55.80243105235226</v>
      </c>
      <c r="AR20" s="1372">
        <v>58.51524260496987</v>
      </c>
      <c r="AS20" s="1372">
        <v>60.79400430916867</v>
      </c>
      <c r="AT20" s="1372">
        <v>63.163916481535416</v>
      </c>
      <c r="AU20" s="1372">
        <v>65.62862514079684</v>
      </c>
      <c r="AV20" s="1372">
        <v>68.19192214642871</v>
      </c>
      <c r="AW20" s="287" t="s">
        <v>631</v>
      </c>
    </row>
    <row r="21" ht="17.5" customHeight="1" spans="3:49" x14ac:dyDescent="0.25">
      <c r="C21" s="1335">
        <v>18</v>
      </c>
      <c r="D21" s="1348">
        <v>41929</v>
      </c>
      <c r="E21" s="1349" t="s">
        <v>387</v>
      </c>
      <c r="F21" s="26" t="s">
        <v>866</v>
      </c>
      <c r="G21" s="287" t="s">
        <v>1036</v>
      </c>
      <c r="H21" s="287"/>
      <c r="I21" s="287"/>
      <c r="J21" s="287"/>
      <c r="K21" s="287"/>
      <c r="L21" s="287"/>
      <c r="M21" s="1527">
        <v>1</v>
      </c>
      <c r="N21" s="1369">
        <v>1.4723042021668387</v>
      </c>
      <c r="O21" s="1369">
        <v>1.718558670886825</v>
      </c>
      <c r="P21" s="1369">
        <v>2.106089704659442</v>
      </c>
      <c r="Q21" s="1369">
        <v>3.727842297346868</v>
      </c>
      <c r="R21" s="1369">
        <v>4.5918326760987345</v>
      </c>
      <c r="S21" s="1369">
        <v>5.561179540405496</v>
      </c>
      <c r="T21" s="1369">
        <v>6.468238698917706</v>
      </c>
      <c r="U21" s="1369">
        <v>7.258482770625474</v>
      </c>
      <c r="V21" s="1369">
        <v>8.328227993617887</v>
      </c>
      <c r="W21" s="1369">
        <v>9.370471463956683</v>
      </c>
      <c r="X21" s="1369">
        <v>10.171880121895711</v>
      </c>
      <c r="Y21" s="1369">
        <v>10.996054426330467</v>
      </c>
      <c r="Z21" s="1369">
        <v>12.382630991276981</v>
      </c>
      <c r="AA21" s="1369">
        <v>13.714036448863869</v>
      </c>
      <c r="AB21" s="1379">
        <v>14.629133800462956</v>
      </c>
      <c r="AC21" s="1380">
        <v>15.771052522494816</v>
      </c>
      <c r="AD21" s="1369">
        <v>16.688503927625046</v>
      </c>
      <c r="AE21" s="1369">
        <v>17.765646059756737</v>
      </c>
      <c r="AF21" s="1369">
        <v>19.239863209681968</v>
      </c>
      <c r="AG21" s="1369">
        <v>21.85424831055876</v>
      </c>
      <c r="AH21" s="1369">
        <v>23.972723141614637</v>
      </c>
      <c r="AI21" s="1369">
        <v>26.070013224359954</v>
      </c>
      <c r="AJ21" s="1369">
        <v>28.102054282308753</v>
      </c>
      <c r="AK21" s="1369">
        <v>30.022333082070364</v>
      </c>
      <c r="AL21" s="1369">
        <v>31.783503066994587</v>
      </c>
      <c r="AM21" s="1369">
        <v>33.65034325101426</v>
      </c>
      <c r="AN21" s="1369">
        <v>35.29938541356498</v>
      </c>
      <c r="AO21" s="1369">
        <v>37.03087968424323</v>
      </c>
      <c r="AP21" s="1369">
        <v>38.84894866845539</v>
      </c>
      <c r="AQ21" s="1369">
        <v>40.75792110187816</v>
      </c>
      <c r="AR21" s="1372">
        <v>42.76234215697207</v>
      </c>
      <c r="AS21" s="1372">
        <v>44.44605584325095</v>
      </c>
      <c r="AT21" s="1372">
        <v>46.197118076980985</v>
      </c>
      <c r="AU21" s="1372">
        <v>48.01822280006023</v>
      </c>
      <c r="AV21" s="1372">
        <v>49.912171712062644</v>
      </c>
      <c r="AW21" s="287" t="s">
        <v>387</v>
      </c>
    </row>
    <row r="22" ht="17.5" customHeight="1" spans="3:49" x14ac:dyDescent="0.25">
      <c r="C22" s="1335">
        <v>19</v>
      </c>
      <c r="D22" s="1348">
        <v>41929</v>
      </c>
      <c r="E22" s="1349" t="s">
        <v>636</v>
      </c>
      <c r="F22" s="26" t="s">
        <v>866</v>
      </c>
      <c r="G22" s="287" t="s">
        <v>1038</v>
      </c>
      <c r="H22" s="287"/>
      <c r="I22" s="287"/>
      <c r="J22" s="287"/>
      <c r="K22" s="287"/>
      <c r="L22" s="287"/>
      <c r="M22" s="1527">
        <v>1</v>
      </c>
      <c r="N22" s="1369">
        <v>1.2574010596187222</v>
      </c>
      <c r="O22" s="1369">
        <v>1.5370492125151638</v>
      </c>
      <c r="P22" s="1369">
        <v>1.6424177215539968</v>
      </c>
      <c r="Q22" s="1369">
        <v>2.6523824724539464</v>
      </c>
      <c r="R22" s="1369">
        <v>3.3750397713637965</v>
      </c>
      <c r="S22" s="1369">
        <v>4.5425128855561185</v>
      </c>
      <c r="T22" s="1369">
        <v>5.391866532702881</v>
      </c>
      <c r="U22" s="1369">
        <v>6.290746992488718</v>
      </c>
      <c r="V22" s="1369">
        <v>7.251565479262117</v>
      </c>
      <c r="W22" s="1369">
        <v>8.28401924143731</v>
      </c>
      <c r="X22" s="1369">
        <v>9.305184438118452</v>
      </c>
      <c r="Y22" s="1369">
        <v>9.901436982441352</v>
      </c>
      <c r="Z22" s="1369">
        <v>11.241989200565998</v>
      </c>
      <c r="AA22" s="1369">
        <v>18.95740045108803</v>
      </c>
      <c r="AB22" s="1379">
        <v>17.58668709974454</v>
      </c>
      <c r="AC22" s="1380">
        <v>17.36262360757962</v>
      </c>
      <c r="AD22" s="1369">
        <v>18.612523237401486</v>
      </c>
      <c r="AE22" s="1369">
        <v>19.986273859764378</v>
      </c>
      <c r="AF22" s="1369">
        <v>24.298592247822913</v>
      </c>
      <c r="AG22" s="1369">
        <v>25</v>
      </c>
      <c r="AH22" s="1369">
        <v>23.972723141614637</v>
      </c>
      <c r="AI22" s="1369">
        <v>26.070013224359954</v>
      </c>
      <c r="AJ22" s="1369">
        <v>28.102054282308753</v>
      </c>
      <c r="AK22" s="1369">
        <v>30.022333082070364</v>
      </c>
      <c r="AL22" s="1369">
        <v>31.783503066994587</v>
      </c>
      <c r="AM22" s="1372">
        <v>33.65034325101426</v>
      </c>
      <c r="AN22" s="1372">
        <v>35.29938541356498</v>
      </c>
      <c r="AO22" s="1372">
        <v>37.03087968424323</v>
      </c>
      <c r="AP22" s="1372">
        <v>38.84894866845539</v>
      </c>
      <c r="AQ22" s="1372">
        <v>40.75792110187816</v>
      </c>
      <c r="AR22" s="1372">
        <v>42.76234215697207</v>
      </c>
      <c r="AS22" s="1372">
        <v>44.44605584325095</v>
      </c>
      <c r="AT22" s="1372">
        <v>46.197118076980985</v>
      </c>
      <c r="AU22" s="1372">
        <v>48.01822280006023</v>
      </c>
      <c r="AV22" s="1372">
        <v>49.912171712062644</v>
      </c>
      <c r="AW22" s="287" t="s">
        <v>636</v>
      </c>
    </row>
    <row r="23" ht="17.5" customHeight="1" spans="3:49" x14ac:dyDescent="0.25">
      <c r="C23" s="1335">
        <v>20</v>
      </c>
      <c r="D23" s="1348">
        <v>41929</v>
      </c>
      <c r="E23" s="1349" t="s">
        <v>638</v>
      </c>
      <c r="F23" s="26" t="s">
        <v>866</v>
      </c>
      <c r="G23" s="287" t="s">
        <v>1589</v>
      </c>
      <c r="H23" s="287"/>
      <c r="I23" s="287"/>
      <c r="J23" s="287"/>
      <c r="K23" s="287"/>
      <c r="L23" s="287"/>
      <c r="M23" s="1527">
        <v>1</v>
      </c>
      <c r="N23" s="1369">
        <v>1.4997486735151189</v>
      </c>
      <c r="O23" s="1369">
        <v>1.9526312539350381</v>
      </c>
      <c r="P23" s="1369">
        <v>2.005906030355448</v>
      </c>
      <c r="Q23" s="1369">
        <v>2.3429902839701637</v>
      </c>
      <c r="R23" s="1369">
        <v>3.240611479111068</v>
      </c>
      <c r="S23" s="1369">
        <v>3.97066356566005</v>
      </c>
      <c r="T23" s="1369">
        <v>5.284373447678545</v>
      </c>
      <c r="U23" s="1369">
        <v>6.171508131635609</v>
      </c>
      <c r="V23" s="1369">
        <v>6.701602530209906</v>
      </c>
      <c r="W23" s="1369">
        <v>7.644439100868062</v>
      </c>
      <c r="X23" s="1369">
        <v>8.625582341885453</v>
      </c>
      <c r="Y23" s="1369">
        <v>10.098705571453516</v>
      </c>
      <c r="Z23" s="1369">
        <v>11.941266045828566</v>
      </c>
      <c r="AA23" s="1369">
        <v>12.996640727607122</v>
      </c>
      <c r="AB23" s="1379">
        <v>13.587422805401822</v>
      </c>
      <c r="AC23" s="1380">
        <v>14.818436121445298</v>
      </c>
      <c r="AD23" s="1369">
        <v>16.428758704855532</v>
      </c>
      <c r="AE23" s="1369">
        <v>17.275900572651576</v>
      </c>
      <c r="AF23" s="1369">
        <v>18.63289983416397</v>
      </c>
      <c r="AG23" s="1369">
        <v>21.396858768633287</v>
      </c>
      <c r="AH23" s="1369">
        <v>23.584214645496616</v>
      </c>
      <c r="AI23" s="1369">
        <v>25.74969696359131</v>
      </c>
      <c r="AJ23" s="1369">
        <v>27.847808720678618</v>
      </c>
      <c r="AK23" s="1369">
        <v>29.83052433112612</v>
      </c>
      <c r="AL23" s="1369">
        <v>31.64895779099369</v>
      </c>
      <c r="AM23" s="1372">
        <v>33.576497258453315</v>
      </c>
      <c r="AN23" s="1372">
        <v>35.27915712137598</v>
      </c>
      <c r="AO23" s="1372">
        <v>37.06694997744478</v>
      </c>
      <c r="AP23" s="1372">
        <v>38.944132476317016</v>
      </c>
      <c r="AQ23" s="1372">
        <v>40.915174100132866</v>
      </c>
      <c r="AR23" s="1372">
        <v>42.98476780513951</v>
      </c>
      <c r="AS23" s="1372">
        <v>44.7232265173451</v>
      </c>
      <c r="AT23" s="1372">
        <v>46.5312235780389</v>
      </c>
      <c r="AU23" s="1372">
        <v>48.411540521160454</v>
      </c>
      <c r="AV23" s="1372">
        <v>50.367070142006874</v>
      </c>
      <c r="AW23" s="287" t="s">
        <v>638</v>
      </c>
    </row>
    <row r="24" ht="17.5" customHeight="1" spans="3:49" x14ac:dyDescent="0.25">
      <c r="C24" s="1335">
        <v>21</v>
      </c>
      <c r="D24" s="1348">
        <v>42021</v>
      </c>
      <c r="E24" s="1349" t="s">
        <v>640</v>
      </c>
      <c r="F24" s="26" t="s">
        <v>866</v>
      </c>
      <c r="G24" s="287" t="s">
        <v>1590</v>
      </c>
      <c r="H24" s="287"/>
      <c r="I24" s="287"/>
      <c r="J24" s="287"/>
      <c r="K24" s="287"/>
      <c r="L24" s="287"/>
      <c r="M24" s="1371">
        <v>1</v>
      </c>
      <c r="N24" s="1372">
        <v>1.2062700474653716</v>
      </c>
      <c r="O24" s="1372">
        <v>1.3416177583578945</v>
      </c>
      <c r="P24" s="1372">
        <v>1.86606737883619</v>
      </c>
      <c r="Q24" s="1372">
        <v>4.260651853603475</v>
      </c>
      <c r="R24" s="1372">
        <v>6.00821185960683</v>
      </c>
      <c r="S24" s="1372">
        <v>5.910590005019161</v>
      </c>
      <c r="T24" s="1372">
        <v>6.193634820546727</v>
      </c>
      <c r="U24" s="1372">
        <v>6.715254624075821</v>
      </c>
      <c r="V24" s="1372">
        <v>7.560419692709162</v>
      </c>
      <c r="W24" s="1372">
        <v>9.215042167890525</v>
      </c>
      <c r="X24" s="1372">
        <v>10.24995388150444</v>
      </c>
      <c r="Y24" s="1372">
        <v>10.650833844352405</v>
      </c>
      <c r="Z24" s="1372">
        <v>13.643325842032947</v>
      </c>
      <c r="AA24" s="1372">
        <v>12.010355196687106</v>
      </c>
      <c r="AB24" s="2469">
        <v>14.006747557636276</v>
      </c>
      <c r="AC24" s="2470">
        <v>17.486286005422922</v>
      </c>
      <c r="AD24" s="1372">
        <v>18.750240835974356</v>
      </c>
      <c r="AE24" s="1372">
        <v>18.491376806783382</v>
      </c>
      <c r="AF24" s="1372">
        <v>20.945061278816716</v>
      </c>
      <c r="AG24" s="1372">
        <v>19.889571545030872</v>
      </c>
      <c r="AH24" s="1372">
        <v>21.45852869953396</v>
      </c>
      <c r="AI24" s="1372">
        <v>23.011796282492018</v>
      </c>
      <c r="AJ24" s="1372">
        <v>25.21673998509138</v>
      </c>
      <c r="AK24" s="1372">
        <v>26.77891178404778</v>
      </c>
      <c r="AL24" s="1372">
        <v>28.195246491090646</v>
      </c>
      <c r="AM24" s="1372">
        <v>29.667441280556083</v>
      </c>
      <c r="AN24" s="1372">
        <v>30.96041334458389</v>
      </c>
      <c r="AO24" s="1372">
        <v>32.300114011813086</v>
      </c>
      <c r="AP24" s="1372">
        <v>33.692463712403736</v>
      </c>
      <c r="AQ24" s="1372">
        <v>35.14296209802393</v>
      </c>
      <c r="AR24" s="1372">
        <v>36.65681036292512</v>
      </c>
      <c r="AS24" s="1372">
        <v>37.92726850032213</v>
      </c>
      <c r="AT24" s="1372">
        <v>39.24290781863901</v>
      </c>
      <c r="AU24" s="1372">
        <v>40.60666299402777</v>
      </c>
      <c r="AV24" s="1372">
        <v>42.021360603903446</v>
      </c>
      <c r="AW24" s="287" t="s">
        <v>640</v>
      </c>
    </row>
    <row r="25" ht="17.5" customHeight="1" spans="3:49" x14ac:dyDescent="0.25">
      <c r="C25" s="1335">
        <v>22</v>
      </c>
      <c r="D25" s="1348">
        <v>42021</v>
      </c>
      <c r="E25" s="1349" t="s">
        <v>390</v>
      </c>
      <c r="F25" s="26" t="s">
        <v>866</v>
      </c>
      <c r="G25" s="287" t="s">
        <v>1051</v>
      </c>
      <c r="H25" s="287"/>
      <c r="I25" s="287"/>
      <c r="J25" s="287"/>
      <c r="K25" s="287"/>
      <c r="L25" s="287"/>
      <c r="M25" s="1371">
        <v>1</v>
      </c>
      <c r="N25" s="1372">
        <v>1.170751567490661</v>
      </c>
      <c r="O25" s="1372">
        <v>1.4027022303089887</v>
      </c>
      <c r="P25" s="1372">
        <v>2.077665776266209</v>
      </c>
      <c r="Q25" s="1372">
        <v>4.894300618534394</v>
      </c>
      <c r="R25" s="1372">
        <v>5.1416113994451775</v>
      </c>
      <c r="S25" s="1372">
        <v>5.343385559062672</v>
      </c>
      <c r="T25" s="1372">
        <v>5.696540648389541</v>
      </c>
      <c r="U25" s="1372">
        <v>5.788123461724906</v>
      </c>
      <c r="V25" s="1372">
        <v>5.617164966343532</v>
      </c>
      <c r="W25" s="1372">
        <v>5.933656338117276</v>
      </c>
      <c r="X25" s="1372">
        <v>5.949475526803209</v>
      </c>
      <c r="Y25" s="1372">
        <v>5.972486590341229</v>
      </c>
      <c r="Z25" s="1372">
        <v>6.61807370062663</v>
      </c>
      <c r="AA25" s="1372">
        <v>8.30157321960723</v>
      </c>
      <c r="AB25" s="2471">
        <v>8.121605375451491</v>
      </c>
      <c r="AC25" s="2472">
        <v>8.388821475952659</v>
      </c>
      <c r="AD25" s="1372">
        <v>8.788802004286666</v>
      </c>
      <c r="AE25" s="1372">
        <v>9.178361784828555</v>
      </c>
      <c r="AF25" s="1372">
        <v>10.830388994042856</v>
      </c>
      <c r="AG25" s="1372">
        <v>13.122962241847754</v>
      </c>
      <c r="AH25" s="1372">
        <v>14.35745846603253</v>
      </c>
      <c r="AI25" s="1372">
        <v>15.222659727975456</v>
      </c>
      <c r="AJ25" s="1372">
        <v>16.068472506213492</v>
      </c>
      <c r="AK25" s="1372">
        <v>16.881075581648435</v>
      </c>
      <c r="AL25" s="1372">
        <v>17.646400116547344</v>
      </c>
      <c r="AM25" s="1372">
        <v>18.443124123540183</v>
      </c>
      <c r="AN25" s="1372">
        <v>19.175130329717195</v>
      </c>
      <c r="AO25" s="1372">
        <v>19.931636846203055</v>
      </c>
      <c r="AP25" s="1372">
        <v>20.713868688513205</v>
      </c>
      <c r="AQ25" s="1372">
        <v>21.523112122938866</v>
      </c>
      <c r="AR25" s="1372">
        <v>22.36071772908581</v>
      </c>
      <c r="AS25" s="1372">
        <v>23.103026438249245</v>
      </c>
      <c r="AT25" s="1372">
        <v>23.865347495779215</v>
      </c>
      <c r="AU25" s="1372">
        <v>24.648481395610382</v>
      </c>
      <c r="AV25" s="1372">
        <v>25.4532606514348</v>
      </c>
      <c r="AW25" s="287" t="s">
        <v>390</v>
      </c>
    </row>
    <row r="26" ht="17.5" customHeight="1" spans="3:49" x14ac:dyDescent="0.25">
      <c r="C26" s="1335">
        <v>23</v>
      </c>
      <c r="D26" s="1348">
        <v>41715</v>
      </c>
      <c r="E26" s="1349" t="s">
        <v>644</v>
      </c>
      <c r="F26" s="26" t="s">
        <v>866</v>
      </c>
      <c r="G26" s="287" t="s">
        <v>1591</v>
      </c>
      <c r="H26" s="287"/>
      <c r="I26" s="287"/>
      <c r="J26" s="287"/>
      <c r="K26" s="287"/>
      <c r="L26" s="287"/>
      <c r="M26" s="1371">
        <v>1</v>
      </c>
      <c r="N26" s="1372">
        <v>1.7194377618988257</v>
      </c>
      <c r="O26" s="1372">
        <v>1.9680277801214476</v>
      </c>
      <c r="P26" s="1372">
        <v>2.2270348811115843</v>
      </c>
      <c r="Q26" s="1372">
        <v>3.493098424873764</v>
      </c>
      <c r="R26" s="1372">
        <v>5.171262749607017</v>
      </c>
      <c r="S26" s="1372">
        <v>6.070726846853919</v>
      </c>
      <c r="T26" s="1372">
        <v>6.916750986271128</v>
      </c>
      <c r="U26" s="1372">
        <v>7.6273689193439225</v>
      </c>
      <c r="V26" s="1372">
        <v>8.79041331779647</v>
      </c>
      <c r="W26" s="1372">
        <v>10.054085870175701</v>
      </c>
      <c r="X26" s="1372">
        <v>11.28478682823815</v>
      </c>
      <c r="Y26" s="1372">
        <v>13.059083510568804</v>
      </c>
      <c r="Z26" s="1372">
        <v>15.593657080025292</v>
      </c>
      <c r="AA26" s="1372">
        <v>16.373566297801105</v>
      </c>
      <c r="AB26" s="2464">
        <v>17.674409856030426</v>
      </c>
      <c r="AC26" s="1372">
        <v>19.234650102023785</v>
      </c>
      <c r="AD26" s="1372">
        <v>20.54018400828119</v>
      </c>
      <c r="AE26" s="1372">
        <v>21.776163164959733</v>
      </c>
      <c r="AF26" s="1372">
        <v>22.509390886207097</v>
      </c>
      <c r="AG26" s="1372">
        <v>25.752095588703153</v>
      </c>
      <c r="AH26" s="1372">
        <v>28.05023514757347</v>
      </c>
      <c r="AI26" s="1372">
        <v>30.325393310855084</v>
      </c>
      <c r="AJ26" s="1372">
        <v>32.52976877572349</v>
      </c>
      <c r="AK26" s="1372">
        <v>34.61290359002413</v>
      </c>
      <c r="AL26" s="1372">
        <v>36.52343580542558</v>
      </c>
      <c r="AM26" s="1372">
        <v>38.548599953751115</v>
      </c>
      <c r="AN26" s="1372">
        <v>40.33749495143867</v>
      </c>
      <c r="AO26" s="1372">
        <v>42.21583469901061</v>
      </c>
      <c r="AP26" s="1372">
        <v>44.18809143396114</v>
      </c>
      <c r="AQ26" s="1372">
        <v>46.258961005659195</v>
      </c>
      <c r="AR26" s="1372">
        <v>48.43337405594215</v>
      </c>
      <c r="AS26" s="1372">
        <v>50.25988101817984</v>
      </c>
      <c r="AT26" s="1372">
        <v>52.159448258907034</v>
      </c>
      <c r="AU26" s="1372">
        <v>54.13499818926332</v>
      </c>
      <c r="AV26" s="1372">
        <v>56.189570116833856</v>
      </c>
      <c r="AW26" s="287" t="s">
        <v>644</v>
      </c>
    </row>
    <row r="27" ht="17.5" customHeight="1" spans="3:49" x14ac:dyDescent="0.25">
      <c r="C27" s="1335">
        <v>24</v>
      </c>
      <c r="D27" s="1348">
        <v>42273</v>
      </c>
      <c r="E27" s="1349" t="s">
        <v>646</v>
      </c>
      <c r="F27" s="26" t="s">
        <v>866</v>
      </c>
      <c r="G27" s="287" t="s">
        <v>1047</v>
      </c>
      <c r="H27" s="287"/>
      <c r="I27" s="287"/>
      <c r="J27" s="287"/>
      <c r="K27" s="287"/>
      <c r="L27" s="287"/>
      <c r="M27" s="1371">
        <v>1</v>
      </c>
      <c r="N27" s="1372">
        <v>2.4661634872716665</v>
      </c>
      <c r="O27" s="1372">
        <v>2.5165818894824628</v>
      </c>
      <c r="P27" s="1372">
        <v>2.6836249787031963</v>
      </c>
      <c r="Q27" s="1372">
        <v>2.701164323022275</v>
      </c>
      <c r="R27" s="1372">
        <v>3.2947518370474893</v>
      </c>
      <c r="S27" s="1372">
        <v>3.7846782806927575</v>
      </c>
      <c r="T27" s="1372">
        <v>4.522803189792793</v>
      </c>
      <c r="U27" s="1372">
        <v>5.542638112686384</v>
      </c>
      <c r="V27" s="1372">
        <v>6.272852216104846</v>
      </c>
      <c r="W27" s="1372">
        <v>7.324439758120246</v>
      </c>
      <c r="X27" s="1372">
        <v>8.186196716537998</v>
      </c>
      <c r="Y27" s="1372">
        <v>10.097240670067599</v>
      </c>
      <c r="Z27" s="1372">
        <v>12.014838376677151</v>
      </c>
      <c r="AA27" s="1372">
        <v>12.870829474853368</v>
      </c>
      <c r="AB27" s="2464">
        <v>14.148307151553455</v>
      </c>
      <c r="AC27" s="1372">
        <v>15.766970202222982</v>
      </c>
      <c r="AD27" s="1372">
        <v>16.974068796381736</v>
      </c>
      <c r="AE27" s="1372">
        <v>17.95315842273053</v>
      </c>
      <c r="AF27" s="1372">
        <v>18.972773849202014</v>
      </c>
      <c r="AG27" s="1372">
        <v>20.133623835403505</v>
      </c>
      <c r="AH27" s="1372">
        <v>22.046986218943857</v>
      </c>
      <c r="AI27" s="1372">
        <v>23.941214978648805</v>
      </c>
      <c r="AJ27" s="1372">
        <v>25.77651217694071</v>
      </c>
      <c r="AK27" s="1372">
        <v>27.51086802932656</v>
      </c>
      <c r="AL27" s="1372">
        <v>29.101520111086153</v>
      </c>
      <c r="AM27" s="1372">
        <v>30.787611317751324</v>
      </c>
      <c r="AN27" s="1372">
        <v>32.27699188363889</v>
      </c>
      <c r="AO27" s="1372">
        <v>33.84084147782084</v>
      </c>
      <c r="AP27" s="1372">
        <v>35.48288355171188</v>
      </c>
      <c r="AQ27" s="1372">
        <v>37.20702772929747</v>
      </c>
      <c r="AR27" s="1372">
        <v>39.017379115762346</v>
      </c>
      <c r="AS27" s="1372">
        <v>40.53807428039284</v>
      </c>
      <c r="AT27" s="1372">
        <v>42.11959725160855</v>
      </c>
      <c r="AU27" s="1372">
        <v>43.7643811416729</v>
      </c>
      <c r="AV27" s="1372">
        <v>45.474956387339816</v>
      </c>
      <c r="AW27" s="287" t="s">
        <v>646</v>
      </c>
    </row>
    <row r="28" ht="17.5" customHeight="1" spans="3:49" x14ac:dyDescent="0.25">
      <c r="C28" s="1335">
        <v>25</v>
      </c>
      <c r="D28" s="1348">
        <v>42273</v>
      </c>
      <c r="E28" s="1349" t="s">
        <v>648</v>
      </c>
      <c r="F28" s="26" t="s">
        <v>866</v>
      </c>
      <c r="G28" s="287" t="s">
        <v>1268</v>
      </c>
      <c r="H28" s="287"/>
      <c r="I28" s="287"/>
      <c r="J28" s="287"/>
      <c r="K28" s="287"/>
      <c r="L28" s="287"/>
      <c r="M28" s="1371">
        <v>1</v>
      </c>
      <c r="N28" s="1372">
        <v>1.695396731545807</v>
      </c>
      <c r="O28" s="1372">
        <v>2.415292468742241</v>
      </c>
      <c r="P28" s="1372">
        <v>2.6727462335842294</v>
      </c>
      <c r="Q28" s="1372">
        <v>3.4893420575027583</v>
      </c>
      <c r="R28" s="1372">
        <v>3.9448052793534916</v>
      </c>
      <c r="S28" s="1372">
        <v>4.396024616222597</v>
      </c>
      <c r="T28" s="1372">
        <v>5.884382361829743</v>
      </c>
      <c r="U28" s="1372">
        <v>5.90091640449027</v>
      </c>
      <c r="V28" s="1372">
        <v>5.736138604273994</v>
      </c>
      <c r="W28" s="1372">
        <v>7.718849506887088</v>
      </c>
      <c r="X28" s="1372">
        <v>7.333907061981483</v>
      </c>
      <c r="Y28" s="1372">
        <v>7.941801279807624</v>
      </c>
      <c r="Z28" s="1372">
        <v>9.313557709187231</v>
      </c>
      <c r="AA28" s="1372">
        <v>10.66694831320229</v>
      </c>
      <c r="AB28" s="2464">
        <v>11.27644871677545</v>
      </c>
      <c r="AC28" s="1372">
        <v>12.282914423380722</v>
      </c>
      <c r="AD28" s="1372">
        <v>13.244482492357399</v>
      </c>
      <c r="AE28" s="1372">
        <v>14.15863931501705</v>
      </c>
      <c r="AF28" s="1372">
        <v>15.223681746824138</v>
      </c>
      <c r="AG28" s="1372">
        <v>17.133623835403505</v>
      </c>
      <c r="AH28" s="1372">
        <v>19.046986218943857</v>
      </c>
      <c r="AI28" s="1372">
        <v>20.941214978648805</v>
      </c>
      <c r="AJ28" s="1372">
        <v>22.77651217694071</v>
      </c>
      <c r="AK28" s="1372">
        <v>24.51086802932656</v>
      </c>
      <c r="AL28" s="1372">
        <v>26.101520111086153</v>
      </c>
      <c r="AM28" s="1372">
        <v>27.787611317751324</v>
      </c>
      <c r="AN28" s="1372">
        <v>29.276991883638892</v>
      </c>
      <c r="AO28" s="1372">
        <v>30.840841477820838</v>
      </c>
      <c r="AP28" s="1372">
        <v>32.48288355171188</v>
      </c>
      <c r="AQ28" s="1372">
        <v>34.20702772929747</v>
      </c>
      <c r="AR28" s="1372">
        <v>36.017379115762346</v>
      </c>
      <c r="AS28" s="1372">
        <v>37.53807428039284</v>
      </c>
      <c r="AT28" s="1372">
        <v>39.11959725160855</v>
      </c>
      <c r="AU28" s="1372">
        <v>40.7643811416729</v>
      </c>
      <c r="AV28" s="1372">
        <v>42.474956387339816</v>
      </c>
      <c r="AW28" s="287" t="s">
        <v>648</v>
      </c>
    </row>
    <row r="29" ht="17.5" customHeight="1" spans="3:49" x14ac:dyDescent="0.25">
      <c r="C29" s="1335">
        <v>26</v>
      </c>
      <c r="D29" s="1387">
        <v>42034</v>
      </c>
      <c r="E29" s="1349" t="s">
        <v>547</v>
      </c>
      <c r="F29" s="26" t="s">
        <v>866</v>
      </c>
      <c r="G29" s="287" t="s">
        <v>1592</v>
      </c>
      <c r="H29" s="287"/>
      <c r="I29" s="287"/>
      <c r="J29" s="287"/>
      <c r="K29" s="287"/>
      <c r="L29" s="287"/>
      <c r="M29" s="1362">
        <v>0.2881831064229305</v>
      </c>
      <c r="N29" s="419">
        <v>0.284334612707823</v>
      </c>
      <c r="O29" s="419">
        <v>0.2805860769173302</v>
      </c>
      <c r="P29" s="419">
        <v>0.26044927261758316</v>
      </c>
      <c r="Q29" s="419">
        <v>0.21938600451690032</v>
      </c>
      <c r="R29" s="419">
        <v>0.25231167119353354</v>
      </c>
      <c r="S29" s="419">
        <v>0.27504848703353324</v>
      </c>
      <c r="T29" s="419">
        <v>0.29933564721059347</v>
      </c>
      <c r="U29" s="419">
        <v>0.32453951698884714</v>
      </c>
      <c r="V29" s="419">
        <v>0.3620496217475327</v>
      </c>
      <c r="W29" s="419">
        <v>0.38359427990878225</v>
      </c>
      <c r="X29" s="419">
        <v>0.4096349953762378</v>
      </c>
      <c r="Y29" s="419">
        <v>0.44339706971049203</v>
      </c>
      <c r="Z29" s="419">
        <v>0.4583365441113726</v>
      </c>
      <c r="AA29" s="419">
        <v>0.3949109890088571</v>
      </c>
      <c r="AB29" s="1363">
        <v>0.4436431080142926</v>
      </c>
      <c r="AC29" s="419">
        <v>0.47305544373762487</v>
      </c>
      <c r="AD29" s="419">
        <v>0.4822202036823459</v>
      </c>
      <c r="AE29" s="419">
        <v>0.4931601344484672</v>
      </c>
      <c r="AF29" s="419">
        <v>0.47015007849035906</v>
      </c>
      <c r="AG29" s="419">
        <v>0.42</v>
      </c>
      <c r="AH29" s="419">
        <v>0.4</v>
      </c>
      <c r="AI29" s="419">
        <v>0.4</v>
      </c>
      <c r="AJ29" s="419">
        <v>0.4</v>
      </c>
      <c r="AK29" s="419">
        <v>0.4</v>
      </c>
      <c r="AL29" s="419">
        <v>0.4</v>
      </c>
      <c r="AM29" s="419">
        <v>0.4</v>
      </c>
      <c r="AN29" s="419">
        <v>0.4</v>
      </c>
      <c r="AO29" s="419">
        <v>0.4</v>
      </c>
      <c r="AP29" s="419">
        <v>0.4</v>
      </c>
      <c r="AQ29" s="419">
        <v>0.4</v>
      </c>
      <c r="AR29" s="419">
        <v>0.4</v>
      </c>
      <c r="AS29" s="419">
        <v>0.4</v>
      </c>
      <c r="AT29" s="419">
        <v>0.4</v>
      </c>
      <c r="AU29" s="419">
        <v>0.4</v>
      </c>
      <c r="AV29" s="419">
        <v>0.4</v>
      </c>
      <c r="AW29" s="287" t="s">
        <v>547</v>
      </c>
    </row>
    <row r="30" ht="17.5" customHeight="1" spans="3:49" x14ac:dyDescent="0.25">
      <c r="C30" s="1335">
        <v>27</v>
      </c>
      <c r="D30" s="1348">
        <v>41928</v>
      </c>
      <c r="E30" s="1349" t="s">
        <v>601</v>
      </c>
      <c r="F30" s="26" t="s">
        <v>866</v>
      </c>
      <c r="G30" s="287" t="s">
        <v>1593</v>
      </c>
      <c r="H30" s="287"/>
      <c r="I30" s="287"/>
      <c r="J30" s="287"/>
      <c r="K30" s="287"/>
      <c r="L30" s="287"/>
      <c r="M30" s="1376">
        <v>1.3068917176995491</v>
      </c>
      <c r="N30" s="419">
        <v>1.2033552559031906</v>
      </c>
      <c r="O30" s="419">
        <v>1.29855460110518</v>
      </c>
      <c r="P30" s="419">
        <v>1.1938981194701628</v>
      </c>
      <c r="Q30" s="419">
        <v>1.189908383982313</v>
      </c>
      <c r="R30" s="419">
        <v>1.125174955917221</v>
      </c>
      <c r="S30" s="419">
        <v>1.0426791739220176</v>
      </c>
      <c r="T30" s="419">
        <v>0.9928939872598045</v>
      </c>
      <c r="U30" s="419">
        <v>1.0087896140041985</v>
      </c>
      <c r="V30" s="419">
        <v>1.0165801825358778</v>
      </c>
      <c r="W30" s="419">
        <v>1.0133177037488763</v>
      </c>
      <c r="X30" s="419">
        <v>1.028236909028827</v>
      </c>
      <c r="Y30" s="419">
        <v>1.0199176624751358</v>
      </c>
      <c r="Z30" s="419">
        <v>0.9893368525625619</v>
      </c>
      <c r="AA30" s="419">
        <v>0.8766411918881145</v>
      </c>
      <c r="AB30" s="1363">
        <v>0.9939646918731403</v>
      </c>
      <c r="AC30" s="419">
        <v>0.8411311209061392</v>
      </c>
      <c r="AD30" s="419">
        <v>0.8252753158683684</v>
      </c>
      <c r="AE30" s="419">
        <v>0.824319464754629</v>
      </c>
      <c r="AF30" s="419">
        <v>0.8078330754595364</v>
      </c>
      <c r="AG30" s="419">
        <v>0.7946439640234624</v>
      </c>
      <c r="AH30" s="419">
        <v>0.7840926748746031</v>
      </c>
      <c r="AI30" s="419">
        <v>0.7756516435555156</v>
      </c>
      <c r="AJ30" s="419">
        <v>0.7688988185002457</v>
      </c>
      <c r="AK30" s="419">
        <v>0.7634965584560297</v>
      </c>
      <c r="AL30" s="419">
        <v>0.759174750420657</v>
      </c>
      <c r="AM30" s="419">
        <v>0.7557173039923588</v>
      </c>
      <c r="AN30" s="419">
        <v>0.7529513468497203</v>
      </c>
      <c r="AO30" s="419">
        <v>0.7507385811356095</v>
      </c>
      <c r="AP30" s="419">
        <v>0.7489683685643209</v>
      </c>
      <c r="AQ30" s="419">
        <v>0.74755219850729</v>
      </c>
      <c r="AR30" s="419">
        <v>0.7464192624616653</v>
      </c>
      <c r="AS30" s="419">
        <v>0.7455129136251656</v>
      </c>
      <c r="AT30" s="419">
        <v>0.7447878345559658</v>
      </c>
      <c r="AU30" s="419">
        <v>0.7442077713006059</v>
      </c>
      <c r="AV30" s="419">
        <v>0.743743720696318</v>
      </c>
      <c r="AW30" s="287" t="s">
        <v>601</v>
      </c>
    </row>
    <row r="31" ht="17.5" customHeight="1" spans="3:49" x14ac:dyDescent="0.25">
      <c r="C31" s="1335">
        <v>28</v>
      </c>
      <c r="D31" s="1348">
        <v>42273</v>
      </c>
      <c r="E31" s="1349" t="s">
        <v>480</v>
      </c>
      <c r="F31" s="26" t="s">
        <v>866</v>
      </c>
      <c r="G31" s="287" t="s">
        <v>1594</v>
      </c>
      <c r="H31" s="287"/>
      <c r="I31" s="287"/>
      <c r="J31" s="287"/>
      <c r="K31" s="287"/>
      <c r="L31" s="287"/>
      <c r="M31" s="1362">
        <v>0.039346290432521365</v>
      </c>
      <c r="N31" s="419">
        <v>0.04727824241680851</v>
      </c>
      <c r="O31" s="419">
        <v>0.04958825251627314</v>
      </c>
      <c r="P31" s="419">
        <v>0.053861945523556415</v>
      </c>
      <c r="Q31" s="419">
        <v>0.05965893639586271</v>
      </c>
      <c r="R31" s="419">
        <v>0.06639845630395663</v>
      </c>
      <c r="S31" s="419">
        <v>0.06892569944409233</v>
      </c>
      <c r="T31" s="419">
        <v>0.06584386483806699</v>
      </c>
      <c r="U31" s="419">
        <v>0.06825479702641113</v>
      </c>
      <c r="V31" s="419">
        <v>0.07352845782238589</v>
      </c>
      <c r="W31" s="419">
        <v>0.08352376333588525</v>
      </c>
      <c r="X31" s="419">
        <v>0.08523432370158822</v>
      </c>
      <c r="Y31" s="419">
        <v>0.08247387228514894</v>
      </c>
      <c r="Z31" s="419">
        <v>0.0851118671022953</v>
      </c>
      <c r="AA31" s="419">
        <v>0.07304977354972729</v>
      </c>
      <c r="AB31" s="1363">
        <v>0.07639386457310132</v>
      </c>
      <c r="AC31" s="419">
        <v>0.08444108673647031</v>
      </c>
      <c r="AD31" s="419">
        <v>0.08466994407892313</v>
      </c>
      <c r="AE31" s="419">
        <v>0.07955015441080807</v>
      </c>
      <c r="AF31" s="419">
        <v>0.08176032146762084</v>
      </c>
      <c r="AG31" s="419">
        <v>0.08466994407892313</v>
      </c>
      <c r="AH31" s="419">
        <v>0.07955015441080807</v>
      </c>
      <c r="AI31" s="419">
        <v>0.08176032146762084</v>
      </c>
      <c r="AJ31" s="419">
        <v>0.08466994407892313</v>
      </c>
      <c r="AK31" s="419">
        <v>0.07955015441080807</v>
      </c>
      <c r="AL31" s="419">
        <v>0.08176032146762084</v>
      </c>
      <c r="AM31" s="419">
        <v>0.08466994407892313</v>
      </c>
      <c r="AN31" s="419">
        <v>0.07955015441080807</v>
      </c>
      <c r="AO31" s="419">
        <v>0.08176032146762084</v>
      </c>
      <c r="AP31" s="419">
        <v>0.08466994407892313</v>
      </c>
      <c r="AQ31" s="419">
        <v>0.07955015441080807</v>
      </c>
      <c r="AR31" s="1372">
        <v>0.08176032146762084</v>
      </c>
      <c r="AS31" s="1372">
        <v>0.08466994407892313</v>
      </c>
      <c r="AT31" s="1372">
        <v>0.07955015441080807</v>
      </c>
      <c r="AU31" s="1372">
        <v>0.08176032146762084</v>
      </c>
      <c r="AV31" s="1372">
        <v>0.08466994407892313</v>
      </c>
      <c r="AW31" s="287" t="s">
        <v>480</v>
      </c>
    </row>
    <row r="32" ht="17.5" customHeight="1" spans="3:49" x14ac:dyDescent="0.25">
      <c r="C32" s="1335">
        <v>29</v>
      </c>
      <c r="D32" s="1348">
        <v>42273</v>
      </c>
      <c r="E32" s="1349" t="s">
        <v>483</v>
      </c>
      <c r="F32" s="26" t="s">
        <v>866</v>
      </c>
      <c r="G32" s="287" t="s">
        <v>1595</v>
      </c>
      <c r="H32" s="287"/>
      <c r="I32" s="287"/>
      <c r="J32" s="287"/>
      <c r="K32" s="287"/>
      <c r="L32" s="287"/>
      <c r="M32" s="1362">
        <v>0.05413642837764514</v>
      </c>
      <c r="N32" s="419">
        <v>0.06744382725080347</v>
      </c>
      <c r="O32" s="419">
        <v>0.07337842274391265</v>
      </c>
      <c r="P32" s="419">
        <v>0.08044425149690274</v>
      </c>
      <c r="Q32" s="419">
        <v>0.0792547653553883</v>
      </c>
      <c r="R32" s="419">
        <v>0.08725766032131918</v>
      </c>
      <c r="S32" s="419">
        <v>0.0775390856929812</v>
      </c>
      <c r="T32" s="419">
        <v>0.08544188057752926</v>
      </c>
      <c r="U32" s="419">
        <v>0.07993808753736403</v>
      </c>
      <c r="V32" s="419">
        <v>0.08644196204397055</v>
      </c>
      <c r="W32" s="419">
        <v>0.10195514871018198</v>
      </c>
      <c r="X32" s="419">
        <v>0.10383564125667144</v>
      </c>
      <c r="Y32" s="419">
        <v>0.09757961920258694</v>
      </c>
      <c r="Z32" s="419">
        <v>0.10182322919675864</v>
      </c>
      <c r="AA32" s="419">
        <v>0.08511143557685862</v>
      </c>
      <c r="AB32" s="1363">
        <v>0.08949031890021944</v>
      </c>
      <c r="AC32" s="419">
        <v>0.09861525262512504</v>
      </c>
      <c r="AD32" s="419">
        <v>0.08050492200947852</v>
      </c>
      <c r="AE32" s="419">
        <v>0.07653978520752305</v>
      </c>
      <c r="AF32" s="419">
        <v>0.07831033771171315</v>
      </c>
      <c r="AG32" s="419">
        <v>0.09861525262512504</v>
      </c>
      <c r="AH32" s="419">
        <v>0.08050492200947852</v>
      </c>
      <c r="AI32" s="419">
        <v>0.07653978520752305</v>
      </c>
      <c r="AJ32" s="419">
        <v>0.07831033771171315</v>
      </c>
      <c r="AK32" s="419">
        <v>0.09861525262512504</v>
      </c>
      <c r="AL32" s="419">
        <v>0.08050492200947852</v>
      </c>
      <c r="AM32" s="419">
        <v>0.07653978520752305</v>
      </c>
      <c r="AN32" s="419">
        <v>0.07831033771171315</v>
      </c>
      <c r="AO32" s="419">
        <v>0.09861525262512504</v>
      </c>
      <c r="AP32" s="419">
        <v>0.08050492200947852</v>
      </c>
      <c r="AQ32" s="419">
        <v>0.07653978520752305</v>
      </c>
      <c r="AR32" s="1372">
        <v>0.07831033771171315</v>
      </c>
      <c r="AS32" s="1372">
        <v>0.09861525262512504</v>
      </c>
      <c r="AT32" s="1372">
        <v>0.08050492200947852</v>
      </c>
      <c r="AU32" s="1372">
        <v>0.07653978520752305</v>
      </c>
      <c r="AV32" s="1372">
        <v>0.07831033771171315</v>
      </c>
      <c r="AW32" s="287" t="s">
        <v>483</v>
      </c>
    </row>
    <row r="33" ht="17.5" customHeight="1" spans="3:49" x14ac:dyDescent="0.25">
      <c r="C33" s="1335">
        <v>30</v>
      </c>
      <c r="D33" s="1348">
        <v>40875</v>
      </c>
      <c r="E33" s="1349" t="s">
        <v>407</v>
      </c>
      <c r="F33" s="26" t="s">
        <v>866</v>
      </c>
      <c r="G33" s="287" t="s">
        <v>1597</v>
      </c>
      <c r="H33" s="287"/>
      <c r="I33" s="287"/>
      <c r="J33" s="287"/>
      <c r="K33" s="287"/>
      <c r="L33" s="287"/>
      <c r="M33" s="1362">
        <v>0.34814482345900655</v>
      </c>
      <c r="N33" s="419">
        <v>0.37225193107546045</v>
      </c>
      <c r="O33" s="419">
        <v>0.24807644576818072</v>
      </c>
      <c r="P33" s="419">
        <v>0.21669287800494275</v>
      </c>
      <c r="Q33" s="419">
        <v>0.13888277985484934</v>
      </c>
      <c r="R33" s="419">
        <v>0.13467532467532461</v>
      </c>
      <c r="S33" s="419">
        <v>0.1748676424789786</v>
      </c>
      <c r="T33" s="419">
        <v>0.26325026325026357</v>
      </c>
      <c r="U33" s="419">
        <v>0.27620492079541636</v>
      </c>
      <c r="V33" s="419">
        <v>0.3388633956936112</v>
      </c>
      <c r="W33" s="419">
        <v>0.3491033956505148</v>
      </c>
      <c r="X33" s="419">
        <v>0.33180952380952383</v>
      </c>
      <c r="Y33" s="419">
        <v>0.3436601017924315</v>
      </c>
      <c r="Z33" s="419">
        <v>0.32403661911858617</v>
      </c>
      <c r="AA33" s="419">
        <v>0.34166136218968773</v>
      </c>
      <c r="AB33" s="1363">
        <v>0.378</v>
      </c>
      <c r="AC33" s="419">
        <v>0.38</v>
      </c>
      <c r="AD33" s="419">
        <v>0.368</v>
      </c>
      <c r="AE33" s="419">
        <v>0.3584</v>
      </c>
      <c r="AF33" s="419">
        <v>0.35072</v>
      </c>
      <c r="AG33" s="419">
        <v>0.34457599999999994</v>
      </c>
      <c r="AH33" s="419">
        <v>0.33966079999999993</v>
      </c>
      <c r="AI33" s="419">
        <v>0.3357286399999999</v>
      </c>
      <c r="AJ33" s="419">
        <v>0.3325829119999999</v>
      </c>
      <c r="AK33" s="419">
        <v>0.3300663295999999</v>
      </c>
      <c r="AL33" s="419">
        <v>0.32805306367999987</v>
      </c>
      <c r="AM33" s="419">
        <v>0.3264424509439999</v>
      </c>
      <c r="AN33" s="419">
        <v>0.32515396075519987</v>
      </c>
      <c r="AO33" s="419">
        <v>0.32412316860415985</v>
      </c>
      <c r="AP33" s="419">
        <v>0.3232985348833278</v>
      </c>
      <c r="AQ33" s="419">
        <v>0.3232985348833278</v>
      </c>
      <c r="AR33" s="1372">
        <v>0.3232985348833278</v>
      </c>
      <c r="AS33" s="1372">
        <v>0.3232985348833278</v>
      </c>
      <c r="AT33" s="1372">
        <v>0.3232985348833278</v>
      </c>
      <c r="AU33" s="1372">
        <v>0.3232985348833278</v>
      </c>
      <c r="AV33" s="1372">
        <v>0.3232985348833278</v>
      </c>
      <c r="AW33" s="287" t="s">
        <v>407</v>
      </c>
    </row>
    <row r="34" ht="17.5" customHeight="1" spans="3:49" x14ac:dyDescent="0.25">
      <c r="C34" s="2465">
        <v>31</v>
      </c>
      <c r="D34" s="1348">
        <v>40558</v>
      </c>
      <c r="E34" s="1349" t="s">
        <v>427</v>
      </c>
      <c r="F34" s="26" t="s">
        <v>277</v>
      </c>
      <c r="G34" s="287" t="s">
        <v>1598</v>
      </c>
      <c r="H34" s="287"/>
      <c r="I34" s="287"/>
      <c r="J34" s="287"/>
      <c r="K34" s="287"/>
      <c r="L34" s="287"/>
      <c r="M34" s="1368">
        <v>486.1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2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W34" s="287" t="s">
        <v>427</v>
      </c>
    </row>
    <row r="35" ht="17.5" customHeight="1" spans="3:49" x14ac:dyDescent="0.25">
      <c r="C35" s="2465">
        <v>32</v>
      </c>
      <c r="D35" s="1348">
        <v>40558</v>
      </c>
      <c r="E35" s="1349" t="s">
        <v>424</v>
      </c>
      <c r="F35" s="26" t="s">
        <v>277</v>
      </c>
      <c r="G35" s="287" t="s">
        <v>1599</v>
      </c>
      <c r="H35" s="287"/>
      <c r="I35" s="287"/>
      <c r="J35" s="287"/>
      <c r="K35" s="287"/>
      <c r="L35" s="287"/>
      <c r="M35" s="1368">
        <v>610.792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2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W35" s="287" t="s">
        <v>424</v>
      </c>
    </row>
    <row r="36" ht="17.5" customHeight="1" spans="3:49" x14ac:dyDescent="0.25">
      <c r="C36" s="2465">
        <v>33</v>
      </c>
      <c r="D36" s="1348">
        <v>40558</v>
      </c>
      <c r="E36" s="1349" t="s">
        <v>1076</v>
      </c>
      <c r="F36" s="26" t="s">
        <v>277</v>
      </c>
      <c r="G36" s="287" t="s">
        <v>1258</v>
      </c>
      <c r="H36" s="287"/>
      <c r="I36" s="287"/>
      <c r="J36" s="287"/>
      <c r="K36" s="287"/>
      <c r="L36" s="287"/>
      <c r="M36" s="1371">
        <v>910.9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2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W36" s="287" t="s">
        <v>1076</v>
      </c>
    </row>
    <row r="37" ht="17.5" customHeight="1" spans="3:49" x14ac:dyDescent="0.25">
      <c r="C37" s="2465">
        <v>34</v>
      </c>
      <c r="D37" s="1348">
        <v>40558</v>
      </c>
      <c r="E37" s="1349" t="s">
        <v>281</v>
      </c>
      <c r="F37" s="26" t="s">
        <v>277</v>
      </c>
      <c r="G37" s="287" t="s">
        <v>1600</v>
      </c>
      <c r="H37" s="287"/>
      <c r="I37" s="287"/>
      <c r="J37" s="287"/>
      <c r="K37" s="287"/>
      <c r="L37" s="287"/>
      <c r="M37" s="1368">
        <v>2767.6205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2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W37" s="287" t="s">
        <v>281</v>
      </c>
    </row>
    <row r="38" ht="17.5" customHeight="1" spans="3:49" x14ac:dyDescent="0.25">
      <c r="C38" s="2465">
        <v>35</v>
      </c>
      <c r="D38" s="1348">
        <v>40558</v>
      </c>
      <c r="E38" s="1349" t="s">
        <v>316</v>
      </c>
      <c r="F38" s="26" t="s">
        <v>277</v>
      </c>
      <c r="G38" s="287" t="s">
        <v>1601</v>
      </c>
      <c r="H38" s="287"/>
      <c r="I38" s="287"/>
      <c r="J38" s="287"/>
      <c r="K38" s="287"/>
      <c r="L38" s="287"/>
      <c r="M38" s="1368">
        <v>108.89559999999999</v>
      </c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2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W38" s="287" t="s">
        <v>316</v>
      </c>
    </row>
    <row r="39" ht="17.5" customHeight="1" spans="3:49" x14ac:dyDescent="0.25">
      <c r="C39" s="2465">
        <v>36</v>
      </c>
      <c r="D39" s="1348">
        <v>40558</v>
      </c>
      <c r="E39" s="1349" t="s">
        <v>1602</v>
      </c>
      <c r="F39" s="26" t="s">
        <v>277</v>
      </c>
      <c r="G39" s="287" t="s">
        <v>1603</v>
      </c>
      <c r="H39" s="287"/>
      <c r="I39" s="287"/>
      <c r="J39" s="287"/>
      <c r="K39" s="287"/>
      <c r="L39" s="287"/>
      <c r="M39" s="1371">
        <v>2876.5161000000003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2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W39" s="287" t="s">
        <v>1602</v>
      </c>
    </row>
    <row r="40" ht="17.5" customHeight="1" spans="3:49" x14ac:dyDescent="0.25">
      <c r="C40" s="1335">
        <v>37</v>
      </c>
      <c r="D40" s="1348">
        <v>42273</v>
      </c>
      <c r="E40" s="1349" t="s">
        <v>1604</v>
      </c>
      <c r="F40" s="26" t="s">
        <v>866</v>
      </c>
      <c r="G40" s="287" t="s">
        <v>1605</v>
      </c>
      <c r="H40" s="287"/>
      <c r="I40" s="287"/>
      <c r="J40" s="287"/>
      <c r="K40" s="287"/>
      <c r="L40" s="287"/>
      <c r="M40" s="1362">
        <v>0.8070159080914936</v>
      </c>
      <c r="N40" s="419">
        <v>0.8349948317766432</v>
      </c>
      <c r="O40" s="419">
        <v>0.7797346454621669</v>
      </c>
      <c r="P40" s="419">
        <v>0.8379107870406609</v>
      </c>
      <c r="Q40" s="419">
        <v>0.893036625876421</v>
      </c>
      <c r="R40" s="419">
        <v>0.9971953991179309</v>
      </c>
      <c r="S40" s="419">
        <v>1.0693134213844868</v>
      </c>
      <c r="T40" s="419">
        <v>1.0958197641540484</v>
      </c>
      <c r="U40" s="419">
        <v>1.113197103872673</v>
      </c>
      <c r="V40" s="419">
        <v>1.1056351693502098</v>
      </c>
      <c r="W40" s="419">
        <v>1.1045459834675206</v>
      </c>
      <c r="X40" s="419">
        <v>1.1147466941063877</v>
      </c>
      <c r="Y40" s="419">
        <v>1.127636565800327</v>
      </c>
      <c r="Z40" s="419">
        <v>1.1444304358295734</v>
      </c>
      <c r="AA40" s="419">
        <v>1.179845532637899</v>
      </c>
      <c r="AB40" s="1363">
        <v>1.0781457205437925</v>
      </c>
      <c r="AC40" s="419">
        <v>1.2954205891742936</v>
      </c>
      <c r="AD40" s="419">
        <v>1.3104358474452877</v>
      </c>
      <c r="AE40" s="419">
        <v>1.2873835370755577</v>
      </c>
      <c r="AF40" s="419">
        <v>1.2643312267058278</v>
      </c>
      <c r="AG40" s="419">
        <v>1.2412789163360978</v>
      </c>
      <c r="AH40" s="419">
        <v>1.2182266059663678</v>
      </c>
      <c r="AI40" s="419">
        <v>1.1951742955966378</v>
      </c>
      <c r="AJ40" s="419">
        <v>1.1721219852269078</v>
      </c>
      <c r="AK40" s="419">
        <v>1.1490696748571778</v>
      </c>
      <c r="AL40" s="419">
        <v>1.1260173644874478</v>
      </c>
      <c r="AM40" s="419">
        <v>1.1029650541177178</v>
      </c>
      <c r="AN40" s="419">
        <v>1.0799127437479878</v>
      </c>
      <c r="AO40" s="419">
        <v>1.0568604333782579</v>
      </c>
      <c r="AP40" s="419">
        <v>1.0338081230085279</v>
      </c>
      <c r="AQ40" s="419">
        <v>1.0107558126387979</v>
      </c>
      <c r="AR40" s="419">
        <v>0.9877035022690679</v>
      </c>
      <c r="AS40" s="419">
        <v>0.9646511918993379</v>
      </c>
      <c r="AT40" s="419">
        <v>0.9415988815296079</v>
      </c>
      <c r="AU40" s="419">
        <v>0.9185465711598779</v>
      </c>
      <c r="AV40" s="419">
        <v>0.8954942607901479</v>
      </c>
      <c r="AW40" s="287" t="s">
        <v>1604</v>
      </c>
    </row>
    <row r="41" ht="17.5" customHeight="1" spans="3:49" x14ac:dyDescent="0.25">
      <c r="C41" s="1335">
        <v>38</v>
      </c>
      <c r="D41" s="1348">
        <v>40874</v>
      </c>
      <c r="E41" s="1349" t="s">
        <v>540</v>
      </c>
      <c r="F41" s="26" t="s">
        <v>866</v>
      </c>
      <c r="G41" s="287" t="s">
        <v>1606</v>
      </c>
      <c r="H41" s="287"/>
      <c r="I41" s="287"/>
      <c r="J41" s="287"/>
      <c r="K41" s="287"/>
      <c r="L41" s="287"/>
      <c r="M41" s="1362">
        <v>0.033</v>
      </c>
      <c r="N41" s="419">
        <v>0.033561209950998976</v>
      </c>
      <c r="O41" s="419">
        <v>0.03380034910434458</v>
      </c>
      <c r="P41" s="419">
        <v>0.03551985499516597</v>
      </c>
      <c r="Q41" s="419">
        <v>0.03754522720369069</v>
      </c>
      <c r="R41" s="419">
        <v>0.037133613686563406</v>
      </c>
      <c r="S41" s="419">
        <v>0.04584762853067042</v>
      </c>
      <c r="T41" s="419">
        <v>0.04357130596075037</v>
      </c>
      <c r="U41" s="419">
        <v>0.04645884552673395</v>
      </c>
      <c r="V41" s="419">
        <v>0.049621904539870115</v>
      </c>
      <c r="W41" s="419">
        <v>0.052693222479582635</v>
      </c>
      <c r="X41" s="419">
        <v>0.05768383836976969</v>
      </c>
      <c r="Y41" s="419">
        <v>0.06639840493114152</v>
      </c>
      <c r="Z41" s="419">
        <v>0.06713197715536502</v>
      </c>
      <c r="AA41" s="419">
        <v>0.06416779673349142</v>
      </c>
      <c r="AB41" s="1363">
        <v>0.057035583477791654</v>
      </c>
      <c r="AC41" s="419">
        <v>0.06894106755433609</v>
      </c>
      <c r="AD41" s="419">
        <v>0.07091674131282749</v>
      </c>
      <c r="AE41" s="419">
        <v>0.06933103985808146</v>
      </c>
      <c r="AF41" s="419">
        <v>0.06798562906636058</v>
      </c>
      <c r="AG41" s="419">
        <v>0.06798562906636058</v>
      </c>
      <c r="AH41" s="419">
        <v>0.06604823752628249</v>
      </c>
      <c r="AI41" s="419">
        <v>0.06535938720092138</v>
      </c>
      <c r="AJ41" s="419">
        <v>0.0648083069406325</v>
      </c>
      <c r="AK41" s="419">
        <v>0.06436744273240139</v>
      </c>
      <c r="AL41" s="419">
        <v>0.0640147513658165</v>
      </c>
      <c r="AM41" s="419">
        <v>0.06373259827254858</v>
      </c>
      <c r="AN41" s="419">
        <v>0.06350687579793425</v>
      </c>
      <c r="AO41" s="419">
        <v>0.06332629781824278</v>
      </c>
      <c r="AP41" s="419">
        <v>0.0631818354344896</v>
      </c>
      <c r="AQ41" s="419">
        <v>0.06306626552748706</v>
      </c>
      <c r="AR41" s="419">
        <v>0.06297380960188503</v>
      </c>
      <c r="AS41" s="419">
        <v>0.0628998448614034</v>
      </c>
      <c r="AT41" s="419">
        <v>0.0628406730690181</v>
      </c>
      <c r="AU41" s="419">
        <v>0.06279333563510985</v>
      </c>
      <c r="AV41" s="419">
        <v>0.06275546568798325</v>
      </c>
      <c r="AW41" s="287" t="s">
        <v>540</v>
      </c>
    </row>
    <row r="42" ht="17.5" customHeight="1" spans="3:49" x14ac:dyDescent="0.25">
      <c r="C42" s="1335">
        <v>39</v>
      </c>
      <c r="D42" s="1348">
        <v>41928</v>
      </c>
      <c r="E42" s="1349" t="s">
        <v>459</v>
      </c>
      <c r="F42" s="26" t="s">
        <v>866</v>
      </c>
      <c r="G42" s="287" t="s">
        <v>1607</v>
      </c>
      <c r="H42" s="287"/>
      <c r="I42" s="287"/>
      <c r="J42" s="287"/>
      <c r="K42" s="287"/>
      <c r="L42" s="287"/>
      <c r="M42" s="1362">
        <v>0.5605873277103477</v>
      </c>
      <c r="N42" s="419">
        <v>0.5996342883407384</v>
      </c>
      <c r="O42" s="419">
        <v>0.5879374627754617</v>
      </c>
      <c r="P42" s="419">
        <v>0.5849906186913668</v>
      </c>
      <c r="Q42" s="419">
        <v>0.558989745627981</v>
      </c>
      <c r="R42" s="419">
        <v>0.5624698229682159</v>
      </c>
      <c r="S42" s="419">
        <v>0.6075711333388443</v>
      </c>
      <c r="T42" s="419">
        <v>0.5675837302398972</v>
      </c>
      <c r="U42" s="419">
        <v>0.5968293525687911</v>
      </c>
      <c r="V42" s="419">
        <v>0.6188437158703985</v>
      </c>
      <c r="W42" s="419">
        <v>0.5345451279946046</v>
      </c>
      <c r="X42" s="419">
        <v>0.5588415440825294</v>
      </c>
      <c r="Y42" s="419">
        <v>0.5054202818665039</v>
      </c>
      <c r="Z42" s="419">
        <v>0.5260117005775101</v>
      </c>
      <c r="AA42" s="419">
        <v>0.5026513711732707</v>
      </c>
      <c r="AB42" s="1363">
        <v>0.4922217554933671</v>
      </c>
      <c r="AC42" s="419">
        <v>0.5052744741080092</v>
      </c>
      <c r="AD42" s="419">
        <v>0.511490405677736</v>
      </c>
      <c r="AE42" s="419">
        <v>0.5148175826087644</v>
      </c>
      <c r="AF42" s="419">
        <v>0.5045797565020373</v>
      </c>
      <c r="AG42" s="419">
        <v>0.5045797565020373</v>
      </c>
      <c r="AH42" s="419">
        <v>0.5045797565020373</v>
      </c>
      <c r="AI42" s="419">
        <v>0.5045797565020373</v>
      </c>
      <c r="AJ42" s="419">
        <v>0.5045797565020373</v>
      </c>
      <c r="AK42" s="419">
        <v>0.5045797565020373</v>
      </c>
      <c r="AL42" s="419">
        <v>0.5045797565020373</v>
      </c>
      <c r="AM42" s="419">
        <v>0.5045797565020373</v>
      </c>
      <c r="AN42" s="419">
        <v>0.5045797565020373</v>
      </c>
      <c r="AO42" s="419">
        <v>0.5045797565020373</v>
      </c>
      <c r="AP42" s="419">
        <v>0.5045797565020373</v>
      </c>
      <c r="AQ42" s="419">
        <v>0.5045797565020373</v>
      </c>
      <c r="AR42" s="419">
        <v>0.5045797565020373</v>
      </c>
      <c r="AS42" s="419">
        <v>0.5045797565020373</v>
      </c>
      <c r="AT42" s="419">
        <v>0.5045797565020373</v>
      </c>
      <c r="AU42" s="419">
        <v>0.5045797565020373</v>
      </c>
      <c r="AV42" s="419">
        <v>0.5045797565020373</v>
      </c>
      <c r="AW42" s="287" t="s">
        <v>459</v>
      </c>
    </row>
    <row r="43" ht="17.5" customHeight="1" spans="3:49" x14ac:dyDescent="0.25">
      <c r="C43" s="1335">
        <v>40</v>
      </c>
      <c r="D43" s="1348">
        <v>41928</v>
      </c>
      <c r="E43" s="1349" t="s">
        <v>462</v>
      </c>
      <c r="F43" s="26" t="s">
        <v>866</v>
      </c>
      <c r="G43" s="287" t="s">
        <v>1608</v>
      </c>
      <c r="H43" s="287"/>
      <c r="I43" s="287"/>
      <c r="J43" s="287"/>
      <c r="K43" s="287"/>
      <c r="L43" s="287"/>
      <c r="M43" s="1362">
        <v>0</v>
      </c>
      <c r="N43" s="419">
        <v>0</v>
      </c>
      <c r="O43" s="419">
        <v>0</v>
      </c>
      <c r="P43" s="419">
        <v>0</v>
      </c>
      <c r="Q43" s="419">
        <v>0</v>
      </c>
      <c r="R43" s="419">
        <v>0</v>
      </c>
      <c r="S43" s="419">
        <v>0</v>
      </c>
      <c r="T43" s="419">
        <v>0</v>
      </c>
      <c r="U43" s="419">
        <v>0</v>
      </c>
      <c r="V43" s="419">
        <v>0</v>
      </c>
      <c r="W43" s="419">
        <v>0</v>
      </c>
      <c r="X43" s="419">
        <v>0</v>
      </c>
      <c r="Y43" s="419">
        <v>0</v>
      </c>
      <c r="Z43" s="419">
        <v>0</v>
      </c>
      <c r="AA43" s="419">
        <v>0</v>
      </c>
      <c r="AB43" s="1363">
        <v>0</v>
      </c>
      <c r="AC43" s="419">
        <v>0</v>
      </c>
      <c r="AD43" s="419">
        <v>0</v>
      </c>
      <c r="AE43" s="419">
        <v>0</v>
      </c>
      <c r="AF43" s="419">
        <v>0</v>
      </c>
      <c r="AG43" s="419">
        <v>0</v>
      </c>
      <c r="AH43" s="419">
        <v>0</v>
      </c>
      <c r="AI43" s="419">
        <v>0</v>
      </c>
      <c r="AJ43" s="419">
        <v>0</v>
      </c>
      <c r="AK43" s="419">
        <v>0</v>
      </c>
      <c r="AL43" s="419">
        <v>0</v>
      </c>
      <c r="AM43" s="419">
        <v>0</v>
      </c>
      <c r="AN43" s="419">
        <v>0</v>
      </c>
      <c r="AO43" s="419">
        <v>0</v>
      </c>
      <c r="AP43" s="419">
        <v>0</v>
      </c>
      <c r="AQ43" s="419">
        <v>0</v>
      </c>
      <c r="AR43" s="419">
        <v>0</v>
      </c>
      <c r="AS43" s="419">
        <v>0</v>
      </c>
      <c r="AT43" s="419">
        <v>0</v>
      </c>
      <c r="AU43" s="419">
        <v>0</v>
      </c>
      <c r="AV43" s="419">
        <v>0</v>
      </c>
      <c r="AW43" s="287" t="s">
        <v>462</v>
      </c>
    </row>
    <row r="44" ht="17.5" customHeight="1" spans="3:49" x14ac:dyDescent="0.25">
      <c r="C44" s="1335">
        <v>41</v>
      </c>
      <c r="D44" s="1348">
        <v>41928</v>
      </c>
      <c r="E44" s="1349" t="s">
        <v>465</v>
      </c>
      <c r="F44" s="26" t="s">
        <v>866</v>
      </c>
      <c r="G44" s="287" t="s">
        <v>2266</v>
      </c>
      <c r="H44" s="287"/>
      <c r="I44" s="287"/>
      <c r="J44" s="287"/>
      <c r="K44" s="287"/>
      <c r="L44" s="287"/>
      <c r="M44" s="1362">
        <v>0.18412751259012028</v>
      </c>
      <c r="N44" s="419">
        <v>0.16657824595487686</v>
      </c>
      <c r="O44" s="419">
        <v>0.19359545261144048</v>
      </c>
      <c r="P44" s="419">
        <v>0.19506713300983194</v>
      </c>
      <c r="Q44" s="419">
        <v>0.20204166379774025</v>
      </c>
      <c r="R44" s="419">
        <v>0.14326863278604252</v>
      </c>
      <c r="S44" s="419">
        <v>0.16519107231144708</v>
      </c>
      <c r="T44" s="419">
        <v>0.16321890642630238</v>
      </c>
      <c r="U44" s="419">
        <v>0.202079478635516</v>
      </c>
      <c r="V44" s="419">
        <v>0.1838978031308734</v>
      </c>
      <c r="W44" s="419">
        <v>0.20264787232420456</v>
      </c>
      <c r="X44" s="419">
        <v>0.1970559613972349</v>
      </c>
      <c r="Y44" s="419">
        <v>0.1740097060853261</v>
      </c>
      <c r="Z44" s="419">
        <v>0.1377101234752192</v>
      </c>
      <c r="AA44" s="419">
        <v>0.21351414024282442</v>
      </c>
      <c r="AB44" s="1363">
        <v>0.20520339865598441</v>
      </c>
      <c r="AC44" s="419">
        <v>0.1409021032969884</v>
      </c>
      <c r="AD44" s="419">
        <v>0.13962673029629044</v>
      </c>
      <c r="AE44" s="419">
        <v>0.15683614316944677</v>
      </c>
      <c r="AF44" s="419">
        <v>0.1509776434605301</v>
      </c>
      <c r="AG44" s="419">
        <v>0.1509776434605301</v>
      </c>
      <c r="AH44" s="419">
        <v>0.1509776434605301</v>
      </c>
      <c r="AI44" s="419">
        <v>0.1509776434605301</v>
      </c>
      <c r="AJ44" s="419">
        <v>0.1509776434605301</v>
      </c>
      <c r="AK44" s="419">
        <v>0.1509776434605301</v>
      </c>
      <c r="AL44" s="419">
        <v>0.1509776434605301</v>
      </c>
      <c r="AM44" s="419">
        <v>0.1509776434605301</v>
      </c>
      <c r="AN44" s="419">
        <v>0.1509776434605301</v>
      </c>
      <c r="AO44" s="419">
        <v>0.1509776434605301</v>
      </c>
      <c r="AP44" s="419">
        <v>0.1509776434605301</v>
      </c>
      <c r="AQ44" s="419">
        <v>0.1509776434605301</v>
      </c>
      <c r="AR44" s="419">
        <v>0.1509776434605301</v>
      </c>
      <c r="AS44" s="419">
        <v>0.1509776434605301</v>
      </c>
      <c r="AT44" s="419">
        <v>0.1509776434605301</v>
      </c>
      <c r="AU44" s="419">
        <v>0.1509776434605301</v>
      </c>
      <c r="AV44" s="419">
        <v>0.1509776434605301</v>
      </c>
      <c r="AW44" s="287" t="s">
        <v>465</v>
      </c>
    </row>
    <row r="45" ht="17.5" customHeight="1" spans="3:49" x14ac:dyDescent="0.25">
      <c r="C45" s="1335">
        <v>42</v>
      </c>
      <c r="D45" s="1348">
        <v>41928</v>
      </c>
      <c r="E45" s="1349" t="s">
        <v>468</v>
      </c>
      <c r="F45" s="26" t="s">
        <v>866</v>
      </c>
      <c r="G45" s="287" t="s">
        <v>1610</v>
      </c>
      <c r="H45" s="287"/>
      <c r="I45" s="287"/>
      <c r="J45" s="287"/>
      <c r="K45" s="287"/>
      <c r="L45" s="287"/>
      <c r="M45" s="1362">
        <v>0.7902003513009112</v>
      </c>
      <c r="N45" s="419">
        <v>0.742632819983789</v>
      </c>
      <c r="O45" s="419">
        <v>0.745721866698865</v>
      </c>
      <c r="P45" s="419">
        <v>0.8233581081081082</v>
      </c>
      <c r="Q45" s="419">
        <v>0.8686661050170215</v>
      </c>
      <c r="R45" s="419">
        <v>0.8271385576947212</v>
      </c>
      <c r="S45" s="419">
        <v>0.8107929512937024</v>
      </c>
      <c r="T45" s="419">
        <v>0.7918544429805299</v>
      </c>
      <c r="U45" s="419">
        <v>0.7344982304364923</v>
      </c>
      <c r="V45" s="419">
        <v>0.7687913140129188</v>
      </c>
      <c r="W45" s="419">
        <v>0.7708848541862653</v>
      </c>
      <c r="X45" s="419">
        <v>0.7504145956356528</v>
      </c>
      <c r="Y45" s="419">
        <v>0.7522576918565094</v>
      </c>
      <c r="Z45" s="419">
        <v>0.7909584336872127</v>
      </c>
      <c r="AA45" s="419">
        <v>0.7312844672880913</v>
      </c>
      <c r="AB45" s="1363">
        <v>0.7267341060917033</v>
      </c>
      <c r="AC45" s="419">
        <v>0.7627914341897462</v>
      </c>
      <c r="AD45" s="419">
        <v>0.7773356054530874</v>
      </c>
      <c r="AE45" s="419">
        <v>0.7765267637178052</v>
      </c>
      <c r="AF45" s="419">
        <v>0.7940956158663883</v>
      </c>
      <c r="AG45" s="419">
        <v>0.772</v>
      </c>
      <c r="AH45" s="419">
        <v>0.764</v>
      </c>
      <c r="AI45" s="419">
        <v>0.7576</v>
      </c>
      <c r="AJ45" s="419">
        <v>0.75248</v>
      </c>
      <c r="AK45" s="419">
        <v>0.748384</v>
      </c>
      <c r="AL45" s="419">
        <v>0.7451072000000001</v>
      </c>
      <c r="AM45" s="419">
        <v>0.7424857600000001</v>
      </c>
      <c r="AN45" s="419">
        <v>0.7403886080000002</v>
      </c>
      <c r="AO45" s="419">
        <v>0.7387108864000003</v>
      </c>
      <c r="AP45" s="419">
        <v>0.7373687091200003</v>
      </c>
      <c r="AQ45" s="419">
        <v>0.7362949672960003</v>
      </c>
      <c r="AR45" s="419">
        <v>0.7354359738368003</v>
      </c>
      <c r="AS45" s="419">
        <v>0.7347487790694402</v>
      </c>
      <c r="AT45" s="419">
        <v>0.7341990232555522</v>
      </c>
      <c r="AU45" s="419">
        <v>0.7337592186044417</v>
      </c>
      <c r="AV45" s="419">
        <v>0.7334073748835533</v>
      </c>
      <c r="AW45" s="287" t="s">
        <v>468</v>
      </c>
    </row>
    <row r="46" ht="17.5" customHeight="1" spans="3:49" x14ac:dyDescent="0.25">
      <c r="C46" s="2465">
        <v>43</v>
      </c>
      <c r="D46" s="1348"/>
      <c r="E46" s="1349" t="s">
        <v>471</v>
      </c>
      <c r="F46" s="26" t="s">
        <v>866</v>
      </c>
      <c r="G46" s="287" t="s">
        <v>1611</v>
      </c>
      <c r="H46" s="287"/>
      <c r="I46" s="287"/>
      <c r="J46" s="287"/>
      <c r="K46" s="287"/>
      <c r="L46" s="287"/>
      <c r="M46" s="1362"/>
      <c r="N46" s="419"/>
      <c r="O46" s="419"/>
      <c r="P46" s="419"/>
      <c r="Q46" s="419"/>
      <c r="R46" s="419"/>
      <c r="S46" s="419"/>
      <c r="T46" s="419"/>
      <c r="U46" s="419"/>
      <c r="V46" s="419"/>
      <c r="W46" s="419"/>
      <c r="X46" s="419"/>
      <c r="Y46" s="419"/>
      <c r="Z46" s="419"/>
      <c r="AA46" s="419"/>
      <c r="AB46" s="1363"/>
      <c r="AC46" s="419"/>
      <c r="AD46" s="419"/>
      <c r="AE46" s="419"/>
      <c r="AF46" s="419"/>
      <c r="AG46" s="419"/>
      <c r="AH46" s="419"/>
      <c r="AI46" s="419"/>
      <c r="AJ46" s="419"/>
      <c r="AK46" s="419"/>
      <c r="AL46" s="419"/>
      <c r="AM46" s="419"/>
      <c r="AN46" s="419"/>
      <c r="AO46" s="419"/>
      <c r="AP46" s="419"/>
      <c r="AQ46" s="419"/>
      <c r="AR46" s="419"/>
      <c r="AS46" s="419"/>
      <c r="AT46" s="419"/>
      <c r="AU46" s="419"/>
      <c r="AV46" s="419"/>
      <c r="AW46" s="287" t="s">
        <v>471</v>
      </c>
    </row>
    <row r="47" ht="17.5" customHeight="1" spans="3:49" x14ac:dyDescent="0.25">
      <c r="C47" s="2465">
        <v>44</v>
      </c>
      <c r="D47" s="1348">
        <v>40585</v>
      </c>
      <c r="E47" s="1349" t="s">
        <v>474</v>
      </c>
      <c r="F47" s="26" t="s">
        <v>866</v>
      </c>
      <c r="G47" s="287" t="s">
        <v>1612</v>
      </c>
      <c r="H47" s="287"/>
      <c r="I47" s="287"/>
      <c r="J47" s="287"/>
      <c r="K47" s="287"/>
      <c r="L47" s="287"/>
      <c r="M47" s="1362"/>
      <c r="N47" s="419"/>
      <c r="O47" s="419"/>
      <c r="P47" s="419"/>
      <c r="Q47" s="419"/>
      <c r="R47" s="419"/>
      <c r="S47" s="419"/>
      <c r="T47" s="419"/>
      <c r="U47" s="419"/>
      <c r="V47" s="419"/>
      <c r="W47" s="419"/>
      <c r="X47" s="419"/>
      <c r="Y47" s="419"/>
      <c r="Z47" s="419"/>
      <c r="AA47" s="419"/>
      <c r="AB47" s="1363"/>
      <c r="AC47" s="419"/>
      <c r="AD47" s="419"/>
      <c r="AE47" s="419"/>
      <c r="AF47" s="419"/>
      <c r="AG47" s="419"/>
      <c r="AH47" s="419"/>
      <c r="AI47" s="419"/>
      <c r="AJ47" s="419"/>
      <c r="AK47" s="419"/>
      <c r="AL47" s="419"/>
      <c r="AM47" s="419"/>
      <c r="AN47" s="419"/>
      <c r="AO47" s="419"/>
      <c r="AP47" s="419"/>
      <c r="AQ47" s="419"/>
      <c r="AR47" s="419"/>
      <c r="AS47" s="419"/>
      <c r="AT47" s="419"/>
      <c r="AU47" s="419"/>
      <c r="AV47" s="419"/>
      <c r="AW47" s="287" t="s">
        <v>474</v>
      </c>
    </row>
    <row r="48" ht="17.5" customHeight="1" spans="3:49" x14ac:dyDescent="0.25">
      <c r="C48" s="2465">
        <v>45</v>
      </c>
      <c r="D48" s="1348">
        <v>40615</v>
      </c>
      <c r="E48" s="1349" t="s">
        <v>477</v>
      </c>
      <c r="F48" s="26" t="s">
        <v>866</v>
      </c>
      <c r="G48" s="287" t="s">
        <v>1613</v>
      </c>
      <c r="H48" s="287"/>
      <c r="I48" s="287"/>
      <c r="J48" s="287"/>
      <c r="K48" s="287"/>
      <c r="L48" s="287"/>
      <c r="M48" s="1362"/>
      <c r="N48" s="419"/>
      <c r="O48" s="419"/>
      <c r="P48" s="419"/>
      <c r="Q48" s="419"/>
      <c r="R48" s="419"/>
      <c r="S48" s="419"/>
      <c r="T48" s="419"/>
      <c r="U48" s="419"/>
      <c r="V48" s="419"/>
      <c r="W48" s="419"/>
      <c r="X48" s="419"/>
      <c r="Y48" s="419"/>
      <c r="Z48" s="419"/>
      <c r="AA48" s="419"/>
      <c r="AB48" s="1363"/>
      <c r="AC48" s="419"/>
      <c r="AD48" s="419"/>
      <c r="AE48" s="419"/>
      <c r="AF48" s="419"/>
      <c r="AG48" s="419"/>
      <c r="AH48" s="419"/>
      <c r="AI48" s="419"/>
      <c r="AJ48" s="419"/>
      <c r="AK48" s="419"/>
      <c r="AL48" s="419"/>
      <c r="AM48" s="419"/>
      <c r="AN48" s="419"/>
      <c r="AO48" s="419"/>
      <c r="AP48" s="419"/>
      <c r="AQ48" s="419"/>
      <c r="AR48" s="419"/>
      <c r="AS48" s="419"/>
      <c r="AT48" s="419"/>
      <c r="AU48" s="419"/>
      <c r="AV48" s="419"/>
      <c r="AW48" s="287" t="s">
        <v>477</v>
      </c>
    </row>
    <row r="49" ht="17.5" customHeight="1" spans="3:49" x14ac:dyDescent="0.25">
      <c r="C49" s="1335">
        <v>46</v>
      </c>
      <c r="D49" s="1348">
        <v>41928</v>
      </c>
      <c r="E49" s="1349" t="s">
        <v>1614</v>
      </c>
      <c r="F49" s="26" t="s">
        <v>866</v>
      </c>
      <c r="G49" s="287" t="s">
        <v>1629</v>
      </c>
      <c r="H49" s="287"/>
      <c r="I49" s="287"/>
      <c r="J49" s="287"/>
      <c r="K49" s="287"/>
      <c r="L49" s="287"/>
      <c r="M49" s="1362">
        <v>0.049988274017691826</v>
      </c>
      <c r="N49" s="419">
        <v>0.05616899034778611</v>
      </c>
      <c r="O49" s="419">
        <v>0.05640309708159619</v>
      </c>
      <c r="P49" s="419">
        <v>0.058051894074337966</v>
      </c>
      <c r="Q49" s="419">
        <v>0.04475445151033386</v>
      </c>
      <c r="R49" s="419">
        <v>0.040363501862149896</v>
      </c>
      <c r="S49" s="419">
        <v>0.04082908985698933</v>
      </c>
      <c r="T49" s="419">
        <v>0.038721327762031375</v>
      </c>
      <c r="U49" s="419">
        <v>0.03907220863073469</v>
      </c>
      <c r="V49" s="419">
        <v>0.03202582607019723</v>
      </c>
      <c r="W49" s="419">
        <v>0.0204341113685013</v>
      </c>
      <c r="X49" s="419">
        <v>0.018457780112713727</v>
      </c>
      <c r="Y49" s="419">
        <v>0.01633557374216708</v>
      </c>
      <c r="Z49" s="419">
        <v>0.015488549426277757</v>
      </c>
      <c r="AA49" s="419">
        <v>0.013521457101375223</v>
      </c>
      <c r="AB49" s="1363">
        <v>0.012813182945727633</v>
      </c>
      <c r="AC49" s="419">
        <v>0.011708861392575997</v>
      </c>
      <c r="AD49" s="419">
        <v>0.011223210374134759</v>
      </c>
      <c r="AE49" s="419">
        <v>0.010834689559381768</v>
      </c>
      <c r="AF49" s="419">
        <v>0.010523872907579376</v>
      </c>
      <c r="AG49" s="419">
        <v>0.010275219586137464</v>
      </c>
      <c r="AH49" s="419">
        <v>0.01002656626469555</v>
      </c>
      <c r="AI49" s="419">
        <v>0.009777912943253638</v>
      </c>
      <c r="AJ49" s="419">
        <v>0.009777912943253638</v>
      </c>
      <c r="AK49" s="419">
        <v>0.009777912943253638</v>
      </c>
      <c r="AL49" s="419">
        <v>0.009777912943253638</v>
      </c>
      <c r="AM49" s="419">
        <v>0.009777912943253638</v>
      </c>
      <c r="AN49" s="419">
        <v>0.009777912943253638</v>
      </c>
      <c r="AO49" s="419">
        <v>0.009777912943253638</v>
      </c>
      <c r="AP49" s="419">
        <v>0.009777912943253638</v>
      </c>
      <c r="AQ49" s="419">
        <v>0.009777912943253638</v>
      </c>
      <c r="AR49" s="419">
        <v>0.009777912943253638</v>
      </c>
      <c r="AS49" s="419">
        <v>0.009777912943253638</v>
      </c>
      <c r="AT49" s="419">
        <v>0.009777912943253638</v>
      </c>
      <c r="AU49" s="419">
        <v>0.009777912943253638</v>
      </c>
      <c r="AV49" s="419">
        <v>0.009777912943253638</v>
      </c>
      <c r="AW49" s="287" t="s">
        <v>1614</v>
      </c>
    </row>
    <row r="50" ht="17.5" customHeight="1" spans="3:49" x14ac:dyDescent="0.25">
      <c r="C50" s="1335">
        <v>47</v>
      </c>
      <c r="D50" s="1348">
        <v>41928</v>
      </c>
      <c r="E50" s="1349" t="s">
        <v>553</v>
      </c>
      <c r="F50" s="26" t="s">
        <v>866</v>
      </c>
      <c r="G50" s="287" t="s">
        <v>1618</v>
      </c>
      <c r="H50" s="287"/>
      <c r="I50" s="287"/>
      <c r="J50" s="287"/>
      <c r="K50" s="287"/>
      <c r="L50" s="287"/>
      <c r="M50" s="1362">
        <v>0.3059108200657057</v>
      </c>
      <c r="N50" s="419">
        <v>0.2781616646708089</v>
      </c>
      <c r="O50" s="419">
        <v>0.30377623832039924</v>
      </c>
      <c r="P50" s="419">
        <v>0.26117813318403943</v>
      </c>
      <c r="Q50" s="419">
        <v>0.25161546729373147</v>
      </c>
      <c r="R50" s="419">
        <v>0.28713406421821713</v>
      </c>
      <c r="S50" s="419">
        <v>0.3000699071085897</v>
      </c>
      <c r="T50" s="419">
        <v>0.3252732179033034</v>
      </c>
      <c r="U50" s="419">
        <v>0.31334242432928466</v>
      </c>
      <c r="V50" s="419">
        <v>0.3188958197444065</v>
      </c>
      <c r="W50" s="419">
        <v>0.39702420648664605</v>
      </c>
      <c r="X50" s="419">
        <v>0.3947587210905216</v>
      </c>
      <c r="Y50" s="419">
        <v>0.40208306466662297</v>
      </c>
      <c r="Z50" s="419">
        <v>0.3877200006826103</v>
      </c>
      <c r="AA50" s="419">
        <v>0.35044252977777157</v>
      </c>
      <c r="AB50" s="1363">
        <v>0.346197475752907</v>
      </c>
      <c r="AC50" s="419">
        <v>0.3726359356699949</v>
      </c>
      <c r="AD50" s="419">
        <v>0.37134614707263147</v>
      </c>
      <c r="AE50" s="419">
        <v>0.36928030022616676</v>
      </c>
      <c r="AF50" s="419">
        <v>0.374841750879473</v>
      </c>
      <c r="AG50" s="419">
        <v>0.38484175087947303</v>
      </c>
      <c r="AH50" s="419">
        <v>0.38484175087947303</v>
      </c>
      <c r="AI50" s="419">
        <v>0.38484175087947303</v>
      </c>
      <c r="AJ50" s="419">
        <v>0.38484175087947303</v>
      </c>
      <c r="AK50" s="419">
        <v>0.38484175087947303</v>
      </c>
      <c r="AL50" s="419">
        <v>0.38484175087947303</v>
      </c>
      <c r="AM50" s="419">
        <v>0.38484175087947303</v>
      </c>
      <c r="AN50" s="419">
        <v>0.38484175087947303</v>
      </c>
      <c r="AO50" s="419">
        <v>0.38484175087947303</v>
      </c>
      <c r="AP50" s="419">
        <v>0.38484175087947303</v>
      </c>
      <c r="AQ50" s="419">
        <v>0.38484175087947303</v>
      </c>
      <c r="AR50" s="419">
        <v>0.38484175087947303</v>
      </c>
      <c r="AS50" s="419">
        <v>0.38484175087947303</v>
      </c>
      <c r="AT50" s="419">
        <v>0.38484175087947303</v>
      </c>
      <c r="AU50" s="419">
        <v>0.38484175087947303</v>
      </c>
      <c r="AV50" s="419">
        <v>0.38484175087947303</v>
      </c>
      <c r="AW50" s="287" t="s">
        <v>553</v>
      </c>
    </row>
    <row r="51" ht="17.5" customHeight="1" spans="3:49" x14ac:dyDescent="0.25">
      <c r="C51" s="1335">
        <v>48</v>
      </c>
      <c r="D51" s="1348">
        <v>41928</v>
      </c>
      <c r="E51" s="1349" t="s">
        <v>550</v>
      </c>
      <c r="F51" s="26" t="s">
        <v>866</v>
      </c>
      <c r="G51" s="287" t="s">
        <v>1617</v>
      </c>
      <c r="H51" s="287"/>
      <c r="I51" s="287"/>
      <c r="J51" s="287"/>
      <c r="K51" s="287"/>
      <c r="L51" s="287"/>
      <c r="M51" s="1362">
        <v>0.34028203577560534</v>
      </c>
      <c r="N51" s="419">
        <v>0.3250780994281772</v>
      </c>
      <c r="O51" s="419">
        <v>0.35837570555083637</v>
      </c>
      <c r="P51" s="419">
        <v>0.32023603080122254</v>
      </c>
      <c r="Q51" s="419">
        <v>0.26082091121911194</v>
      </c>
      <c r="R51" s="419">
        <v>0.26829931795496376</v>
      </c>
      <c r="S51" s="419">
        <v>0.27051799130250104</v>
      </c>
      <c r="T51" s="419">
        <v>0.31631692817415186</v>
      </c>
      <c r="U51" s="419">
        <v>0.3001839655503373</v>
      </c>
      <c r="V51" s="419">
        <v>0.27424958276588063</v>
      </c>
      <c r="W51" s="419">
        <v>0.3156258220386519</v>
      </c>
      <c r="X51" s="419">
        <v>0.3111467598559485</v>
      </c>
      <c r="Y51" s="419">
        <v>0.34223846853003126</v>
      </c>
      <c r="Z51" s="419">
        <v>0.33897422577496544</v>
      </c>
      <c r="AA51" s="419">
        <v>0.4135390376723465</v>
      </c>
      <c r="AB51" s="1363">
        <v>0.3804201043604462</v>
      </c>
      <c r="AC51" s="419">
        <v>0.35725550597673883</v>
      </c>
      <c r="AD51" s="419">
        <v>0.3671162524613403</v>
      </c>
      <c r="AE51" s="419">
        <v>0.3820949054314769</v>
      </c>
      <c r="AF51" s="419">
        <v>0.3866842467902037</v>
      </c>
      <c r="AG51" s="419">
        <v>0.39</v>
      </c>
      <c r="AH51" s="419">
        <v>0.39</v>
      </c>
      <c r="AI51" s="419">
        <v>0.39</v>
      </c>
      <c r="AJ51" s="419">
        <v>0.39</v>
      </c>
      <c r="AK51" s="419">
        <v>0.39</v>
      </c>
      <c r="AL51" s="419">
        <v>0.39</v>
      </c>
      <c r="AM51" s="419">
        <v>0.39</v>
      </c>
      <c r="AN51" s="419">
        <v>0.39</v>
      </c>
      <c r="AO51" s="419">
        <v>0.39</v>
      </c>
      <c r="AP51" s="419">
        <v>0.39</v>
      </c>
      <c r="AQ51" s="419">
        <v>0.39</v>
      </c>
      <c r="AR51" s="419">
        <v>0.39</v>
      </c>
      <c r="AS51" s="419">
        <v>0.39</v>
      </c>
      <c r="AT51" s="419">
        <v>0.39</v>
      </c>
      <c r="AU51" s="419">
        <v>0.39</v>
      </c>
      <c r="AV51" s="419">
        <v>0.39</v>
      </c>
      <c r="AW51" s="287" t="s">
        <v>550</v>
      </c>
    </row>
    <row r="52" ht="17.5" customHeight="1" spans="3:49" x14ac:dyDescent="0.25">
      <c r="C52" s="1335">
        <v>49</v>
      </c>
      <c r="D52" s="1348">
        <v>41928</v>
      </c>
      <c r="E52" s="1349" t="s">
        <v>612</v>
      </c>
      <c r="F52" s="26" t="s">
        <v>866</v>
      </c>
      <c r="G52" s="287" t="s">
        <v>1630</v>
      </c>
      <c r="H52" s="287"/>
      <c r="I52" s="287"/>
      <c r="J52" s="287"/>
      <c r="K52" s="287"/>
      <c r="L52" s="287"/>
      <c r="M52" s="1362">
        <v>0.022490438989016016</v>
      </c>
      <c r="N52" s="419">
        <v>0.02795820438115608</v>
      </c>
      <c r="O52" s="419">
        <v>0.02974721218072889</v>
      </c>
      <c r="P52" s="419">
        <v>-0.010512157616833476</v>
      </c>
      <c r="Q52" s="419">
        <v>-0.018366803715713885</v>
      </c>
      <c r="R52" s="419">
        <v>0.00940334483209172</v>
      </c>
      <c r="S52" s="419">
        <v>0.01543589803541467</v>
      </c>
      <c r="T52" s="419">
        <v>0.010420706842907277</v>
      </c>
      <c r="U52" s="419">
        <v>0.01137831298258356</v>
      </c>
      <c r="V52" s="419">
        <v>0.011495203825421829</v>
      </c>
      <c r="W52" s="419">
        <v>0.011017693783579027</v>
      </c>
      <c r="X52" s="419">
        <v>0.01164388659610574</v>
      </c>
      <c r="Y52" s="419">
        <v>0.014011430848958683</v>
      </c>
      <c r="Z52" s="419">
        <v>0.014635325905782108</v>
      </c>
      <c r="AA52" s="419">
        <v>-0.025634571644029994</v>
      </c>
      <c r="AB52" s="1363">
        <v>-0.007157309506491928</v>
      </c>
      <c r="AC52" s="419">
        <v>0.004642414228178471</v>
      </c>
      <c r="AD52" s="419">
        <v>0.0004947878855584885</v>
      </c>
      <c r="AE52" s="419">
        <v>-0.009136141503807468</v>
      </c>
      <c r="AF52" s="419">
        <v>-0.014760121332373852</v>
      </c>
      <c r="AG52" s="419">
        <v>-0.008</v>
      </c>
      <c r="AH52" s="419">
        <v>0.009</v>
      </c>
      <c r="AI52" s="419">
        <v>0.011</v>
      </c>
      <c r="AJ52" s="419">
        <v>0.011</v>
      </c>
      <c r="AK52" s="419">
        <v>0.011</v>
      </c>
      <c r="AL52" s="419">
        <v>0.011</v>
      </c>
      <c r="AM52" s="419">
        <v>0.011</v>
      </c>
      <c r="AN52" s="419">
        <v>0.011</v>
      </c>
      <c r="AO52" s="419">
        <v>0.011</v>
      </c>
      <c r="AP52" s="419">
        <v>0.011</v>
      </c>
      <c r="AQ52" s="419">
        <v>0.011</v>
      </c>
      <c r="AR52" s="419">
        <v>0.011</v>
      </c>
      <c r="AS52" s="419">
        <v>0.011</v>
      </c>
      <c r="AT52" s="419">
        <v>0.011</v>
      </c>
      <c r="AU52" s="419">
        <v>0.011</v>
      </c>
      <c r="AV52" s="419">
        <v>0.011</v>
      </c>
      <c r="AW52" s="287" t="s">
        <v>612</v>
      </c>
    </row>
    <row r="53" ht="17.5" customHeight="1" spans="3:49" x14ac:dyDescent="0.25">
      <c r="C53" s="1335">
        <v>50</v>
      </c>
      <c r="D53" s="2466">
        <v>40614</v>
      </c>
      <c r="E53" s="1349" t="s">
        <v>2267</v>
      </c>
      <c r="F53" s="26" t="s">
        <v>866</v>
      </c>
      <c r="G53" s="287" t="s">
        <v>2268</v>
      </c>
      <c r="H53" s="287"/>
      <c r="I53" s="287"/>
      <c r="J53" s="287"/>
      <c r="K53" s="287"/>
      <c r="L53" s="287"/>
      <c r="M53" s="1362">
        <v>0.24458015167192756</v>
      </c>
      <c r="N53" s="419">
        <v>0.2639037872819278</v>
      </c>
      <c r="O53" s="419">
        <v>0.2748882770104617</v>
      </c>
      <c r="P53" s="419">
        <v>0.27014591073472544</v>
      </c>
      <c r="Q53" s="419">
        <v>0.16917775593934054</v>
      </c>
      <c r="R53" s="419">
        <v>0.19664547860075432</v>
      </c>
      <c r="S53" s="419">
        <v>0.18172846925747252</v>
      </c>
      <c r="T53" s="419">
        <v>0.20806667151453984</v>
      </c>
      <c r="U53" s="419">
        <v>0.219569883883043</v>
      </c>
      <c r="V53" s="419">
        <v>0.2036288941241999</v>
      </c>
      <c r="W53" s="419">
        <v>0.19973857695478286</v>
      </c>
      <c r="X53" s="419">
        <v>0.20107749480509063</v>
      </c>
      <c r="Y53" s="419">
        <v>0.1871550652627272</v>
      </c>
      <c r="Z53" s="419">
        <v>0.1907508130412558</v>
      </c>
      <c r="AA53" s="419">
        <v>0.2335070395432094</v>
      </c>
      <c r="AB53" s="1363">
        <v>0.23</v>
      </c>
      <c r="AC53" s="419">
        <v>0.215</v>
      </c>
      <c r="AD53" s="419">
        <v>0.215</v>
      </c>
      <c r="AE53" s="419">
        <v>0.215</v>
      </c>
      <c r="AF53" s="419">
        <v>0.215</v>
      </c>
      <c r="AG53" s="419">
        <v>0.215</v>
      </c>
      <c r="AH53" s="419">
        <v>0.215</v>
      </c>
      <c r="AI53" s="419">
        <v>0.215</v>
      </c>
      <c r="AJ53" s="419">
        <v>0.215</v>
      </c>
      <c r="AK53" s="419">
        <v>0.215</v>
      </c>
      <c r="AL53" s="419">
        <v>0.215</v>
      </c>
      <c r="AM53" s="419">
        <v>0.215</v>
      </c>
      <c r="AN53" s="419">
        <v>0.215</v>
      </c>
      <c r="AO53" s="419">
        <v>0.215</v>
      </c>
      <c r="AP53" s="419">
        <v>0.215</v>
      </c>
      <c r="AQ53" s="419">
        <v>0.215</v>
      </c>
      <c r="AR53" s="419">
        <v>0.215</v>
      </c>
      <c r="AS53" s="419">
        <v>0.215</v>
      </c>
      <c r="AT53" s="419">
        <v>0.215</v>
      </c>
      <c r="AU53" s="419">
        <v>0.215</v>
      </c>
      <c r="AV53" s="419">
        <v>0.215</v>
      </c>
      <c r="AW53" s="287" t="s">
        <v>2267</v>
      </c>
    </row>
    <row r="54" ht="17.5" customHeight="1" spans="3:49" x14ac:dyDescent="0.25">
      <c r="C54" s="1335">
        <v>51</v>
      </c>
      <c r="D54" s="2466">
        <v>40614</v>
      </c>
      <c r="E54" s="1349" t="s">
        <v>2269</v>
      </c>
      <c r="F54" s="26" t="s">
        <v>866</v>
      </c>
      <c r="G54" s="287" t="s">
        <v>2270</v>
      </c>
      <c r="H54" s="287"/>
      <c r="I54" s="287"/>
      <c r="J54" s="287"/>
      <c r="K54" s="287"/>
      <c r="L54" s="287"/>
      <c r="M54" s="1362">
        <v>0.24548014811767122</v>
      </c>
      <c r="N54" s="419">
        <v>0.2910893212808334</v>
      </c>
      <c r="O54" s="419">
        <v>0.2920157236450268</v>
      </c>
      <c r="P54" s="419">
        <v>0.28260776629853934</v>
      </c>
      <c r="Q54" s="419">
        <v>0.3028307631160572</v>
      </c>
      <c r="R54" s="419">
        <v>0.28048477118514364</v>
      </c>
      <c r="S54" s="419">
        <v>0.33459601554104323</v>
      </c>
      <c r="T54" s="419">
        <v>0.3033959617800894</v>
      </c>
      <c r="U54" s="419">
        <v>0.3165200887790361</v>
      </c>
      <c r="V54" s="419">
        <v>0.3008686639398676</v>
      </c>
      <c r="W54" s="419">
        <v>0.2573106471571416</v>
      </c>
      <c r="X54" s="419">
        <v>0.24773283026076987</v>
      </c>
      <c r="Y54" s="419">
        <v>0.2172621218574061</v>
      </c>
      <c r="Z54" s="419">
        <v>0.2381545517985264</v>
      </c>
      <c r="AA54" s="419">
        <v>0.26644114952985676</v>
      </c>
      <c r="AB54" s="1363">
        <v>0.28341310816865495</v>
      </c>
      <c r="AC54" s="419">
        <v>0.2935962833519339</v>
      </c>
      <c r="AD54" s="419">
        <v>0.2997061884619012</v>
      </c>
      <c r="AE54" s="419">
        <v>0.3033721315278816</v>
      </c>
      <c r="AF54" s="419">
        <v>0.30557169736746986</v>
      </c>
      <c r="AG54" s="419">
        <v>0.30689143687122283</v>
      </c>
      <c r="AH54" s="419">
        <v>0.3076832805734746</v>
      </c>
      <c r="AI54" s="419">
        <v>0.30815838679482566</v>
      </c>
      <c r="AJ54" s="419">
        <v>0.3084434505276363</v>
      </c>
      <c r="AK54" s="419">
        <v>0.30861448876732267</v>
      </c>
      <c r="AL54" s="419">
        <v>0.30871711171113453</v>
      </c>
      <c r="AM54" s="419">
        <v>0.30877868547742165</v>
      </c>
      <c r="AN54" s="419">
        <v>0.30881562973719395</v>
      </c>
      <c r="AO54" s="419">
        <v>0.30883779629305735</v>
      </c>
      <c r="AP54" s="419">
        <v>0.3088510962265754</v>
      </c>
      <c r="AQ54" s="419">
        <v>0.30885907618668623</v>
      </c>
      <c r="AR54" s="419">
        <v>0.30886386416275274</v>
      </c>
      <c r="AS54" s="419">
        <v>0.3088667369483927</v>
      </c>
      <c r="AT54" s="419">
        <v>0.30886846061977663</v>
      </c>
      <c r="AU54" s="419">
        <v>0.308869494822607</v>
      </c>
      <c r="AV54" s="419">
        <v>0.30887011534430525</v>
      </c>
      <c r="AW54" s="287" t="s">
        <v>2269</v>
      </c>
    </row>
    <row r="55" ht="17.5" customHeight="1" spans="3:49" x14ac:dyDescent="0.25">
      <c r="C55" s="1335">
        <v>52</v>
      </c>
      <c r="D55" s="2466"/>
      <c r="E55" s="1349"/>
      <c r="F55" s="26"/>
      <c r="G55" s="287"/>
      <c r="H55" s="287"/>
      <c r="I55" s="287"/>
      <c r="J55" s="287"/>
      <c r="K55" s="287"/>
      <c r="L55" s="287"/>
      <c r="M55" s="1362"/>
      <c r="N55" s="419"/>
      <c r="O55" s="419"/>
      <c r="P55" s="419"/>
      <c r="Q55" s="419"/>
      <c r="R55" s="419"/>
      <c r="S55" s="419"/>
      <c r="T55" s="419"/>
      <c r="U55" s="419"/>
      <c r="V55" s="419"/>
      <c r="W55" s="419"/>
      <c r="X55" s="419"/>
      <c r="Y55" s="419"/>
      <c r="Z55" s="419"/>
      <c r="AA55" s="419"/>
      <c r="AB55" s="1363"/>
      <c r="AC55" s="419"/>
      <c r="AD55" s="419"/>
      <c r="AE55" s="419"/>
      <c r="AF55" s="419"/>
      <c r="AG55" s="419"/>
      <c r="AH55" s="419"/>
      <c r="AI55" s="419"/>
      <c r="AJ55" s="419"/>
      <c r="AK55" s="419"/>
      <c r="AL55" s="419"/>
      <c r="AM55" s="419"/>
      <c r="AN55" s="419"/>
      <c r="AO55" s="419"/>
      <c r="AP55" s="419"/>
      <c r="AQ55" s="419"/>
      <c r="AR55" s="419"/>
      <c r="AS55" s="419"/>
      <c r="AT55" s="419"/>
      <c r="AU55" s="419"/>
      <c r="AV55" s="419"/>
      <c r="AW55" s="287">
        <v>0</v>
      </c>
    </row>
    <row r="56" ht="20.5" customHeight="1" spans="3:49" x14ac:dyDescent="0.25">
      <c r="C56" s="1335">
        <v>53</v>
      </c>
      <c r="D56" s="2466">
        <v>42273</v>
      </c>
      <c r="E56" s="2473" t="s">
        <v>2271</v>
      </c>
      <c r="F56" s="26" t="s">
        <v>866</v>
      </c>
      <c r="G56" s="287" t="s">
        <v>2266</v>
      </c>
      <c r="H56" s="287"/>
      <c r="I56" s="287"/>
      <c r="J56" s="287"/>
      <c r="K56" s="287"/>
      <c r="L56" s="287"/>
      <c r="M56" s="1362">
        <v>0.18412751259012028</v>
      </c>
      <c r="N56" s="419">
        <v>0.16657824595487689</v>
      </c>
      <c r="O56" s="419">
        <v>0.19359545261144043</v>
      </c>
      <c r="P56" s="419">
        <v>0.19506713300983194</v>
      </c>
      <c r="Q56" s="419">
        <v>0.2020416637977403</v>
      </c>
      <c r="R56" s="419">
        <v>0.14326863278604252</v>
      </c>
      <c r="S56" s="419">
        <v>0.1651910723114471</v>
      </c>
      <c r="T56" s="419">
        <v>0.16321802239003</v>
      </c>
      <c r="U56" s="419">
        <v>0.20207922619394944</v>
      </c>
      <c r="V56" s="419">
        <v>0.18389806125704877</v>
      </c>
      <c r="W56" s="419">
        <v>0.20264786951092276</v>
      </c>
      <c r="X56" s="419">
        <v>0.19705594455935252</v>
      </c>
      <c r="Y56" s="419">
        <v>0.1740097060853261</v>
      </c>
      <c r="Z56" s="419">
        <v>0.1377101234752192</v>
      </c>
      <c r="AA56" s="419">
        <v>0.21351385469365744</v>
      </c>
      <c r="AB56" s="1363">
        <v>0.20520344296820808</v>
      </c>
      <c r="AC56" s="419">
        <v>0.1409021032969884</v>
      </c>
      <c r="AD56" s="419">
        <v>0.13960655154257318</v>
      </c>
      <c r="AE56" s="419">
        <v>0.15683633272810615</v>
      </c>
      <c r="AF56" s="419">
        <v>0.15097764346053008</v>
      </c>
      <c r="AG56" s="419">
        <v>0.14629069204646922</v>
      </c>
      <c r="AH56" s="419">
        <v>0.14254113091522053</v>
      </c>
      <c r="AI56" s="419">
        <v>0.13954148201022157</v>
      </c>
      <c r="AJ56" s="419">
        <v>0.1371417628862224</v>
      </c>
      <c r="AK56" s="419">
        <v>0.13522198758702306</v>
      </c>
      <c r="AL56" s="419">
        <v>0.1336861673476636</v>
      </c>
      <c r="AM56" s="419">
        <v>0.13245751115617602</v>
      </c>
      <c r="AN56" s="419">
        <v>0.13147458620298597</v>
      </c>
      <c r="AO56" s="419">
        <v>0.13068824624043393</v>
      </c>
      <c r="AP56" s="419">
        <v>0.1300591742703923</v>
      </c>
      <c r="AQ56" s="419">
        <v>0.12955591669435898</v>
      </c>
      <c r="AR56" s="419">
        <v>0.12915331063353233</v>
      </c>
      <c r="AS56" s="419">
        <v>0.12883122578487102</v>
      </c>
      <c r="AT56" s="419">
        <v>0.12857355790594197</v>
      </c>
      <c r="AU56" s="419">
        <v>0.1283674236027987</v>
      </c>
      <c r="AV56" s="419">
        <v>0.1282025161602841</v>
      </c>
      <c r="AW56" s="910" t="s">
        <v>2271</v>
      </c>
    </row>
    <row r="57" ht="17.5" customHeight="1" spans="3:49" x14ac:dyDescent="0.25">
      <c r="C57" s="1335">
        <v>54</v>
      </c>
      <c r="D57" s="1387">
        <v>42034</v>
      </c>
      <c r="E57" s="1349" t="s">
        <v>936</v>
      </c>
      <c r="F57" s="26" t="s">
        <v>866</v>
      </c>
      <c r="G57" s="287" t="s">
        <v>1620</v>
      </c>
      <c r="H57" s="287"/>
      <c r="I57" s="287"/>
      <c r="J57" s="287"/>
      <c r="K57" s="287"/>
      <c r="L57" s="287"/>
      <c r="M57" s="1371">
        <v>1</v>
      </c>
      <c r="N57" s="419">
        <v>1.037</v>
      </c>
      <c r="O57" s="419">
        <v>1.031815</v>
      </c>
      <c r="P57" s="419">
        <v>1.0514194849999998</v>
      </c>
      <c r="Q57" s="419">
        <v>1.1691784673199999</v>
      </c>
      <c r="R57" s="419">
        <v>1.2802504217153998</v>
      </c>
      <c r="S57" s="419">
        <v>1.3340209394274467</v>
      </c>
      <c r="T57" s="419">
        <v>1.4714250961884736</v>
      </c>
      <c r="U57" s="419">
        <v>1.6568246583082211</v>
      </c>
      <c r="V57" s="419">
        <v>1.8523299679885914</v>
      </c>
      <c r="W57" s="419">
        <v>1.9727314159078497</v>
      </c>
      <c r="X57" s="419">
        <v>2.1167408092691224</v>
      </c>
      <c r="Y57" s="419">
        <v>2.2500954802530773</v>
      </c>
      <c r="Z57" s="419">
        <v>2.2635960531345956</v>
      </c>
      <c r="AA57" s="419">
        <v>2.1572070386372695</v>
      </c>
      <c r="AB57" s="1363">
        <v>2.3082115313418785</v>
      </c>
      <c r="AC57" s="419">
        <v>2.315136165935904</v>
      </c>
      <c r="AD57" s="419">
        <v>2.3406026637611985</v>
      </c>
      <c r="AE57" s="419">
        <v>2.448270386294214</v>
      </c>
      <c r="AF57" s="419">
        <v>2.44582211590792</v>
      </c>
      <c r="AG57" s="419">
        <v>2.443</v>
      </c>
      <c r="AH57" s="419">
        <v>2.44</v>
      </c>
      <c r="AI57" s="419">
        <v>2.44</v>
      </c>
      <c r="AJ57" s="419">
        <v>2.4499999999999997</v>
      </c>
      <c r="AK57" s="419">
        <v>2.4599999999999995</v>
      </c>
      <c r="AL57" s="419">
        <v>2.4699999999999993</v>
      </c>
      <c r="AM57" s="419">
        <v>2.479999999999999</v>
      </c>
      <c r="AN57" s="419">
        <v>2.489999999999999</v>
      </c>
      <c r="AO57" s="419">
        <v>2.4999999999999987</v>
      </c>
      <c r="AP57" s="419">
        <v>2.5099999999999985</v>
      </c>
      <c r="AQ57" s="419">
        <v>2.5199999999999982</v>
      </c>
      <c r="AR57" s="419">
        <v>2.529999999999998</v>
      </c>
      <c r="AS57" s="419">
        <v>2.539999999999998</v>
      </c>
      <c r="AT57" s="419">
        <v>2.5499999999999976</v>
      </c>
      <c r="AU57" s="419">
        <v>2.5599999999999974</v>
      </c>
      <c r="AV57" s="419">
        <v>2.569999999999997</v>
      </c>
      <c r="AW57" s="910" t="s">
        <v>936</v>
      </c>
    </row>
    <row r="58" ht="17.5" customHeight="1" spans="3:49" x14ac:dyDescent="0.25">
      <c r="C58" s="1335">
        <v>55</v>
      </c>
      <c r="D58" s="2474"/>
      <c r="E58" s="1349" t="s">
        <v>1621</v>
      </c>
      <c r="F58" s="26" t="s">
        <v>277</v>
      </c>
      <c r="G58" s="287" t="s">
        <v>928</v>
      </c>
      <c r="H58" s="287"/>
      <c r="I58" s="287"/>
      <c r="J58" s="287"/>
      <c r="K58" s="287"/>
      <c r="L58" s="287"/>
      <c r="M58" s="1368">
        <v>418.4685</v>
      </c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W58" s="287" t="s">
        <v>1621</v>
      </c>
    </row>
    <row r="59" ht="17.5" customHeight="1" spans="3:49" x14ac:dyDescent="0.25">
      <c r="C59" s="1335">
        <v>56</v>
      </c>
      <c r="D59" s="2474"/>
      <c r="E59" s="1349" t="s">
        <v>24</v>
      </c>
      <c r="F59" s="26" t="s">
        <v>277</v>
      </c>
      <c r="G59" s="287" t="s">
        <v>952</v>
      </c>
      <c r="H59" s="287"/>
      <c r="I59" s="287"/>
      <c r="J59" s="287"/>
      <c r="K59" s="2475">
        <v>392.2955639834661</v>
      </c>
      <c r="L59" s="1726">
        <v>296.96774193548384</v>
      </c>
      <c r="M59" s="1726">
        <v>266.974</v>
      </c>
      <c r="N59" s="1351">
        <v>375.958</v>
      </c>
      <c r="O59" s="1351">
        <v>408.797</v>
      </c>
      <c r="P59" s="1351">
        <v>407.086</v>
      </c>
      <c r="Q59" s="1351">
        <v>670.439</v>
      </c>
      <c r="R59" s="1351">
        <v>1165.234</v>
      </c>
      <c r="S59" s="1351">
        <v>1504.7</v>
      </c>
      <c r="T59" s="1351">
        <v>1762.4</v>
      </c>
      <c r="U59" s="1351"/>
      <c r="V59" s="1351"/>
      <c r="W59" s="1351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W59" s="287" t="s">
        <v>24</v>
      </c>
    </row>
    <row r="60" ht="17.5" customHeight="1" spans="3:49" x14ac:dyDescent="0.25">
      <c r="C60" s="1335">
        <v>57</v>
      </c>
      <c r="D60" s="2474"/>
      <c r="E60" s="1349" t="s">
        <v>116</v>
      </c>
      <c r="F60" s="26" t="s">
        <v>277</v>
      </c>
      <c r="G60" s="287" t="s">
        <v>1622</v>
      </c>
      <c r="H60" s="287"/>
      <c r="I60" s="287"/>
      <c r="J60" s="287"/>
      <c r="K60" s="287"/>
      <c r="L60" s="1352">
        <v>610.838</v>
      </c>
      <c r="M60" s="1368">
        <v>1428.5209000000002</v>
      </c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W60" s="287" t="s">
        <v>116</v>
      </c>
    </row>
    <row r="61" ht="17.5" customHeight="1" spans="3:49" x14ac:dyDescent="0.25">
      <c r="C61" s="1335">
        <v>58</v>
      </c>
      <c r="D61" s="1387">
        <v>40880</v>
      </c>
      <c r="E61" s="1349" t="s">
        <v>312</v>
      </c>
      <c r="F61" s="26" t="s">
        <v>277</v>
      </c>
      <c r="G61" s="287" t="s">
        <v>1623</v>
      </c>
      <c r="H61" s="287"/>
      <c r="I61" s="287"/>
      <c r="J61" s="287"/>
      <c r="K61" s="287"/>
      <c r="L61" s="287"/>
      <c r="M61" s="1371">
        <v>0</v>
      </c>
      <c r="N61" s="1351">
        <v>11.9298</v>
      </c>
      <c r="O61" s="1351">
        <v>0</v>
      </c>
      <c r="P61" s="1351">
        <v>56.9411</v>
      </c>
      <c r="Q61" s="1351">
        <v>0</v>
      </c>
      <c r="R61" s="1351">
        <v>0</v>
      </c>
      <c r="S61" s="1351">
        <v>-40.0226</v>
      </c>
      <c r="T61" s="1351">
        <v>-1.707</v>
      </c>
      <c r="U61" s="1351">
        <v>-107.4624</v>
      </c>
      <c r="V61" s="1351">
        <v>-96.1435</v>
      </c>
      <c r="W61" s="1351">
        <v>-126.0953</v>
      </c>
      <c r="X61" s="1351">
        <v>-17.1794</v>
      </c>
      <c r="Y61" s="1351">
        <v>378.2842</v>
      </c>
      <c r="Z61" s="1351">
        <v>-605.3455</v>
      </c>
      <c r="AA61" s="1351">
        <v>-694.862</v>
      </c>
      <c r="AB61" s="1351">
        <v>-418.459</v>
      </c>
      <c r="AC61" s="1351">
        <v>-321.144</v>
      </c>
      <c r="AD61" s="1351">
        <v>-745.13</v>
      </c>
      <c r="AE61" s="1351">
        <v>-794.27</v>
      </c>
      <c r="AF61" s="1351">
        <v>-470.98</v>
      </c>
      <c r="AG61" s="1351">
        <v>0</v>
      </c>
      <c r="AH61" s="1351">
        <v>0</v>
      </c>
      <c r="AI61" s="1351">
        <v>0</v>
      </c>
      <c r="AJ61" s="1351">
        <v>0</v>
      </c>
      <c r="AK61" s="1351">
        <v>0</v>
      </c>
      <c r="AL61" s="1351">
        <v>0</v>
      </c>
      <c r="AM61" s="1351">
        <v>0</v>
      </c>
      <c r="AN61" s="1351">
        <v>0</v>
      </c>
      <c r="AO61" s="1351">
        <v>0</v>
      </c>
      <c r="AP61" s="1351">
        <v>0</v>
      </c>
      <c r="AQ61" s="1351">
        <v>0</v>
      </c>
      <c r="AR61" s="1351">
        <v>0</v>
      </c>
      <c r="AS61" s="1351">
        <v>0</v>
      </c>
      <c r="AT61" s="1351">
        <v>0</v>
      </c>
      <c r="AU61" s="1351">
        <v>0</v>
      </c>
      <c r="AV61" s="1351">
        <v>0</v>
      </c>
      <c r="AW61" s="287" t="s">
        <v>312</v>
      </c>
    </row>
    <row r="62" ht="17.5" customHeight="1" spans="3:49" x14ac:dyDescent="0.25">
      <c r="C62" s="1335">
        <v>59</v>
      </c>
      <c r="D62" s="2476">
        <v>42018</v>
      </c>
      <c r="E62" s="1729" t="s">
        <v>1631</v>
      </c>
      <c r="F62" s="692" t="s">
        <v>866</v>
      </c>
      <c r="G62" s="1501" t="s">
        <v>1625</v>
      </c>
      <c r="H62" s="1501"/>
      <c r="I62" s="1501"/>
      <c r="J62" s="1501"/>
      <c r="K62" s="287"/>
      <c r="L62" s="287"/>
      <c r="M62" s="1662">
        <v>0</v>
      </c>
      <c r="N62" s="419">
        <v>-1.1516836355032743e-16</v>
      </c>
      <c r="O62" s="419">
        <v>-1.1357826780111186e-16</v>
      </c>
      <c r="P62" s="419">
        <v>-1.1993481288396183e-16</v>
      </c>
      <c r="Q62" s="419">
        <v>-1.12720688800716e-16</v>
      </c>
      <c r="R62" s="419">
        <v>2.0494670691039277e-16</v>
      </c>
      <c r="S62" s="419">
        <v>0</v>
      </c>
      <c r="T62" s="419">
        <v>0</v>
      </c>
      <c r="U62" s="419">
        <v>0</v>
      </c>
      <c r="V62" s="419">
        <v>-1.6191871158680822e-16</v>
      </c>
      <c r="W62" s="419">
        <v>0</v>
      </c>
      <c r="X62" s="419">
        <v>-2.8129249577294936e-16</v>
      </c>
      <c r="Y62" s="419">
        <v>-2.592557564727644e-16</v>
      </c>
      <c r="Z62" s="419">
        <v>-1.232204165745078e-16</v>
      </c>
      <c r="AA62" s="419">
        <v>-1.3378981169870552e-16</v>
      </c>
      <c r="AB62" s="419">
        <v>-1.2802852794134502e-16</v>
      </c>
      <c r="AC62" s="419">
        <v>-1.2275026648259352e-16</v>
      </c>
      <c r="AD62" s="419">
        <v>-3.5614197238663486e-16</v>
      </c>
      <c r="AE62" s="419">
        <v>0</v>
      </c>
      <c r="AF62" s="419">
        <v>0</v>
      </c>
      <c r="AG62" s="419">
        <v>0</v>
      </c>
      <c r="AH62" s="419">
        <v>0</v>
      </c>
      <c r="AI62" s="419">
        <v>0</v>
      </c>
      <c r="AJ62" s="419">
        <v>0</v>
      </c>
      <c r="AK62" s="419">
        <v>0</v>
      </c>
      <c r="AL62" s="419">
        <v>0</v>
      </c>
      <c r="AM62" s="419">
        <v>0</v>
      </c>
      <c r="AN62" s="419">
        <v>0</v>
      </c>
      <c r="AO62" s="419">
        <v>0</v>
      </c>
      <c r="AP62" s="419">
        <v>0</v>
      </c>
      <c r="AQ62" s="419">
        <v>0</v>
      </c>
      <c r="AR62" s="419">
        <v>0</v>
      </c>
      <c r="AS62" s="419">
        <v>0</v>
      </c>
      <c r="AT62" s="419">
        <v>0</v>
      </c>
      <c r="AU62" s="419">
        <v>0</v>
      </c>
      <c r="AV62" s="419">
        <v>0</v>
      </c>
      <c r="AW62" s="287" t="s">
        <v>1631</v>
      </c>
    </row>
    <row r="63" ht="15.5" customHeight="1" spans="11:49" x14ac:dyDescent="0.25">
      <c r="K63" s="1731">
        <v>1993</v>
      </c>
      <c r="L63" s="1437">
        <v>1994</v>
      </c>
      <c r="M63" s="1436">
        <v>1995</v>
      </c>
      <c r="N63" s="1437">
        <v>1996</v>
      </c>
      <c r="O63" s="1437">
        <v>1997</v>
      </c>
      <c r="P63" s="1437">
        <v>1998</v>
      </c>
      <c r="Q63" s="1437">
        <v>1999</v>
      </c>
      <c r="R63" s="1437">
        <v>2000</v>
      </c>
      <c r="S63" s="1437">
        <v>2001</v>
      </c>
      <c r="T63" s="1437">
        <v>2002</v>
      </c>
      <c r="U63" s="1437">
        <v>2003</v>
      </c>
      <c r="V63" s="1437">
        <v>2004</v>
      </c>
      <c r="W63" s="1437">
        <v>2005</v>
      </c>
      <c r="X63" s="1437">
        <v>2006</v>
      </c>
      <c r="Y63" s="1437">
        <v>2007</v>
      </c>
      <c r="Z63" s="1437">
        <v>2008</v>
      </c>
      <c r="AA63" s="1437">
        <v>2009</v>
      </c>
      <c r="AB63" s="1437">
        <v>2010</v>
      </c>
      <c r="AC63" s="1437">
        <v>2011</v>
      </c>
      <c r="AD63" s="1437">
        <v>2012</v>
      </c>
      <c r="AE63" s="1437">
        <v>2013</v>
      </c>
      <c r="AF63" s="1437">
        <v>2014</v>
      </c>
      <c r="AG63" s="1437">
        <v>2015</v>
      </c>
      <c r="AH63" s="1437">
        <v>2016</v>
      </c>
      <c r="AI63" s="1437">
        <v>2017</v>
      </c>
      <c r="AJ63" s="1437">
        <v>2018</v>
      </c>
      <c r="AK63" s="1437">
        <v>2019</v>
      </c>
      <c r="AL63" s="1437">
        <v>2020</v>
      </c>
      <c r="AM63" s="1437">
        <v>2021</v>
      </c>
      <c r="AN63" s="1437">
        <v>2022</v>
      </c>
      <c r="AO63" s="1437">
        <v>2023</v>
      </c>
      <c r="AP63" s="1437">
        <v>2024</v>
      </c>
      <c r="AQ63" s="1438">
        <v>2025</v>
      </c>
      <c r="AR63" s="1437">
        <v>2026</v>
      </c>
      <c r="AS63" s="1438">
        <v>2027</v>
      </c>
      <c r="AT63" s="1437">
        <v>2028</v>
      </c>
      <c r="AU63" s="1438">
        <v>2029</v>
      </c>
      <c r="AV63" s="1437">
        <v>2030</v>
      </c>
      <c r="AW63" s="287">
        <v>0</v>
      </c>
    </row>
    <row r="65" ht="15" customHeight="1" x14ac:dyDescent="0.25"/>
    <row r="66" ht="18" customHeight="1" spans="3:49" x14ac:dyDescent="0.25">
      <c r="C66" s="1323" t="s">
        <v>520</v>
      </c>
      <c r="D66" s="1324">
        <v>42309</v>
      </c>
      <c r="E66" s="1325" t="s">
        <v>1626</v>
      </c>
      <c r="F66" s="1326"/>
      <c r="G66" s="1326"/>
      <c r="H66" s="1326"/>
      <c r="I66" s="1326"/>
      <c r="J66" s="1326"/>
      <c r="K66" s="1326"/>
      <c r="L66" s="1327"/>
      <c r="M66" s="1714" t="s">
        <v>1004</v>
      </c>
      <c r="N66" s="1329" t="s">
        <v>1565</v>
      </c>
      <c r="O66" s="1329" t="s">
        <v>1006</v>
      </c>
      <c r="P66" s="1329" t="s">
        <v>1007</v>
      </c>
      <c r="Q66" s="1329" t="s">
        <v>1008</v>
      </c>
      <c r="R66" s="1329" t="s">
        <v>1006</v>
      </c>
      <c r="S66" s="1329"/>
      <c r="T66" s="1329"/>
      <c r="U66" s="1329"/>
      <c r="V66" s="1329"/>
      <c r="W66" s="1329"/>
      <c r="X66" s="1329"/>
      <c r="Y66" s="1329"/>
      <c r="Z66" s="1329"/>
      <c r="AA66" s="1329"/>
      <c r="AB66" s="1715" t="s">
        <v>1566</v>
      </c>
      <c r="AC66" s="1330" t="s">
        <v>1567</v>
      </c>
      <c r="AD66" s="1330" t="s">
        <v>1565</v>
      </c>
      <c r="AE66" s="1330" t="s">
        <v>1568</v>
      </c>
      <c r="AF66" s="1330" t="s">
        <v>1569</v>
      </c>
      <c r="AG66" s="1330" t="s">
        <v>1565</v>
      </c>
      <c r="AH66" s="1330" t="s">
        <v>1570</v>
      </c>
      <c r="AI66" s="1330"/>
      <c r="AJ66" s="1330"/>
      <c r="AK66" s="1330"/>
      <c r="AL66" s="1330"/>
      <c r="AM66" s="1330"/>
      <c r="AN66" s="1330"/>
      <c r="AO66" s="1330"/>
      <c r="AP66" s="1330"/>
      <c r="AQ66" s="1330"/>
      <c r="AR66" s="1330"/>
      <c r="AS66" s="1330"/>
      <c r="AT66" s="1330"/>
      <c r="AU66" s="1330"/>
      <c r="AV66" s="1330"/>
      <c r="AW66" s="1332"/>
    </row>
    <row r="67" ht="16.25" customHeight="1" spans="3:49" x14ac:dyDescent="0.25">
      <c r="C67" s="1335"/>
      <c r="D67" s="1336" t="s">
        <v>1011</v>
      </c>
      <c r="E67" s="1716"/>
      <c r="F67" s="1393"/>
      <c r="G67" s="1717" t="s">
        <v>1571</v>
      </c>
      <c r="H67" s="1442"/>
      <c r="I67" s="1442"/>
      <c r="J67" s="1442"/>
      <c r="K67" s="1442"/>
      <c r="L67" s="1100"/>
      <c r="M67" s="1718">
        <v>1995</v>
      </c>
      <c r="N67" s="1437">
        <v>1996</v>
      </c>
      <c r="O67" s="1437">
        <v>1997</v>
      </c>
      <c r="P67" s="1437">
        <v>1998</v>
      </c>
      <c r="Q67" s="1437">
        <v>1999</v>
      </c>
      <c r="R67" s="1437">
        <v>2000</v>
      </c>
      <c r="S67" s="1437">
        <v>2001</v>
      </c>
      <c r="T67" s="1437">
        <v>2002</v>
      </c>
      <c r="U67" s="1437">
        <v>2003</v>
      </c>
      <c r="V67" s="1437">
        <v>2004</v>
      </c>
      <c r="W67" s="1437">
        <v>2005</v>
      </c>
      <c r="X67" s="1437">
        <v>2006</v>
      </c>
      <c r="Y67" s="1437">
        <v>2007</v>
      </c>
      <c r="Z67" s="1437">
        <v>2008</v>
      </c>
      <c r="AA67" s="1437">
        <v>2009</v>
      </c>
      <c r="AB67" s="1437">
        <v>2010</v>
      </c>
      <c r="AC67" s="1437">
        <v>2011</v>
      </c>
      <c r="AD67" s="1437">
        <v>2012</v>
      </c>
      <c r="AE67" s="1437">
        <v>2013</v>
      </c>
      <c r="AF67" s="1437">
        <v>2014</v>
      </c>
      <c r="AG67" s="1437">
        <v>2015</v>
      </c>
      <c r="AH67" s="1437">
        <v>2016</v>
      </c>
      <c r="AI67" s="1437">
        <v>2017</v>
      </c>
      <c r="AJ67" s="1437">
        <v>2018</v>
      </c>
      <c r="AK67" s="1437">
        <v>2019</v>
      </c>
      <c r="AL67" s="1437">
        <v>2020</v>
      </c>
      <c r="AM67" s="1437">
        <v>2021</v>
      </c>
      <c r="AN67" s="1437">
        <v>2022</v>
      </c>
      <c r="AO67" s="1437">
        <v>2023</v>
      </c>
      <c r="AP67" s="1437">
        <v>2024</v>
      </c>
      <c r="AQ67" s="1437">
        <v>2025</v>
      </c>
      <c r="AR67" s="1437">
        <v>2026</v>
      </c>
      <c r="AS67" s="1437">
        <v>2027</v>
      </c>
      <c r="AT67" s="1437">
        <v>2028</v>
      </c>
      <c r="AU67" s="1437">
        <v>2029</v>
      </c>
      <c r="AV67" s="1437">
        <v>2030</v>
      </c>
      <c r="AW67" s="1344"/>
    </row>
    <row r="68" ht="17.5" customHeight="1" spans="3:49" x14ac:dyDescent="0.25">
      <c r="C68" s="1335">
        <v>1</v>
      </c>
      <c r="D68" s="1348">
        <v>42309</v>
      </c>
      <c r="E68" s="1349" t="s">
        <v>361</v>
      </c>
      <c r="F68" s="26" t="s">
        <v>1015</v>
      </c>
      <c r="G68" s="287" t="s">
        <v>1538</v>
      </c>
      <c r="H68" s="287"/>
      <c r="I68" s="287"/>
      <c r="J68" s="287"/>
      <c r="K68" s="287"/>
      <c r="L68" s="287"/>
      <c r="M68" s="1581">
        <v>148.3</v>
      </c>
      <c r="N68" s="1351">
        <f>СЧЁТ!P6</f>
        <v>148.291638</v>
      </c>
      <c r="O68" s="1351">
        <f>СЧЁТ!Q6</f>
        <v>148.028613</v>
      </c>
      <c r="P68" s="1351">
        <f>СЧЁТ!R6</f>
        <v>147.802133</v>
      </c>
      <c r="Q68" s="1351">
        <f>СЧЁТ!S6</f>
        <v>147.539426</v>
      </c>
      <c r="R68" s="1351">
        <f>СЧЁТ!T6</f>
        <v>146.890128</v>
      </c>
      <c r="S68" s="1351">
        <f>СЧЁТ!U6</f>
        <v>146.303611</v>
      </c>
      <c r="T68" s="1351">
        <f>СЧЁТ!V6</f>
        <v>145.166731</v>
      </c>
      <c r="U68" s="1351">
        <f>СЧЁТ!W6</f>
        <v>144.96365</v>
      </c>
      <c r="V68" s="1351">
        <f>СЧЁТ!X6</f>
        <v>144.168205</v>
      </c>
      <c r="W68" s="1351">
        <f>СЧЁТ!Y6</f>
        <v>143.474219</v>
      </c>
      <c r="X68" s="1351">
        <f>СЧЁТ!Z6</f>
        <v>142.753551</v>
      </c>
      <c r="Y68" s="1351">
        <f>СЧЁТ!AA6</f>
        <v>142.220968</v>
      </c>
      <c r="Z68" s="1351">
        <f>СЧЁТ!AB6</f>
        <v>142.008838</v>
      </c>
      <c r="AA68" s="1351">
        <f>СЧЁТ!AC6</f>
        <v>141.903979</v>
      </c>
      <c r="AB68" s="1351">
        <f>СЧЁТ!AD6</f>
        <v>142.856536</v>
      </c>
      <c r="AC68" s="1351">
        <f>СЧЁТ!AE6</f>
        <v>142.865433</v>
      </c>
      <c r="AD68" s="1351">
        <f>СЧЁТ!AF6</f>
        <v>143.056383</v>
      </c>
      <c r="AE68" s="1351">
        <f>СЧЁТ!AG6</f>
        <v>143.347059</v>
      </c>
      <c r="AF68" s="1351">
        <f>СЧЁТ!AH6</f>
        <v>143.666931</v>
      </c>
      <c r="AG68" s="1351">
        <f>СЧЁТ!AI6</f>
        <v>146.267288</v>
      </c>
      <c r="AH68" s="1351">
        <f>СЧЁТ!AJ6</f>
        <v>146.54471</v>
      </c>
      <c r="AI68" s="1351">
        <f>СЧЁТ!AK6</f>
        <v>146.804372</v>
      </c>
      <c r="AJ68" s="1351">
        <f>СЧЁТ!AL6</f>
        <v>146.880432</v>
      </c>
      <c r="AK68" s="1351">
        <f>СЧЁТ!AM6</f>
        <v>146.745098</v>
      </c>
      <c r="AL68" s="1351">
        <f>СЧЁТ!AN6</f>
        <v>146.7</v>
      </c>
      <c r="AM68" s="1351">
        <f>СЧЁТ!AO6</f>
        <v>146.64</v>
      </c>
      <c r="AN68" s="1351">
        <f>СЧЁТ!AP6</f>
        <v>146.55999999999997</v>
      </c>
      <c r="AO68" s="1351">
        <f>СЧЁТ!AQ6</f>
        <v>146.43999999999997</v>
      </c>
      <c r="AP68" s="1351">
        <f>СЧЁТ!AR6</f>
        <v>146.31999999999996</v>
      </c>
      <c r="AQ68" s="1351">
        <f>СЧЁТ!AS6</f>
        <v>146.15999999999997</v>
      </c>
      <c r="AR68" s="1351">
        <f>СЧЁТ!AT6</f>
        <v>145.99999999999997</v>
      </c>
      <c r="AS68" s="1351">
        <f>СЧЁТ!AU6</f>
        <v>145.83999999999997</v>
      </c>
      <c r="AT68" s="1351">
        <f>СЧЁТ!AV6</f>
        <v>145.67999999999998</v>
      </c>
      <c r="AU68" s="1351">
        <f>СЧЁТ!AW6</f>
        <v>145.49999999999997</v>
      </c>
      <c r="AV68" s="1351">
        <f>СЧЁТ!AX6</f>
        <v>145.31999999999996</v>
      </c>
      <c r="AW68" s="287" t="s">
        <v>361</v>
      </c>
    </row>
    <row r="69" ht="17.5" customHeight="1" spans="3:49" x14ac:dyDescent="0.25">
      <c r="C69" s="1335">
        <v>2</v>
      </c>
      <c r="D69" s="1348">
        <v>42309</v>
      </c>
      <c r="E69" s="1349" t="s">
        <v>1018</v>
      </c>
      <c r="F69" s="26" t="s">
        <v>866</v>
      </c>
      <c r="G69" s="287" t="s">
        <v>1572</v>
      </c>
      <c r="H69" s="287"/>
      <c r="I69" s="287"/>
      <c r="J69" s="287"/>
      <c r="K69" s="287"/>
      <c r="L69" s="287"/>
      <c r="M69" s="1362">
        <v>0.4770060687795009</v>
      </c>
      <c r="N69" s="1372">
        <f>СЧЁТ!P7</f>
        <v>0.4697235333782872</v>
      </c>
      <c r="O69" s="1372">
        <f>СЧЁТ!Q7</f>
        <v>0.4599932432432432</v>
      </c>
      <c r="P69" s="1372">
        <f>СЧЁТ!R7</f>
        <v>0.45560893098782135</v>
      </c>
      <c r="Q69" s="1372">
        <f>СЧЁТ!S7</f>
        <v>0.4893220338983051</v>
      </c>
      <c r="R69" s="1372">
        <f>СЧЁТ!T7</f>
        <v>0.49740259740259735</v>
      </c>
      <c r="S69" s="1372">
        <f>СЧЁТ!U7</f>
        <v>0.48901602143482065</v>
      </c>
      <c r="T69" s="1372">
        <f>СЧЁТ!V7</f>
        <v>0.49842942756767933</v>
      </c>
      <c r="U69" s="1372">
        <f>СЧЁТ!W7</f>
        <v>0.5011997226074896</v>
      </c>
      <c r="V69" s="1372">
        <f>СЧЁТ!X7</f>
        <v>0.5086062717770035</v>
      </c>
      <c r="W69" s="1372">
        <f>СЧЁТ!Y7</f>
        <v>0.5152731092436975</v>
      </c>
      <c r="X69" s="1372">
        <f>СЧЁТ!Z7</f>
        <v>0.5233403656821378</v>
      </c>
      <c r="Y69" s="1372">
        <f>СЧЁТ!AA7</f>
        <v>0.5302042253521126</v>
      </c>
      <c r="Z69" s="1372">
        <f>СЧЁТ!AB7</f>
        <v>0.5334742776603242</v>
      </c>
      <c r="AA69" s="1372">
        <f>СЧЁТ!AC7</f>
        <v>0.5334319943622269</v>
      </c>
      <c r="AB69" s="1372">
        <f>СЧЁТ!AD7</f>
        <v>0.5283482444233423</v>
      </c>
      <c r="AC69" s="1372">
        <f>СЧЁТ!AE7</f>
        <v>0.5304222190682052</v>
      </c>
      <c r="AD69" s="1372">
        <f>СЧЁТ!AF7</f>
        <v>0.5282951967267339</v>
      </c>
      <c r="AE69" s="1372">
        <f>СЧЁТ!AG7</f>
        <v>0.526896055816534</v>
      </c>
      <c r="AF69" s="1372">
        <f>СЧЁТ!AH7</f>
        <v>0.5250199156826145</v>
      </c>
      <c r="AG69" s="1372">
        <f>СЧЁТ!AI7</f>
        <v>0.5236167365050208</v>
      </c>
      <c r="AH69" s="1372">
        <f>СЧЁТ!AJ7</f>
        <v>0.5229530291472138</v>
      </c>
      <c r="AI69" s="1372">
        <f>СЧЁТ!AK7</f>
        <v>0.5184382383380244</v>
      </c>
      <c r="AJ69" s="1372">
        <f>СЧЁТ!AL7</f>
        <v>0.5194701497065313</v>
      </c>
      <c r="AK69" s="1372">
        <f>СЧЁТ!AM7</f>
        <v>0.5172234100794291</v>
      </c>
      <c r="AL69" s="1372">
        <f>СЧЁТ!AN7</f>
        <v>0.5167234100794291</v>
      </c>
      <c r="AM69" s="1372">
        <f>СЧЁТ!AO7</f>
        <v>0.5162234100794292</v>
      </c>
      <c r="AN69" s="1372">
        <f>СЧЁТ!AP7</f>
        <v>0.5157234100794292</v>
      </c>
      <c r="AO69" s="1372">
        <f>СЧЁТ!AQ7</f>
        <v>0.5152234100794293</v>
      </c>
      <c r="AP69" s="1372">
        <f>СЧЁТ!AR7</f>
        <v>0.5147234100794293</v>
      </c>
      <c r="AQ69" s="1372">
        <f>СЧЁТ!AS7</f>
        <v>0.5142234100794294</v>
      </c>
      <c r="AR69" s="1372">
        <f>СЧЁТ!AT7</f>
        <v>0.5137234100794295</v>
      </c>
      <c r="AS69" s="1372">
        <f>СЧЁТ!AU7</f>
        <v>0.5132234100794295</v>
      </c>
      <c r="AT69" s="1372">
        <f>СЧЁТ!AV7</f>
        <v>0.5127234100794296</v>
      </c>
      <c r="AU69" s="1372">
        <f>СЧЁТ!AW7</f>
        <v>0.5122234100794296</v>
      </c>
      <c r="AV69" s="1372">
        <f>СЧЁТ!AX7</f>
        <v>0.5117234100794297</v>
      </c>
      <c r="AW69" s="287" t="s">
        <v>1018</v>
      </c>
    </row>
    <row r="70" ht="17.5" customHeight="1" spans="3:49" x14ac:dyDescent="0.25">
      <c r="C70" s="1335">
        <v>3</v>
      </c>
      <c r="D70" s="1348">
        <v>42309</v>
      </c>
      <c r="E70" s="1349" t="s">
        <v>1437</v>
      </c>
      <c r="F70" s="26" t="s">
        <v>866</v>
      </c>
      <c r="G70" s="287" t="s">
        <v>2263</v>
      </c>
      <c r="H70" s="287"/>
      <c r="I70" s="287"/>
      <c r="J70" s="287"/>
      <c r="K70" s="287"/>
      <c r="L70" s="287"/>
      <c r="M70" s="1362">
        <v>0.18688841024307026</v>
      </c>
      <c r="N70" s="1372">
        <f>СЧЁТ!P8</f>
        <v>69.66</v>
      </c>
      <c r="O70" s="1372">
        <f>СЧЁТ!Q8</f>
        <v>68.079</v>
      </c>
      <c r="P70" s="1372">
        <f>СЧЁТ!R8</f>
        <v>67.339</v>
      </c>
      <c r="Q70" s="1372">
        <f>СЧЁТ!S8</f>
        <v>72.175</v>
      </c>
      <c r="R70" s="1372">
        <f>СЧЁТ!T8</f>
        <v>72.77</v>
      </c>
      <c r="S70" s="1372">
        <f>СЧЁТ!U8</f>
        <v>71.545</v>
      </c>
      <c r="T70" s="1372">
        <f>СЧЁТ!V8</f>
        <v>72.357</v>
      </c>
      <c r="U70" s="1372">
        <f>СЧЁТ!W8</f>
        <v>72.273</v>
      </c>
      <c r="V70" s="1372">
        <f>СЧЁТ!X8</f>
        <v>72.985</v>
      </c>
      <c r="W70" s="1372">
        <f>СЧЁТ!Y8</f>
        <v>73.581</v>
      </c>
      <c r="X70" s="1372">
        <f>СЧЁТ!Z8</f>
        <v>74.419</v>
      </c>
      <c r="Y70" s="1372">
        <f>СЧЁТ!AA8</f>
        <v>75.289</v>
      </c>
      <c r="Z70" s="1372">
        <f>СЧЁТ!AB8</f>
        <v>75.7</v>
      </c>
      <c r="AA70" s="1372">
        <f>СЧЁТ!AC8</f>
        <v>75.694</v>
      </c>
      <c r="AB70" s="1372">
        <f>СЧЁТ!AD8</f>
        <v>75.478</v>
      </c>
      <c r="AC70" s="1372">
        <f>СЧЁТ!AE8</f>
        <v>75.779</v>
      </c>
      <c r="AD70" s="1372">
        <f>СЧЁТ!AF8</f>
        <v>75.576</v>
      </c>
      <c r="AE70" s="1372">
        <f>СЧЁТ!AG8</f>
        <v>75.529</v>
      </c>
      <c r="AF70" s="1372">
        <f>СЧЁТ!AH8</f>
        <v>75.428</v>
      </c>
      <c r="AG70" s="1372">
        <f>СЧЁТ!AI8</f>
        <v>76.588</v>
      </c>
      <c r="AH70" s="1372">
        <f>СЧЁТ!AJ8</f>
        <v>76.636</v>
      </c>
      <c r="AI70" s="1372">
        <f>СЧЁТ!AK8</f>
        <v>76.109</v>
      </c>
      <c r="AJ70" s="1372">
        <f>СЧЁТ!AL8</f>
        <v>76.3</v>
      </c>
      <c r="AK70" s="1372">
        <f>СЧЁТ!AM8</f>
        <v>75.9</v>
      </c>
      <c r="AL70" s="1372">
        <f>СЧЁТ!AN8</f>
        <v>77.751</v>
      </c>
      <c r="AM70" s="1372">
        <f>СЧЁТ!AO8</f>
        <v>77.7192</v>
      </c>
      <c r="AN70" s="1372">
        <f>СЧЁТ!AP8</f>
        <v>77.67679999999999</v>
      </c>
      <c r="AO70" s="1372">
        <f>СЧЁТ!AQ8</f>
        <v>77.61319999999999</v>
      </c>
      <c r="AP70" s="1372">
        <f>СЧЁТ!AR8</f>
        <v>77.54959999999998</v>
      </c>
      <c r="AQ70" s="1372">
        <f>СЧЁТ!AS8</f>
        <v>77.46479999999998</v>
      </c>
      <c r="AR70" s="1372">
        <f>СЧЁТ!AT8</f>
        <v>77.38</v>
      </c>
      <c r="AS70" s="1372">
        <f>СЧЁТ!AU8</f>
        <v>77.2952</v>
      </c>
      <c r="AT70" s="1372">
        <f>СЧЁТ!AV8</f>
        <v>77.21039999999999</v>
      </c>
      <c r="AU70" s="1372">
        <f>СЧЁТ!AW8</f>
        <v>77.115</v>
      </c>
      <c r="AV70" s="1372">
        <f>СЧЁТ!AX8</f>
        <v>77.01959999999998</v>
      </c>
      <c r="AW70" s="287" t="s">
        <v>1437</v>
      </c>
    </row>
    <row r="71" ht="17.5" customHeight="1" spans="3:49" x14ac:dyDescent="0.25">
      <c r="C71" s="1335">
        <v>4</v>
      </c>
      <c r="D71" s="1348">
        <v>40635</v>
      </c>
      <c r="E71" s="1349" t="s">
        <v>438</v>
      </c>
      <c r="F71" s="26" t="s">
        <v>1015</v>
      </c>
      <c r="G71" s="287" t="s">
        <v>1574</v>
      </c>
      <c r="H71" s="287"/>
      <c r="I71" s="287"/>
      <c r="J71" s="287"/>
      <c r="K71" s="287"/>
      <c r="L71" s="287"/>
      <c r="M71" s="1371"/>
      <c r="N71" s="1372">
        <f>СЧЁТ!P9</f>
        <v>11.9298</v>
      </c>
      <c r="O71" s="1351">
        <f>СЧЁТ!Q9</f>
        <v>0</v>
      </c>
      <c r="P71" s="1351">
        <f>СЧЁТ!R9</f>
        <v>56.9411</v>
      </c>
      <c r="Q71" s="1351">
        <f>СЧЁТ!S9</f>
        <v>0</v>
      </c>
      <c r="R71" s="1351">
        <f>СЧЁТ!T9</f>
        <v>0</v>
      </c>
      <c r="S71" s="1351">
        <f>СЧЁТ!U9</f>
        <v>-40.0226</v>
      </c>
      <c r="T71" s="1351">
        <f>СЧЁТ!V9</f>
        <v>-1.707</v>
      </c>
      <c r="U71" s="1351">
        <f>СЧЁТ!W9</f>
        <v>-107.4624</v>
      </c>
      <c r="V71" s="1351">
        <f>СЧЁТ!X9</f>
        <v>-96.1435</v>
      </c>
      <c r="W71" s="1351">
        <f>СЧЁТ!Y9</f>
        <v>-126.0953</v>
      </c>
      <c r="X71" s="1351">
        <f>СЧЁТ!Z9</f>
        <v>-17.1794</v>
      </c>
      <c r="Y71" s="1351">
        <f>СЧЁТ!AA9</f>
        <v>378.2842</v>
      </c>
      <c r="Z71" s="1351">
        <f>СЧЁТ!AB9</f>
        <v>-605.3455</v>
      </c>
      <c r="AA71" s="1351">
        <f>СЧЁТ!AC9</f>
        <v>-694.862</v>
      </c>
      <c r="AB71" s="1351">
        <f>СЧЁТ!AD9</f>
        <v>-418.459</v>
      </c>
      <c r="AC71" s="1351">
        <f>СЧЁТ!AE9</f>
        <v>0</v>
      </c>
      <c r="AD71" s="1351">
        <f>СЧЁТ!AF9</f>
        <v>0</v>
      </c>
      <c r="AE71" s="1351">
        <f>СЧЁТ!AG9</f>
        <v>0</v>
      </c>
      <c r="AF71" s="1351">
        <f>СЧЁТ!AH9</f>
        <v>-317.8</v>
      </c>
      <c r="AG71" s="1351">
        <f>СЧЁТ!AI9</f>
        <v>-450.2</v>
      </c>
      <c r="AH71" s="1351">
        <f>СЧЁТ!AJ9</f>
        <v>-67.02</v>
      </c>
      <c r="AI71" s="1351">
        <f>СЧЁТ!AK9</f>
        <v>0</v>
      </c>
      <c r="AJ71" s="1351">
        <f>СЧЁТ!AL9</f>
        <v>0</v>
      </c>
      <c r="AK71" s="1351">
        <f>СЧЁТ!AM9</f>
        <v>0</v>
      </c>
      <c r="AL71" s="1351">
        <f>СЧЁТ!AN9</f>
        <v>0</v>
      </c>
      <c r="AM71" s="1351">
        <f>СЧЁТ!AO9</f>
        <v>0</v>
      </c>
      <c r="AN71" s="1351">
        <f>СЧЁТ!AP9</f>
        <v>0</v>
      </c>
      <c r="AO71" s="1351">
        <f>СЧЁТ!AQ9</f>
        <v>0</v>
      </c>
      <c r="AP71" s="1351">
        <f>СЧЁТ!AR9</f>
        <v>0</v>
      </c>
      <c r="AQ71" s="1351">
        <f>СЧЁТ!AS9</f>
        <v>0</v>
      </c>
      <c r="AR71" s="1351">
        <f>СЧЁТ!AT9</f>
        <v>0</v>
      </c>
      <c r="AS71" s="1351">
        <f>СЧЁТ!AU9</f>
        <v>0</v>
      </c>
      <c r="AT71" s="1351">
        <f>СЧЁТ!AV9</f>
        <v>0</v>
      </c>
      <c r="AU71" s="1351">
        <f>СЧЁТ!AW9</f>
        <v>0</v>
      </c>
      <c r="AV71" s="1351">
        <f>СЧЁТ!AX9</f>
        <v>0</v>
      </c>
      <c r="AW71" s="287" t="s">
        <v>438</v>
      </c>
    </row>
    <row r="72" ht="17.5" customHeight="1" spans="3:49" x14ac:dyDescent="0.25">
      <c r="C72" s="1335">
        <v>5</v>
      </c>
      <c r="D72" s="1348">
        <v>40873</v>
      </c>
      <c r="E72" s="1349" t="s">
        <v>1575</v>
      </c>
      <c r="F72" s="26" t="s">
        <v>277</v>
      </c>
      <c r="G72" s="287" t="s">
        <v>1576</v>
      </c>
      <c r="H72" s="287"/>
      <c r="I72" s="287"/>
      <c r="J72" s="287"/>
      <c r="K72" s="287"/>
      <c r="L72" s="287"/>
      <c r="M72" s="1386">
        <v>5182.04</v>
      </c>
      <c r="N72" s="419" t="e">
        <f>СЧЁТ!#REF!</f>
        <v>#REF!</v>
      </c>
      <c r="O72" s="419" t="e">
        <f>СЧЁТ!#REF!</f>
        <v>#REF!</v>
      </c>
      <c r="P72" s="419" t="e">
        <f>СЧЁТ!#REF!</f>
        <v>#REF!</v>
      </c>
      <c r="Q72" s="419" t="e">
        <f>СЧЁТ!#REF!</f>
        <v>#REF!</v>
      </c>
      <c r="R72" s="419" t="e">
        <f>СЧЁТ!#REF!</f>
        <v>#REF!</v>
      </c>
      <c r="S72" s="419" t="e">
        <f>СЧЁТ!#REF!</f>
        <v>#REF!</v>
      </c>
      <c r="T72" s="419" t="e">
        <f>СЧЁТ!#REF!</f>
        <v>#REF!</v>
      </c>
      <c r="U72" s="419" t="e">
        <f>СЧЁТ!#REF!</f>
        <v>#REF!</v>
      </c>
      <c r="V72" s="419" t="e">
        <f>СЧЁТ!#REF!</f>
        <v>#REF!</v>
      </c>
      <c r="W72" s="419" t="e">
        <f>СЧЁТ!#REF!</f>
        <v>#REF!</v>
      </c>
      <c r="X72" s="419" t="e">
        <f>СЧЁТ!#REF!</f>
        <v>#REF!</v>
      </c>
      <c r="Y72" s="419" t="e">
        <f>СЧЁТ!#REF!</f>
        <v>#REF!</v>
      </c>
      <c r="Z72" s="419" t="e">
        <f>СЧЁТ!#REF!</f>
        <v>#REF!</v>
      </c>
      <c r="AA72" s="419" t="e">
        <f>СЧЁТ!#REF!</f>
        <v>#REF!</v>
      </c>
      <c r="AB72" s="419" t="e">
        <f>СЧЁТ!#REF!</f>
        <v>#REF!</v>
      </c>
      <c r="AC72" s="419" t="e">
        <f>СЧЁТ!#REF!</f>
        <v>#REF!</v>
      </c>
      <c r="AD72" s="419" t="e">
        <f>СЧЁТ!#REF!</f>
        <v>#REF!</v>
      </c>
      <c r="AE72" s="419" t="e">
        <f>СЧЁТ!#REF!</f>
        <v>#REF!</v>
      </c>
      <c r="AF72" s="419" t="e">
        <f>СЧЁТ!#REF!</f>
        <v>#REF!</v>
      </c>
      <c r="AG72" s="419" t="e">
        <f>СЧЁТ!#REF!</f>
        <v>#REF!</v>
      </c>
      <c r="AH72" s="419" t="e">
        <f>СЧЁТ!#REF!</f>
        <v>#REF!</v>
      </c>
      <c r="AI72" s="419" t="e">
        <f>СЧЁТ!#REF!</f>
        <v>#REF!</v>
      </c>
      <c r="AJ72" s="419" t="e">
        <f>СЧЁТ!#REF!</f>
        <v>#REF!</v>
      </c>
      <c r="AK72" s="419" t="e">
        <f>СЧЁТ!#REF!</f>
        <v>#REF!</v>
      </c>
      <c r="AL72" s="419" t="e">
        <f>СЧЁТ!#REF!</f>
        <v>#REF!</v>
      </c>
      <c r="AM72" s="419" t="e">
        <f>СЧЁТ!#REF!</f>
        <v>#REF!</v>
      </c>
      <c r="AN72" s="419" t="e">
        <f>СЧЁТ!#REF!</f>
        <v>#REF!</v>
      </c>
      <c r="AO72" s="419" t="e">
        <f>СЧЁТ!#REF!</f>
        <v>#REF!</v>
      </c>
      <c r="AP72" s="419" t="e">
        <f>СЧЁТ!#REF!</f>
        <v>#REF!</v>
      </c>
      <c r="AQ72" s="419" t="e">
        <f>СЧЁТ!#REF!</f>
        <v>#REF!</v>
      </c>
      <c r="AR72" s="419" t="e">
        <f>СЧЁТ!#REF!</f>
        <v>#REF!</v>
      </c>
      <c r="AS72" s="419" t="e">
        <f>СЧЁТ!#REF!</f>
        <v>#REF!</v>
      </c>
      <c r="AT72" s="419" t="e">
        <f>СЧЁТ!#REF!</f>
        <v>#REF!</v>
      </c>
      <c r="AU72" s="419" t="e">
        <f>СЧЁТ!#REF!</f>
        <v>#REF!</v>
      </c>
      <c r="AV72" s="419" t="e">
        <f>СЧЁТ!#REF!</f>
        <v>#REF!</v>
      </c>
      <c r="AW72" s="287" t="s">
        <v>1575</v>
      </c>
    </row>
    <row r="73" ht="17.5" customHeight="1" spans="3:49" x14ac:dyDescent="0.25">
      <c r="C73" s="1335">
        <v>6</v>
      </c>
      <c r="D73" s="1387">
        <v>42309</v>
      </c>
      <c r="E73" s="1349" t="s">
        <v>989</v>
      </c>
      <c r="F73" s="26" t="s">
        <v>866</v>
      </c>
      <c r="G73" s="287" t="s">
        <v>1577</v>
      </c>
      <c r="H73" s="287"/>
      <c r="I73" s="287"/>
      <c r="J73" s="287"/>
      <c r="K73" s="287"/>
      <c r="L73" s="287"/>
      <c r="M73" s="1362">
        <v>0.5033850497134363</v>
      </c>
      <c r="N73" s="419" t="e">
        <f>СЧЁТ!#REF!</f>
        <v>#REF!</v>
      </c>
      <c r="O73" s="419" t="e">
        <f>СЧЁТ!#REF!</f>
        <v>#REF!</v>
      </c>
      <c r="P73" s="419" t="e">
        <f>СЧЁТ!#REF!</f>
        <v>#REF!</v>
      </c>
      <c r="Q73" s="419" t="e">
        <f>СЧЁТ!#REF!</f>
        <v>#REF!</v>
      </c>
      <c r="R73" s="419" t="e">
        <f>СЧЁТ!#REF!</f>
        <v>#REF!</v>
      </c>
      <c r="S73" s="419" t="e">
        <f>СЧЁТ!#REF!</f>
        <v>#REF!</v>
      </c>
      <c r="T73" s="419" t="e">
        <f>СЧЁТ!#REF!</f>
        <v>#REF!</v>
      </c>
      <c r="U73" s="419" t="e">
        <f>СЧЁТ!#REF!</f>
        <v>#REF!</v>
      </c>
      <c r="V73" s="419" t="e">
        <f>СЧЁТ!#REF!</f>
        <v>#REF!</v>
      </c>
      <c r="W73" s="419" t="e">
        <f>СЧЁТ!#REF!</f>
        <v>#REF!</v>
      </c>
      <c r="X73" s="419" t="e">
        <f>СЧЁТ!#REF!</f>
        <v>#REF!</v>
      </c>
      <c r="Y73" s="419" t="e">
        <f>СЧЁТ!#REF!</f>
        <v>#REF!</v>
      </c>
      <c r="Z73" s="419" t="e">
        <f>СЧЁТ!#REF!</f>
        <v>#REF!</v>
      </c>
      <c r="AA73" s="419" t="e">
        <f>СЧЁТ!#REF!</f>
        <v>#REF!</v>
      </c>
      <c r="AB73" s="419" t="e">
        <f>СЧЁТ!#REF!</f>
        <v>#REF!</v>
      </c>
      <c r="AC73" s="419" t="e">
        <f>СЧЁТ!#REF!</f>
        <v>#REF!</v>
      </c>
      <c r="AD73" s="419" t="e">
        <f>СЧЁТ!#REF!</f>
        <v>#REF!</v>
      </c>
      <c r="AE73" s="419" t="e">
        <f>СЧЁТ!#REF!</f>
        <v>#REF!</v>
      </c>
      <c r="AF73" s="419" t="e">
        <f>СЧЁТ!#REF!</f>
        <v>#REF!</v>
      </c>
      <c r="AG73" s="419" t="e">
        <f>СЧЁТ!#REF!</f>
        <v>#REF!</v>
      </c>
      <c r="AH73" s="419" t="e">
        <f>СЧЁТ!#REF!</f>
        <v>#REF!</v>
      </c>
      <c r="AI73" s="419" t="e">
        <f>СЧЁТ!#REF!</f>
        <v>#REF!</v>
      </c>
      <c r="AJ73" s="419" t="e">
        <f>СЧЁТ!#REF!</f>
        <v>#REF!</v>
      </c>
      <c r="AK73" s="419" t="e">
        <f>СЧЁТ!#REF!</f>
        <v>#REF!</v>
      </c>
      <c r="AL73" s="419" t="e">
        <f>СЧЁТ!#REF!</f>
        <v>#REF!</v>
      </c>
      <c r="AM73" s="419" t="e">
        <f>СЧЁТ!#REF!</f>
        <v>#REF!</v>
      </c>
      <c r="AN73" s="419" t="e">
        <f>СЧЁТ!#REF!</f>
        <v>#REF!</v>
      </c>
      <c r="AO73" s="419" t="e">
        <f>СЧЁТ!#REF!</f>
        <v>#REF!</v>
      </c>
      <c r="AP73" s="419" t="e">
        <f>СЧЁТ!#REF!</f>
        <v>#REF!</v>
      </c>
      <c r="AQ73" s="419" t="e">
        <f>СЧЁТ!#REF!</f>
        <v>#REF!</v>
      </c>
      <c r="AR73" s="419" t="e">
        <f>СЧЁТ!#REF!</f>
        <v>#REF!</v>
      </c>
      <c r="AS73" s="419" t="e">
        <f>СЧЁТ!#REF!</f>
        <v>#REF!</v>
      </c>
      <c r="AT73" s="419" t="e">
        <f>СЧЁТ!#REF!</f>
        <v>#REF!</v>
      </c>
      <c r="AU73" s="419" t="e">
        <f>СЧЁТ!#REF!</f>
        <v>#REF!</v>
      </c>
      <c r="AV73" s="419" t="e">
        <f>СЧЁТ!#REF!</f>
        <v>#REF!</v>
      </c>
      <c r="AW73" s="287" t="s">
        <v>989</v>
      </c>
    </row>
    <row r="74" ht="17.5" customHeight="1" spans="3:49" x14ac:dyDescent="0.25">
      <c r="C74" s="1335">
        <v>7</v>
      </c>
      <c r="D74" s="1387">
        <v>42309</v>
      </c>
      <c r="E74" s="1349" t="s">
        <v>355</v>
      </c>
      <c r="F74" s="26" t="s">
        <v>866</v>
      </c>
      <c r="G74" s="287" t="s">
        <v>1578</v>
      </c>
      <c r="H74" s="287"/>
      <c r="I74" s="287"/>
      <c r="J74" s="287"/>
      <c r="K74" s="287"/>
      <c r="L74" s="287"/>
      <c r="M74" s="1362">
        <v>0.5033850497134363</v>
      </c>
      <c r="N74" s="419">
        <f>СЧЁТ!P10</f>
        <v>0.5074724155594162</v>
      </c>
      <c r="O74" s="419">
        <f>СЧЁТ!Q10</f>
        <v>0.5074724155594164</v>
      </c>
      <c r="P74" s="419">
        <f>СЧЁТ!R10</f>
        <v>0.5085104083611879</v>
      </c>
      <c r="Q74" s="419">
        <f>СЧЁТ!S10</f>
        <v>0.5057231327942381</v>
      </c>
      <c r="R74" s="419">
        <f>СЧЁТ!T10</f>
        <v>0.5030122907437494</v>
      </c>
      <c r="S74" s="419">
        <f>СЧЁТ!U10</f>
        <v>0.5020647450635659</v>
      </c>
      <c r="T74" s="419">
        <f>СЧЁТ!V10</f>
        <v>0.5006338966298406</v>
      </c>
      <c r="U74" s="419">
        <f>СЧЁТ!W10</f>
        <v>0.5020261813046646</v>
      </c>
      <c r="V74" s="419">
        <f>СЧЁТ!X10</f>
        <v>0.5057148762579633</v>
      </c>
      <c r="W74" s="419">
        <f>СЧЁТ!Y10</f>
        <v>0.502441464842453</v>
      </c>
      <c r="X74" s="419">
        <f>СЧЁТ!Z10</f>
        <v>0.5056397290721157</v>
      </c>
      <c r="Y74" s="419">
        <f>СЧЁТ!AA10</f>
        <v>0.5070028548191596</v>
      </c>
      <c r="Z74" s="419">
        <f>СЧЁТ!AB10</f>
        <v>0.5060638126378627</v>
      </c>
      <c r="AA74" s="419">
        <f>СЧЁТ!AC10</f>
        <v>0.5087308546862543</v>
      </c>
      <c r="AB74" s="419">
        <f>СЧЁТ!AD10</f>
        <v>0.5110702315687009</v>
      </c>
      <c r="AC74" s="419">
        <f>СЧЁТ!AE10</f>
        <v>0.5110702315687009</v>
      </c>
      <c r="AD74" s="419">
        <f>СЧЁТ!AF10</f>
        <v>0.5122189032468178</v>
      </c>
      <c r="AE74" s="419">
        <f>СЧЁТ!AG10</f>
        <v>0.5137221170238432</v>
      </c>
      <c r="AF74" s="419">
        <f>СЧЁТ!AH10</f>
        <v>0.5140183182736008</v>
      </c>
      <c r="AG74" s="419">
        <f>СЧЁТ!AI10</f>
        <v>0.5189421448361783</v>
      </c>
      <c r="AH74" s="419">
        <f>СЧЁТ!AJ10</f>
        <v>0.523220327342576</v>
      </c>
      <c r="AI74" s="419">
        <f>СЧЁТ!AK10</f>
        <v>0.5274066854439582</v>
      </c>
      <c r="AJ74" s="419">
        <f>СЧЁТ!AL10</f>
        <v>0.5283288187406529</v>
      </c>
      <c r="AK74" s="419">
        <f>СЧЁТ!AM10</f>
        <v>0.5293288187406529</v>
      </c>
      <c r="AL74" s="419">
        <f>СЧЁТ!AN10</f>
        <v>0.5303288187406529</v>
      </c>
      <c r="AM74" s="419">
        <f>СЧЁТ!AO10</f>
        <v>0.5313288187406529</v>
      </c>
      <c r="AN74" s="419">
        <f>СЧЁТ!AP10</f>
        <v>0.5323288187406529</v>
      </c>
      <c r="AO74" s="419">
        <f>СЧЁТ!AQ10</f>
        <v>0.5333288187406529</v>
      </c>
      <c r="AP74" s="419">
        <f>СЧЁТ!AR10</f>
        <v>0.5343288187406529</v>
      </c>
      <c r="AQ74" s="419">
        <f>СЧЁТ!AS10</f>
        <v>0.5353288187406529</v>
      </c>
      <c r="AR74" s="419">
        <f>СЧЁТ!AT10</f>
        <v>0.5363288187406529</v>
      </c>
      <c r="AS74" s="419">
        <f>СЧЁТ!AU10</f>
        <v>0.5373288187406529</v>
      </c>
      <c r="AT74" s="419">
        <f>СЧЁТ!AV10</f>
        <v>0.5383288187406529</v>
      </c>
      <c r="AU74" s="419">
        <f>СЧЁТ!AW10</f>
        <v>0.5393288187406529</v>
      </c>
      <c r="AV74" s="419">
        <f>СЧЁТ!AX10</f>
        <v>0.5403288187406529</v>
      </c>
      <c r="AW74" s="287" t="s">
        <v>355</v>
      </c>
    </row>
    <row r="75" ht="17.5" customHeight="1" spans="3:49" x14ac:dyDescent="0.25">
      <c r="C75" s="1335">
        <v>8</v>
      </c>
      <c r="D75" s="1387">
        <v>42309</v>
      </c>
      <c r="E75" s="1349" t="s">
        <v>358</v>
      </c>
      <c r="F75" s="26" t="s">
        <v>866</v>
      </c>
      <c r="G75" s="287" t="s">
        <v>1579</v>
      </c>
      <c r="H75" s="287"/>
      <c r="I75" s="287"/>
      <c r="J75" s="287"/>
      <c r="K75" s="287"/>
      <c r="L75" s="287"/>
      <c r="M75" s="1362">
        <v>1.0000000000000002</v>
      </c>
      <c r="N75" s="419">
        <f>СЧЁТ!P13</f>
        <v>0.13929134853086492</v>
      </c>
      <c r="O75" s="419">
        <f>СЧЁТ!Q13</f>
        <v>0.1379176665926907</v>
      </c>
      <c r="P75" s="419">
        <f>СЧЁТ!R13</f>
        <v>0.12004214183937038</v>
      </c>
      <c r="Q75" s="419">
        <f>СЧЁТ!S13</f>
        <v>0.09417294681160435</v>
      </c>
      <c r="R75" s="419">
        <f>СЧЁТ!T13</f>
        <v>0.11397164678113725</v>
      </c>
      <c r="S75" s="419">
        <f>СЧЁТ!U13</f>
        <v>0.12896505693918964</v>
      </c>
      <c r="T75" s="419">
        <f>СЧЁТ!V13</f>
        <v>0.14156509123784608</v>
      </c>
      <c r="U75" s="419">
        <f>СЧЁТ!W13</f>
        <v>0.15432700002044</v>
      </c>
      <c r="V75" s="419">
        <f>СЧЁТ!X13</f>
        <v>0.17618999169000235</v>
      </c>
      <c r="W75" s="419">
        <f>СЧЁТ!Y13</f>
        <v>0.19435906368074052</v>
      </c>
      <c r="X75" s="419">
        <f>СЧЁТ!Z13</f>
        <v>0.2164899396186761</v>
      </c>
      <c r="Y75" s="419">
        <f>СЧЁТ!AA13</f>
        <v>0.2511124115797511</v>
      </c>
      <c r="Z75" s="419">
        <f>СЧЁТ!AB13</f>
        <v>0.27454956999386115</v>
      </c>
      <c r="AA75" s="419">
        <f>СЧЁТ!AC13</f>
        <v>0.20635691222000796</v>
      </c>
      <c r="AB75" s="419">
        <f>СЧЁТ!AD13</f>
        <v>0.2472352338788286</v>
      </c>
      <c r="AC75" s="419">
        <f>СЧЁТ!AE13</f>
        <v>0.2851620195169998</v>
      </c>
      <c r="AD75" s="419">
        <f>СЧЁТ!AF13</f>
        <v>0.3010805923100566</v>
      </c>
      <c r="AE75" s="419">
        <f>СЧЁТ!AG13</f>
        <v>0.3052090235464335</v>
      </c>
      <c r="AF75" s="419">
        <f>СЧЁТ!AH13</f>
        <v>0.2806832984400236</v>
      </c>
      <c r="AG75" s="419">
        <f>СЧЁТ!AI13</f>
        <v>0.21300080094384774</v>
      </c>
      <c r="AH75" s="419">
        <f>СЧЁТ!AJ13</f>
        <v>0.20289799615599724</v>
      </c>
      <c r="AI75" s="419">
        <f>СЧЁТ!AK13</f>
        <v>0.23239243657282024</v>
      </c>
      <c r="AJ75" s="419">
        <f>СЧЁТ!AL13</f>
        <v>0.23284588522954772</v>
      </c>
      <c r="AK75" s="419">
        <f>СЧЁТ!AM13</f>
        <v>0.23384588522954772</v>
      </c>
      <c r="AL75" s="419">
        <f>СЧЁТ!AN13</f>
        <v>0.23484588522954772</v>
      </c>
      <c r="AM75" s="419">
        <f>СЧЁТ!AO13</f>
        <v>0.23584588522954772</v>
      </c>
      <c r="AN75" s="419">
        <f>СЧЁТ!AP13</f>
        <v>0.23684588522954772</v>
      </c>
      <c r="AO75" s="419">
        <f>СЧЁТ!AQ13</f>
        <v>0.23784588522954772</v>
      </c>
      <c r="AP75" s="419">
        <f>СЧЁТ!AR13</f>
        <v>0.23884588522954772</v>
      </c>
      <c r="AQ75" s="419">
        <f>СЧЁТ!AS13</f>
        <v>0.23984588522954772</v>
      </c>
      <c r="AR75" s="419">
        <f>СЧЁТ!AT13</f>
        <v>0.24084588522954772</v>
      </c>
      <c r="AS75" s="419">
        <f>СЧЁТ!AU13</f>
        <v>0.24184588522954772</v>
      </c>
      <c r="AT75" s="419">
        <f>СЧЁТ!AV13</f>
        <v>0.24284588522954773</v>
      </c>
      <c r="AU75" s="419">
        <f>СЧЁТ!AW13</f>
        <v>0.24384588522954773</v>
      </c>
      <c r="AV75" s="419">
        <f>СЧЁТ!AX13</f>
        <v>0.24484588522954773</v>
      </c>
      <c r="AW75" s="287" t="s">
        <v>358</v>
      </c>
    </row>
    <row r="76" ht="17.5" customHeight="1" spans="3:49" x14ac:dyDescent="0.25">
      <c r="C76" s="1335">
        <v>9</v>
      </c>
      <c r="D76" s="1387"/>
      <c r="E76" s="1349"/>
      <c r="F76" s="26"/>
      <c r="G76" s="287"/>
      <c r="H76" s="287"/>
      <c r="I76" s="287"/>
      <c r="J76" s="287"/>
      <c r="K76" s="287"/>
      <c r="L76" s="287"/>
      <c r="M76" s="1362">
        <v>1</v>
      </c>
      <c r="N76" s="419" t="e">
        <f>СЧЁТ!#REF!</f>
        <v>#REF!</v>
      </c>
      <c r="O76" s="419" t="e">
        <f>СЧЁТ!#REF!</f>
        <v>#REF!</v>
      </c>
      <c r="P76" s="419" t="e">
        <f>СЧЁТ!#REF!</f>
        <v>#REF!</v>
      </c>
      <c r="Q76" s="419" t="e">
        <f>СЧЁТ!#REF!</f>
        <v>#REF!</v>
      </c>
      <c r="R76" s="419" t="e">
        <f>СЧЁТ!#REF!</f>
        <v>#REF!</v>
      </c>
      <c r="S76" s="419" t="e">
        <f>СЧЁТ!#REF!</f>
        <v>#REF!</v>
      </c>
      <c r="T76" s="419" t="e">
        <f>СЧЁТ!#REF!</f>
        <v>#REF!</v>
      </c>
      <c r="U76" s="419" t="e">
        <f>СЧЁТ!#REF!</f>
        <v>#REF!</v>
      </c>
      <c r="V76" s="419" t="e">
        <f>СЧЁТ!#REF!</f>
        <v>#REF!</v>
      </c>
      <c r="W76" s="419" t="e">
        <f>СЧЁТ!#REF!</f>
        <v>#REF!</v>
      </c>
      <c r="X76" s="419" t="e">
        <f>СЧЁТ!#REF!</f>
        <v>#REF!</v>
      </c>
      <c r="Y76" s="419" t="e">
        <f>СЧЁТ!#REF!</f>
        <v>#REF!</v>
      </c>
      <c r="Z76" s="419" t="e">
        <f>СЧЁТ!#REF!</f>
        <v>#REF!</v>
      </c>
      <c r="AA76" s="419" t="e">
        <f>СЧЁТ!#REF!</f>
        <v>#REF!</v>
      </c>
      <c r="AB76" s="419" t="e">
        <f>СЧЁТ!#REF!</f>
        <v>#REF!</v>
      </c>
      <c r="AC76" s="419" t="e">
        <f>СЧЁТ!#REF!</f>
        <v>#REF!</v>
      </c>
      <c r="AD76" s="419" t="e">
        <f>СЧЁТ!#REF!</f>
        <v>#REF!</v>
      </c>
      <c r="AE76" s="419" t="e">
        <f>СЧЁТ!#REF!</f>
        <v>#REF!</v>
      </c>
      <c r="AF76" s="419" t="e">
        <f>СЧЁТ!#REF!</f>
        <v>#REF!</v>
      </c>
      <c r="AG76" s="419" t="e">
        <f>СЧЁТ!#REF!</f>
        <v>#REF!</v>
      </c>
      <c r="AH76" s="419" t="e">
        <f>СЧЁТ!#REF!</f>
        <v>#REF!</v>
      </c>
      <c r="AI76" s="419" t="e">
        <f>СЧЁТ!#REF!</f>
        <v>#REF!</v>
      </c>
      <c r="AJ76" s="419" t="e">
        <f>СЧЁТ!#REF!</f>
        <v>#REF!</v>
      </c>
      <c r="AK76" s="419" t="e">
        <f>СЧЁТ!#REF!</f>
        <v>#REF!</v>
      </c>
      <c r="AL76" s="419" t="e">
        <f>СЧЁТ!#REF!</f>
        <v>#REF!</v>
      </c>
      <c r="AM76" s="419" t="e">
        <f>СЧЁТ!#REF!</f>
        <v>#REF!</v>
      </c>
      <c r="AN76" s="419" t="e">
        <f>СЧЁТ!#REF!</f>
        <v>#REF!</v>
      </c>
      <c r="AO76" s="419" t="e">
        <f>СЧЁТ!#REF!</f>
        <v>#REF!</v>
      </c>
      <c r="AP76" s="419" t="e">
        <f>СЧЁТ!#REF!</f>
        <v>#REF!</v>
      </c>
      <c r="AQ76" s="419" t="e">
        <f>СЧЁТ!#REF!</f>
        <v>#REF!</v>
      </c>
      <c r="AR76" s="419" t="e">
        <f>СЧЁТ!#REF!</f>
        <v>#REF!</v>
      </c>
      <c r="AS76" s="419" t="e">
        <f>СЧЁТ!#REF!</f>
        <v>#REF!</v>
      </c>
      <c r="AT76" s="419" t="e">
        <f>СЧЁТ!#REF!</f>
        <v>#REF!</v>
      </c>
      <c r="AU76" s="419" t="e">
        <f>СЧЁТ!#REF!</f>
        <v>#REF!</v>
      </c>
      <c r="AV76" s="419" t="e">
        <f>СЧЁТ!#REF!</f>
        <v>#REF!</v>
      </c>
      <c r="AW76" s="287">
        <v>0</v>
      </c>
    </row>
    <row r="77" ht="17.5" customHeight="1" spans="3:49" x14ac:dyDescent="0.25">
      <c r="C77" s="1335">
        <v>10</v>
      </c>
      <c r="D77" s="1348">
        <v>42309</v>
      </c>
      <c r="E77" s="1349" t="s">
        <v>596</v>
      </c>
      <c r="F77" s="26" t="s">
        <v>1627</v>
      </c>
      <c r="G77" s="287" t="s">
        <v>1582</v>
      </c>
      <c r="H77" s="287"/>
      <c r="I77" s="287"/>
      <c r="J77" s="287"/>
      <c r="K77" s="287"/>
      <c r="L77" s="287"/>
      <c r="M77" s="1368">
        <v>43.206939348996954</v>
      </c>
      <c r="N77" s="419" t="e">
        <f>СЧЁТ!#REF!</f>
        <v>#REF!</v>
      </c>
      <c r="O77" s="419" t="e">
        <f>СЧЁТ!#REF!</f>
        <v>#REF!</v>
      </c>
      <c r="P77" s="419" t="e">
        <f>СЧЁТ!#REF!</f>
        <v>#REF!</v>
      </c>
      <c r="Q77" s="419" t="e">
        <f>СЧЁТ!#REF!</f>
        <v>#REF!</v>
      </c>
      <c r="R77" s="419" t="e">
        <f>СЧЁТ!#REF!</f>
        <v>#REF!</v>
      </c>
      <c r="S77" s="419" t="e">
        <f>СЧЁТ!#REF!</f>
        <v>#REF!</v>
      </c>
      <c r="T77" s="419" t="e">
        <f>СЧЁТ!#REF!</f>
        <v>#REF!</v>
      </c>
      <c r="U77" s="419" t="e">
        <f>СЧЁТ!#REF!</f>
        <v>#REF!</v>
      </c>
      <c r="V77" s="419" t="e">
        <f>СЧЁТ!#REF!</f>
        <v>#REF!</v>
      </c>
      <c r="W77" s="419" t="e">
        <f>СЧЁТ!#REF!</f>
        <v>#REF!</v>
      </c>
      <c r="X77" s="419" t="e">
        <f>СЧЁТ!#REF!</f>
        <v>#REF!</v>
      </c>
      <c r="Y77" s="419" t="e">
        <f>СЧЁТ!#REF!</f>
        <v>#REF!</v>
      </c>
      <c r="Z77" s="419" t="e">
        <f>СЧЁТ!#REF!</f>
        <v>#REF!</v>
      </c>
      <c r="AA77" s="419" t="e">
        <f>СЧЁТ!#REF!</f>
        <v>#REF!</v>
      </c>
      <c r="AB77" s="419" t="e">
        <f>СЧЁТ!#REF!</f>
        <v>#REF!</v>
      </c>
      <c r="AC77" s="419" t="e">
        <f>СЧЁТ!#REF!</f>
        <v>#REF!</v>
      </c>
      <c r="AD77" s="419" t="e">
        <f>СЧЁТ!#REF!</f>
        <v>#REF!</v>
      </c>
      <c r="AE77" s="419" t="e">
        <f>СЧЁТ!#REF!</f>
        <v>#REF!</v>
      </c>
      <c r="AF77" s="419" t="e">
        <f>СЧЁТ!#REF!</f>
        <v>#REF!</v>
      </c>
      <c r="AG77" s="419" t="e">
        <f>СЧЁТ!#REF!</f>
        <v>#REF!</v>
      </c>
      <c r="AH77" s="419" t="e">
        <f>СЧЁТ!#REF!</f>
        <v>#REF!</v>
      </c>
      <c r="AI77" s="419" t="e">
        <f>СЧЁТ!#REF!</f>
        <v>#REF!</v>
      </c>
      <c r="AJ77" s="419" t="e">
        <f>СЧЁТ!#REF!</f>
        <v>#REF!</v>
      </c>
      <c r="AK77" s="419" t="e">
        <f>СЧЁТ!#REF!</f>
        <v>#REF!</v>
      </c>
      <c r="AL77" s="419" t="e">
        <f>СЧЁТ!#REF!</f>
        <v>#REF!</v>
      </c>
      <c r="AM77" s="419" t="e">
        <f>СЧЁТ!#REF!</f>
        <v>#REF!</v>
      </c>
      <c r="AN77" s="419" t="e">
        <f>СЧЁТ!#REF!</f>
        <v>#REF!</v>
      </c>
      <c r="AO77" s="419" t="e">
        <f>СЧЁТ!#REF!</f>
        <v>#REF!</v>
      </c>
      <c r="AP77" s="419" t="e">
        <f>СЧЁТ!#REF!</f>
        <v>#REF!</v>
      </c>
      <c r="AQ77" s="419" t="e">
        <f>СЧЁТ!#REF!</f>
        <v>#REF!</v>
      </c>
      <c r="AR77" s="419" t="e">
        <f>СЧЁТ!#REF!</f>
        <v>#REF!</v>
      </c>
      <c r="AS77" s="419" t="e">
        <f>СЧЁТ!#REF!</f>
        <v>#REF!</v>
      </c>
      <c r="AT77" s="419" t="e">
        <f>СЧЁТ!#REF!</f>
        <v>#REF!</v>
      </c>
      <c r="AU77" s="419" t="e">
        <f>СЧЁТ!#REF!</f>
        <v>#REF!</v>
      </c>
      <c r="AV77" s="419" t="e">
        <f>СЧЁТ!#REF!</f>
        <v>#REF!</v>
      </c>
      <c r="AW77" s="287" t="s">
        <v>596</v>
      </c>
    </row>
    <row r="78" ht="17.5" customHeight="1" spans="3:49" x14ac:dyDescent="0.25">
      <c r="C78" s="1335">
        <v>11</v>
      </c>
      <c r="D78" s="1348">
        <v>42309</v>
      </c>
      <c r="E78" s="1349" t="s">
        <v>661</v>
      </c>
      <c r="F78" s="26" t="s">
        <v>919</v>
      </c>
      <c r="G78" s="287" t="s">
        <v>1583</v>
      </c>
      <c r="H78" s="287"/>
      <c r="I78" s="287"/>
      <c r="J78" s="287"/>
      <c r="K78" s="287"/>
      <c r="L78" s="287"/>
      <c r="M78" s="1362">
        <v>0.5216020542781756</v>
      </c>
      <c r="N78" s="419" t="e">
        <f>СЧЁТ!#REF!</f>
        <v>#REF!</v>
      </c>
      <c r="O78" s="419" t="e">
        <f>СЧЁТ!#REF!</f>
        <v>#REF!</v>
      </c>
      <c r="P78" s="419" t="e">
        <f>СЧЁТ!#REF!</f>
        <v>#REF!</v>
      </c>
      <c r="Q78" s="419" t="e">
        <f>СЧЁТ!#REF!</f>
        <v>#REF!</v>
      </c>
      <c r="R78" s="419" t="e">
        <f>СЧЁТ!#REF!</f>
        <v>#REF!</v>
      </c>
      <c r="S78" s="419" t="e">
        <f>СЧЁТ!#REF!</f>
        <v>#REF!</v>
      </c>
      <c r="T78" s="419" t="e">
        <f>СЧЁТ!#REF!</f>
        <v>#REF!</v>
      </c>
      <c r="U78" s="419" t="e">
        <f>СЧЁТ!#REF!</f>
        <v>#REF!</v>
      </c>
      <c r="V78" s="419" t="e">
        <f>СЧЁТ!#REF!</f>
        <v>#REF!</v>
      </c>
      <c r="W78" s="419" t="e">
        <f>СЧЁТ!#REF!</f>
        <v>#REF!</v>
      </c>
      <c r="X78" s="419" t="e">
        <f>СЧЁТ!#REF!</f>
        <v>#REF!</v>
      </c>
      <c r="Y78" s="419" t="e">
        <f>СЧЁТ!#REF!</f>
        <v>#REF!</v>
      </c>
      <c r="Z78" s="419" t="e">
        <f>СЧЁТ!#REF!</f>
        <v>#REF!</v>
      </c>
      <c r="AA78" s="419" t="e">
        <f>СЧЁТ!#REF!</f>
        <v>#REF!</v>
      </c>
      <c r="AB78" s="419" t="e">
        <f>СЧЁТ!#REF!</f>
        <v>#REF!</v>
      </c>
      <c r="AC78" s="419" t="e">
        <f>СЧЁТ!#REF!</f>
        <v>#REF!</v>
      </c>
      <c r="AD78" s="419" t="e">
        <f>СЧЁТ!#REF!</f>
        <v>#REF!</v>
      </c>
      <c r="AE78" s="419" t="e">
        <f>СЧЁТ!#REF!</f>
        <v>#REF!</v>
      </c>
      <c r="AF78" s="419" t="e">
        <f>СЧЁТ!#REF!</f>
        <v>#REF!</v>
      </c>
      <c r="AG78" s="419" t="e">
        <f>СЧЁТ!#REF!</f>
        <v>#REF!</v>
      </c>
      <c r="AH78" s="419" t="e">
        <f>СЧЁТ!#REF!</f>
        <v>#REF!</v>
      </c>
      <c r="AI78" s="419" t="e">
        <f>СЧЁТ!#REF!</f>
        <v>#REF!</v>
      </c>
      <c r="AJ78" s="419" t="e">
        <f>СЧЁТ!#REF!</f>
        <v>#REF!</v>
      </c>
      <c r="AK78" s="419" t="e">
        <f>СЧЁТ!#REF!</f>
        <v>#REF!</v>
      </c>
      <c r="AL78" s="419" t="e">
        <f>СЧЁТ!#REF!</f>
        <v>#REF!</v>
      </c>
      <c r="AM78" s="419" t="e">
        <f>СЧЁТ!#REF!</f>
        <v>#REF!</v>
      </c>
      <c r="AN78" s="419" t="e">
        <f>СЧЁТ!#REF!</f>
        <v>#REF!</v>
      </c>
      <c r="AO78" s="419" t="e">
        <f>СЧЁТ!#REF!</f>
        <v>#REF!</v>
      </c>
      <c r="AP78" s="419" t="e">
        <f>СЧЁТ!#REF!</f>
        <v>#REF!</v>
      </c>
      <c r="AQ78" s="419" t="e">
        <f>СЧЁТ!#REF!</f>
        <v>#REF!</v>
      </c>
      <c r="AR78" s="419" t="e">
        <f>СЧЁТ!#REF!</f>
        <v>#REF!</v>
      </c>
      <c r="AS78" s="419" t="e">
        <f>СЧЁТ!#REF!</f>
        <v>#REF!</v>
      </c>
      <c r="AT78" s="419" t="e">
        <f>СЧЁТ!#REF!</f>
        <v>#REF!</v>
      </c>
      <c r="AU78" s="419" t="e">
        <f>СЧЁТ!#REF!</f>
        <v>#REF!</v>
      </c>
      <c r="AV78" s="419" t="e">
        <f>СЧЁТ!#REF!</f>
        <v>#REF!</v>
      </c>
      <c r="AW78" s="287" t="s">
        <v>661</v>
      </c>
    </row>
    <row r="79" ht="17.5" customHeight="1" spans="3:49" x14ac:dyDescent="0.25">
      <c r="C79" s="1335">
        <v>12</v>
      </c>
      <c r="D79" s="1348">
        <v>42291</v>
      </c>
      <c r="E79" s="1349" t="s">
        <v>381</v>
      </c>
      <c r="F79" s="26" t="s">
        <v>866</v>
      </c>
      <c r="G79" s="287" t="s">
        <v>1584</v>
      </c>
      <c r="H79" s="287"/>
      <c r="I79" s="287"/>
      <c r="J79" s="287"/>
      <c r="K79" s="287"/>
      <c r="L79" s="287"/>
      <c r="M79" s="1371">
        <v>1</v>
      </c>
      <c r="N79" s="419">
        <f>СЧЁТ!P14</f>
        <v>1.218</v>
      </c>
      <c r="O79" s="419">
        <f>СЧЁТ!Q14</f>
        <v>1.3519800000000002</v>
      </c>
      <c r="P79" s="419">
        <f>СЧЁТ!R14</f>
        <v>2.4930511200000005</v>
      </c>
      <c r="Q79" s="419">
        <f>СЧЁТ!S14</f>
        <v>3.4030147788000007</v>
      </c>
      <c r="R79" s="419">
        <f>СЧЁТ!T14</f>
        <v>4.090423764117601</v>
      </c>
      <c r="S79" s="419">
        <f>СЧЁТ!U14</f>
        <v>4.851242584243474</v>
      </c>
      <c r="T79" s="419">
        <f>СЧЁТ!V14</f>
        <v>5.583780214464239</v>
      </c>
      <c r="U79" s="419">
        <f>СЧЁТ!W14</f>
        <v>6.253833840199949</v>
      </c>
      <c r="V79" s="419">
        <f>СЧЁТ!X14</f>
        <v>6.9855323995033425</v>
      </c>
      <c r="W79" s="419">
        <f>СЧЁТ!Y14</f>
        <v>7.746955431049207</v>
      </c>
      <c r="X79" s="419">
        <f>СЧЁТ!Z14</f>
        <v>8.444181419843636</v>
      </c>
      <c r="Y79" s="419">
        <f>СЧЁТ!AA14</f>
        <v>9.446505754379075</v>
      </c>
      <c r="Z79" s="419">
        <f>СЧЁТ!AB14</f>
        <v>10.701001718560617</v>
      </c>
      <c r="AA79" s="419">
        <f>СЧЁТ!AC14</f>
        <v>11.642689869793951</v>
      </c>
      <c r="AB79" s="419">
        <f>СЧЁТ!AD14</f>
        <v>12.664918040361862</v>
      </c>
      <c r="AC79" s="419">
        <f>СЧЁТ!AE14</f>
        <v>13.437478040823935</v>
      </c>
      <c r="AD79" s="419">
        <f>СЧЁТ!AF14</f>
        <v>14.321664095910151</v>
      </c>
      <c r="AE79" s="419">
        <f>СЧЁТ!AG14</f>
        <v>15.245411430096356</v>
      </c>
      <c r="AF79" s="419">
        <f>СЧЁТ!AH14</f>
        <v>17.31878738458946</v>
      </c>
      <c r="AG79" s="419">
        <f>СЧЁТ!AI14</f>
        <v>19.5529109572015</v>
      </c>
      <c r="AH79" s="419">
        <f>СЧЁТ!AJ14</f>
        <v>20.60681285779466</v>
      </c>
      <c r="AI79" s="419">
        <f>СЧЁТ!AK14</f>
        <v>21.124043860525305</v>
      </c>
      <c r="AJ79" s="419">
        <f>СЧЁТ!AL14</f>
        <v>22.02392812898368</v>
      </c>
      <c r="AK79" s="419">
        <f>СЧЁТ!AM14</f>
        <v>22.693455544104783</v>
      </c>
      <c r="AL79" s="419">
        <f>СЧЁТ!AN14</f>
        <v>23.807704211320324</v>
      </c>
      <c r="AM79" s="419">
        <f>СЧЁТ!AO14</f>
        <v>24.99808942188634</v>
      </c>
      <c r="AN79" s="419">
        <f>СЧЁТ!AP14</f>
        <v>26.24799389298066</v>
      </c>
      <c r="AO79" s="419">
        <f>СЧЁТ!AQ14</f>
        <v>27.560393587629694</v>
      </c>
      <c r="AP79" s="419">
        <f>СЧЁТ!AR14</f>
        <v>28.938413267011178</v>
      </c>
      <c r="AQ79" s="419">
        <f>СЧЁТ!AS14</f>
        <v>30.38533393036174</v>
      </c>
      <c r="AR79" s="419">
        <f>СЧЁТ!AT14</f>
        <v>31.904600626879827</v>
      </c>
      <c r="AS79" s="419">
        <f>СЧЁТ!AU14</f>
        <v>33.49983065822382</v>
      </c>
      <c r="AT79" s="419">
        <f>СЧЁТ!AV14</f>
        <v>35.174822191135014</v>
      </c>
      <c r="AU79" s="419">
        <f>СЧЁТ!AW14</f>
        <v>36.933563300691766</v>
      </c>
      <c r="AV79" s="419">
        <f>СЧЁТ!AX14</f>
        <v>38.780241465726355</v>
      </c>
      <c r="AW79" s="287" t="s">
        <v>381</v>
      </c>
    </row>
    <row r="80" ht="17.5" customHeight="1" spans="3:49" x14ac:dyDescent="0.25">
      <c r="C80" s="1335">
        <v>13</v>
      </c>
      <c r="D80" s="1387">
        <v>42291</v>
      </c>
      <c r="E80" s="1349" t="s">
        <v>121</v>
      </c>
      <c r="F80" s="26" t="s">
        <v>866</v>
      </c>
      <c r="G80" s="287" t="s">
        <v>1585</v>
      </c>
      <c r="H80" s="287"/>
      <c r="I80" s="287"/>
      <c r="J80" s="287"/>
      <c r="K80" s="287"/>
      <c r="L80" s="287"/>
      <c r="M80" s="1371">
        <v>2.313</v>
      </c>
      <c r="N80" s="419">
        <f>СЧЁТ!P15</f>
        <v>1.218</v>
      </c>
      <c r="O80" s="419">
        <f>СЧЁТ!Q15</f>
        <v>1.11</v>
      </c>
      <c r="P80" s="419">
        <f>СЧЁТ!R15</f>
        <v>1.844</v>
      </c>
      <c r="Q80" s="419">
        <f>СЧЁТ!S15</f>
        <v>1.365</v>
      </c>
      <c r="R80" s="419">
        <f>СЧЁТ!T15</f>
        <v>1.202</v>
      </c>
      <c r="S80" s="419">
        <f>СЧЁТ!U15</f>
        <v>1.186</v>
      </c>
      <c r="T80" s="419">
        <f>СЧЁТ!V15</f>
        <v>1.151</v>
      </c>
      <c r="U80" s="419">
        <f>СЧЁТ!W15</f>
        <v>1.12</v>
      </c>
      <c r="V80" s="419">
        <f>СЧЁТ!X15</f>
        <v>1.117</v>
      </c>
      <c r="W80" s="419">
        <f>СЧЁТ!Y15</f>
        <v>1.109</v>
      </c>
      <c r="X80" s="419">
        <f>СЧЁТ!Z15</f>
        <v>1.09</v>
      </c>
      <c r="Y80" s="419">
        <f>СЧЁТ!AA15</f>
        <v>1.1187</v>
      </c>
      <c r="Z80" s="419">
        <f>СЧЁТ!AB15</f>
        <v>1.1328</v>
      </c>
      <c r="AA80" s="419">
        <f>СЧЁТ!AC15</f>
        <v>1.088</v>
      </c>
      <c r="AB80" s="419">
        <f>СЧЁТ!AD15</f>
        <v>1.0878</v>
      </c>
      <c r="AC80" s="419">
        <f>СЧЁТ!AE15</f>
        <v>1.061</v>
      </c>
      <c r="AD80" s="419">
        <f>СЧЁТ!AF15</f>
        <v>1.0658</v>
      </c>
      <c r="AE80" s="419">
        <f>СЧЁТ!AG15</f>
        <v>1.0645</v>
      </c>
      <c r="AF80" s="419">
        <f>СЧЁТ!AH15</f>
        <v>1.136</v>
      </c>
      <c r="AG80" s="419">
        <f>СЧЁТ!AI15</f>
        <v>1.129</v>
      </c>
      <c r="AH80" s="419">
        <f>СЧЁТ!AJ15</f>
        <v>1.0539</v>
      </c>
      <c r="AI80" s="419">
        <f>СЧЁТ!AK15</f>
        <v>1.0251</v>
      </c>
      <c r="AJ80" s="419">
        <f>СЧЁТ!AL15</f>
        <v>1.0426</v>
      </c>
      <c r="AK80" s="419">
        <f>СЧЁТ!AM15</f>
        <v>1.0304</v>
      </c>
      <c r="AL80" s="419">
        <f>СЧЁТ!AN15</f>
        <v>1.0491</v>
      </c>
      <c r="AM80" s="419">
        <f>СЧЁТ!AO15</f>
        <v>1.05</v>
      </c>
      <c r="AN80" s="419">
        <f>СЧЁТ!AP15</f>
        <v>1.05</v>
      </c>
      <c r="AO80" s="419">
        <f>СЧЁТ!AQ15</f>
        <v>1.05</v>
      </c>
      <c r="AP80" s="419">
        <f>СЧЁТ!AR15</f>
        <v>1.05</v>
      </c>
      <c r="AQ80" s="419">
        <f>СЧЁТ!AS15</f>
        <v>1.05</v>
      </c>
      <c r="AR80" s="419">
        <f>СЧЁТ!AT15</f>
        <v>1.05</v>
      </c>
      <c r="AS80" s="419">
        <f>СЧЁТ!AU15</f>
        <v>1.05</v>
      </c>
      <c r="AT80" s="419">
        <f>СЧЁТ!AV15</f>
        <v>1.05</v>
      </c>
      <c r="AU80" s="419">
        <f>СЧЁТ!AW15</f>
        <v>1.05</v>
      </c>
      <c r="AV80" s="419">
        <f>СЧЁТ!AX15</f>
        <v>1.05</v>
      </c>
      <c r="AW80" s="287" t="s">
        <v>121</v>
      </c>
    </row>
    <row r="81" ht="17.5" customHeight="1" spans="3:49" x14ac:dyDescent="0.25">
      <c r="C81" s="1335">
        <v>14</v>
      </c>
      <c r="D81" s="1348"/>
      <c r="E81" s="1349"/>
      <c r="F81" s="26"/>
      <c r="G81" s="287"/>
      <c r="H81" s="287"/>
      <c r="I81" s="287"/>
      <c r="J81" s="287"/>
      <c r="K81" s="287"/>
      <c r="L81" s="287"/>
      <c r="M81" s="1376"/>
      <c r="N81" s="419">
        <f>СЧЁТ!P16</f>
        <v>0</v>
      </c>
      <c r="O81" s="419">
        <f>СЧЁТ!Q16</f>
        <v>0</v>
      </c>
      <c r="P81" s="419">
        <f>СЧЁТ!R16</f>
        <v>0</v>
      </c>
      <c r="Q81" s="419">
        <f>СЧЁТ!S16</f>
        <v>0</v>
      </c>
      <c r="R81" s="419">
        <f>СЧЁТ!T16</f>
        <v>0</v>
      </c>
      <c r="S81" s="419">
        <f>СЧЁТ!U16</f>
        <v>0</v>
      </c>
      <c r="T81" s="419">
        <f>СЧЁТ!V16</f>
        <v>0</v>
      </c>
      <c r="U81" s="419">
        <f>СЧЁТ!W16</f>
        <v>0</v>
      </c>
      <c r="V81" s="419">
        <f>СЧЁТ!X16</f>
        <v>0</v>
      </c>
      <c r="W81" s="419">
        <f>СЧЁТ!Y16</f>
        <v>0</v>
      </c>
      <c r="X81" s="419">
        <f>СЧЁТ!Z16</f>
        <v>0</v>
      </c>
      <c r="Y81" s="419">
        <f>СЧЁТ!AA16</f>
        <v>0</v>
      </c>
      <c r="Z81" s="419">
        <f>СЧЁТ!AB16</f>
        <v>0</v>
      </c>
      <c r="AA81" s="419">
        <f>СЧЁТ!AC16</f>
        <v>0</v>
      </c>
      <c r="AB81" s="419">
        <f>СЧЁТ!AD16</f>
        <v>0</v>
      </c>
      <c r="AC81" s="419">
        <f>СЧЁТ!AE16</f>
        <v>0</v>
      </c>
      <c r="AD81" s="419">
        <f>СЧЁТ!AF16</f>
        <v>0</v>
      </c>
      <c r="AE81" s="419">
        <f>СЧЁТ!AG16</f>
        <v>0</v>
      </c>
      <c r="AF81" s="419">
        <f>СЧЁТ!AH16</f>
        <v>0</v>
      </c>
      <c r="AG81" s="419">
        <f>СЧЁТ!AI16</f>
        <v>0</v>
      </c>
      <c r="AH81" s="419">
        <f>СЧЁТ!AJ16</f>
        <v>0</v>
      </c>
      <c r="AI81" s="419">
        <f>СЧЁТ!AK16</f>
        <v>0</v>
      </c>
      <c r="AJ81" s="419">
        <f>СЧЁТ!AL16</f>
        <v>0</v>
      </c>
      <c r="AK81" s="419">
        <f>СЧЁТ!AM16</f>
        <v>0</v>
      </c>
      <c r="AL81" s="419">
        <f>СЧЁТ!AN16</f>
        <v>0</v>
      </c>
      <c r="AM81" s="419">
        <f>СЧЁТ!AO16</f>
        <v>0</v>
      </c>
      <c r="AN81" s="419">
        <f>СЧЁТ!AP16</f>
        <v>0</v>
      </c>
      <c r="AO81" s="419">
        <f>СЧЁТ!AQ16</f>
        <v>0</v>
      </c>
      <c r="AP81" s="419">
        <f>СЧЁТ!AR16</f>
        <v>0</v>
      </c>
      <c r="AQ81" s="419">
        <f>СЧЁТ!AS16</f>
        <v>0</v>
      </c>
      <c r="AR81" s="419">
        <f>СЧЁТ!AT16</f>
        <v>0</v>
      </c>
      <c r="AS81" s="419">
        <f>СЧЁТ!AU16</f>
        <v>0</v>
      </c>
      <c r="AT81" s="419">
        <f>СЧЁТ!AV16</f>
        <v>0</v>
      </c>
      <c r="AU81" s="419">
        <f>СЧЁТ!AW16</f>
        <v>0</v>
      </c>
      <c r="AV81" s="419">
        <f>СЧЁТ!AX16</f>
        <v>0</v>
      </c>
      <c r="AW81" s="287">
        <v>0</v>
      </c>
    </row>
    <row r="82" ht="17.5" customHeight="1" spans="3:49" x14ac:dyDescent="0.25">
      <c r="C82" s="2465">
        <v>15</v>
      </c>
      <c r="D82" s="2466"/>
      <c r="E82" s="1349"/>
      <c r="F82" s="26"/>
      <c r="G82" s="287"/>
      <c r="H82" s="287"/>
      <c r="I82" s="287"/>
      <c r="J82" s="287"/>
      <c r="K82" s="287"/>
      <c r="L82" s="287"/>
      <c r="M82" s="1376"/>
      <c r="N82" s="419">
        <f>СЧЁТ!P12</f>
        <v>4.6</v>
      </c>
      <c r="O82" s="419">
        <f>СЧЁТ!Q12</f>
        <v>5.5</v>
      </c>
      <c r="P82" s="419">
        <f>СЧЁТ!R12</f>
        <v>9.7</v>
      </c>
      <c r="Q82" s="419">
        <f>СЧЁТ!S12</f>
        <v>24.62</v>
      </c>
      <c r="R82" s="419">
        <f>СЧЁТ!T12</f>
        <v>28.14</v>
      </c>
      <c r="S82" s="419">
        <f>СЧЁТ!U12</f>
        <v>29.17</v>
      </c>
      <c r="T82" s="419">
        <f>СЧЁТ!V12</f>
        <v>31.35</v>
      </c>
      <c r="U82" s="419">
        <f>СЧЁТ!W12</f>
        <v>30.69</v>
      </c>
      <c r="V82" s="419">
        <f>СЧЁТ!X12</f>
        <v>28.81</v>
      </c>
      <c r="W82" s="419">
        <f>СЧЁТ!Y12</f>
        <v>28.3</v>
      </c>
      <c r="X82" s="419">
        <f>СЧЁТ!Z12</f>
        <v>27.17</v>
      </c>
      <c r="Y82" s="419">
        <f>СЧЁТ!AA12</f>
        <v>25.58</v>
      </c>
      <c r="Z82" s="419">
        <f>СЧЁТ!AB12</f>
        <v>24.86</v>
      </c>
      <c r="AA82" s="419">
        <f>СЧЁТ!AC12</f>
        <v>31.83</v>
      </c>
      <c r="AB82" s="419">
        <f>СЧЁТ!AD12</f>
        <v>30.36</v>
      </c>
      <c r="AC82" s="419">
        <f>СЧЁТ!AE12</f>
        <v>29.39</v>
      </c>
      <c r="AD82" s="419">
        <f>СЧЁТ!AF12</f>
        <v>31.08</v>
      </c>
      <c r="AE82" s="419">
        <f>СЧЁТ!AG12</f>
        <v>31.85</v>
      </c>
      <c r="AF82" s="419">
        <f>СЧЁТ!AH12</f>
        <v>32.73</v>
      </c>
      <c r="AG82" s="419">
        <f>СЧЁТ!AI12</f>
        <v>56.26</v>
      </c>
      <c r="AH82" s="419">
        <f>СЧЁТ!AJ12</f>
        <v>72.88</v>
      </c>
      <c r="AI82" s="419">
        <f>СЧЁТ!AK12</f>
        <v>60.66</v>
      </c>
      <c r="AJ82" s="419">
        <f>СЧЁТ!AL12</f>
        <v>57.6</v>
      </c>
      <c r="AK82" s="419">
        <f>СЧЁТ!AM12</f>
        <v>69.47</v>
      </c>
      <c r="AL82" s="419">
        <f>СЧЁТ!AN12</f>
        <v>61.9</v>
      </c>
      <c r="AM82" s="419">
        <f>СЧЁТ!AO12</f>
        <v>73.87</v>
      </c>
      <c r="AN82" s="419">
        <f>СЧЁТ!AP12</f>
        <v>75.17</v>
      </c>
      <c r="AO82" s="419">
        <f>СЧЁТ!AQ12</f>
        <v>76.47</v>
      </c>
      <c r="AP82" s="419">
        <f>СЧЁТ!AR12</f>
        <v>77.77</v>
      </c>
      <c r="AQ82" s="419">
        <f>СЧЁТ!AS12</f>
        <v>79.07</v>
      </c>
      <c r="AR82" s="419">
        <f>СЧЁТ!AT12</f>
        <v>80.36999999999999</v>
      </c>
      <c r="AS82" s="419">
        <f>СЧЁТ!AU12</f>
        <v>81.66999999999999</v>
      </c>
      <c r="AT82" s="419">
        <f>СЧЁТ!AV12</f>
        <v>82.96999999999998</v>
      </c>
      <c r="AU82" s="419">
        <f>СЧЁТ!AW12</f>
        <v>84.26999999999998</v>
      </c>
      <c r="AV82" s="419">
        <f>СЧЁТ!AX12</f>
        <v>85.56999999999998</v>
      </c>
      <c r="AW82" s="287">
        <v>0</v>
      </c>
    </row>
    <row r="83" ht="17.5" customHeight="1" spans="3:49" x14ac:dyDescent="0.25">
      <c r="C83" s="1335">
        <v>16</v>
      </c>
      <c r="D83" s="1348">
        <v>42309</v>
      </c>
      <c r="E83" s="1349" t="s">
        <v>2264</v>
      </c>
      <c r="F83" s="26" t="s">
        <v>866</v>
      </c>
      <c r="G83" s="287" t="s">
        <v>2265</v>
      </c>
      <c r="H83" s="287"/>
      <c r="I83" s="287"/>
      <c r="J83" s="287"/>
      <c r="K83" s="287"/>
      <c r="L83" s="287"/>
      <c r="M83" s="1362">
        <v>0.2252273157796683</v>
      </c>
      <c r="N83" s="419">
        <f>СЧЁТ!P11</f>
        <v>20.5</v>
      </c>
      <c r="O83" s="419">
        <f>СЧЁТ!Q11</f>
        <v>19.1</v>
      </c>
      <c r="P83" s="419">
        <f>СЧЁТ!R11</f>
        <v>12.7</v>
      </c>
      <c r="Q83" s="419">
        <f>СЧЁТ!S11</f>
        <v>17.7</v>
      </c>
      <c r="R83" s="419">
        <f>СЧЁТ!T11</f>
        <v>28.3</v>
      </c>
      <c r="S83" s="419">
        <f>СЧЁТ!U11</f>
        <v>24.4</v>
      </c>
      <c r="T83" s="419">
        <f>СЧЁТ!V11</f>
        <v>25</v>
      </c>
      <c r="U83" s="419">
        <f>СЧЁТ!W11</f>
        <v>28.9</v>
      </c>
      <c r="V83" s="419">
        <f>СЧЁТ!X11</f>
        <v>38.3</v>
      </c>
      <c r="W83" s="419">
        <f>СЧЁТ!Y11</f>
        <v>54.4</v>
      </c>
      <c r="X83" s="419">
        <f>СЧЁТ!Z11</f>
        <v>65.4</v>
      </c>
      <c r="Y83" s="419">
        <f>СЧЁТ!AA11</f>
        <v>72.7</v>
      </c>
      <c r="Z83" s="419">
        <f>СЧЁТ!AB11</f>
        <v>97.7</v>
      </c>
      <c r="AA83" s="419">
        <f>СЧЁТ!AC11</f>
        <v>61.9</v>
      </c>
      <c r="AB83" s="419">
        <f>СЧЁТ!AD11</f>
        <v>79.6</v>
      </c>
      <c r="AC83" s="419">
        <f>СЧЁТ!AE11</f>
        <v>111</v>
      </c>
      <c r="AD83" s="419">
        <f>СЧЁТ!AF11</f>
        <v>111.4</v>
      </c>
      <c r="AE83" s="419">
        <f>СЧЁТ!AG11</f>
        <v>108.8</v>
      </c>
      <c r="AF83" s="419">
        <f>СЧЁТ!AH11</f>
        <v>98.9</v>
      </c>
      <c r="AG83" s="419">
        <f>СЧЁТ!AI11</f>
        <v>52.4</v>
      </c>
      <c r="AH83" s="419">
        <f>СЧЁТ!AJ11</f>
        <v>44</v>
      </c>
      <c r="AI83" s="419">
        <f>СЧЁТ!AK11</f>
        <v>55</v>
      </c>
      <c r="AJ83" s="419">
        <f>СЧЁТ!AL11</f>
        <v>70</v>
      </c>
      <c r="AK83" s="419">
        <f>СЧЁТ!AM11</f>
        <v>72</v>
      </c>
      <c r="AL83" s="419">
        <f>СЧЁТ!AN11</f>
        <v>40</v>
      </c>
      <c r="AM83" s="419">
        <f>СЧЁТ!AO11</f>
        <v>50</v>
      </c>
      <c r="AN83" s="419">
        <f>СЧЁТ!AP11</f>
        <v>58</v>
      </c>
      <c r="AO83" s="419">
        <f>СЧЁТ!AQ11</f>
        <v>64.4</v>
      </c>
      <c r="AP83" s="419">
        <f>СЧЁТ!AR11</f>
        <v>69.52000000000001</v>
      </c>
      <c r="AQ83" s="419">
        <f>СЧЁТ!AS11</f>
        <v>73.61600000000001</v>
      </c>
      <c r="AR83" s="419">
        <f>СЧЁТ!AT11</f>
        <v>76.89280000000002</v>
      </c>
      <c r="AS83" s="419">
        <f>СЧЁТ!AU11</f>
        <v>79.51424000000003</v>
      </c>
      <c r="AT83" s="419">
        <f>СЧЁТ!AV11</f>
        <v>81.61139200000004</v>
      </c>
      <c r="AU83" s="419">
        <f>СЧЁТ!AW11</f>
        <v>83.28911360000005</v>
      </c>
      <c r="AV83" s="419">
        <f>СЧЁТ!AX11</f>
        <v>84.63129088000007</v>
      </c>
      <c r="AW83" s="287" t="s">
        <v>2264</v>
      </c>
    </row>
    <row r="84" ht="17.5" customHeight="1" spans="3:49" x14ac:dyDescent="0.25">
      <c r="C84" s="1335">
        <v>17</v>
      </c>
      <c r="D84" s="1348">
        <v>42308</v>
      </c>
      <c r="E84" s="1349" t="s">
        <v>631</v>
      </c>
      <c r="F84" s="26" t="s">
        <v>866</v>
      </c>
      <c r="G84" s="287" t="s">
        <v>1588</v>
      </c>
      <c r="H84" s="287"/>
      <c r="I84" s="287"/>
      <c r="J84" s="287"/>
      <c r="K84" s="287"/>
      <c r="L84" s="287"/>
      <c r="M84" s="1371">
        <v>1</v>
      </c>
      <c r="N84" s="419">
        <f>СЧЁТ!P17</f>
        <v>0.20193696820110807</v>
      </c>
      <c r="O84" s="419">
        <f>СЧЁТ!Q17</f>
        <v>0.2007703091712705</v>
      </c>
      <c r="P84" s="419">
        <f>СЧЁТ!R17</f>
        <v>0.17564649920911823</v>
      </c>
      <c r="Q84" s="419">
        <f>СЧЁТ!S17</f>
        <v>0.1773667752933979</v>
      </c>
      <c r="R84" s="419">
        <f>СЧЁТ!T17</f>
        <v>0.21045165705943777</v>
      </c>
      <c r="S84" s="419">
        <f>СЧЁТ!U17</f>
        <v>0.22075386925949722</v>
      </c>
      <c r="T84" s="419">
        <f>СЧЁТ!V17</f>
        <v>0.23009857341476964</v>
      </c>
      <c r="U84" s="419">
        <f>СЧЁТ!W17</f>
        <v>0.24253877934926296</v>
      </c>
      <c r="V84" s="419">
        <f>СЧЁТ!X17</f>
        <v>0.2516082337282352</v>
      </c>
      <c r="W84" s="419">
        <f>СЧЁТ!Y17</f>
        <v>0.25783555641470957</v>
      </c>
      <c r="X84" s="419">
        <f>СЧЁТ!Z17</f>
        <v>0.2668781385379209</v>
      </c>
      <c r="Y84" s="419">
        <f>СЧЁТ!AA17</f>
        <v>0.2775287129387157</v>
      </c>
      <c r="Z84" s="419">
        <f>СЧЁТ!AB17</f>
        <v>0.2823324410242868</v>
      </c>
      <c r="AA84" s="419">
        <f>СЧЁТ!AC17</f>
        <v>0.2058026497269587</v>
      </c>
      <c r="AB84" s="419">
        <f>СЧЁТ!AD17</f>
        <v>0.24609376472050032</v>
      </c>
      <c r="AC84" s="419">
        <f>СЧЁТ!AE17</f>
        <v>0.2716712661938327</v>
      </c>
      <c r="AD84" s="419">
        <f>СЧЁТ!AF17</f>
        <v>0.2711734787480621</v>
      </c>
      <c r="AE84" s="419">
        <f>СЧЁТ!AG17</f>
        <v>0.2653941333830007</v>
      </c>
      <c r="AF84" s="419">
        <f>СЧЁТ!AH17</f>
        <v>0.2407479655290886</v>
      </c>
      <c r="AG84" s="419">
        <f>СЧЁТ!AI17</f>
        <v>0.20957161629151927</v>
      </c>
      <c r="AH84" s="419">
        <f>СЧЁТ!AJ17</f>
        <v>0.2065780810326533</v>
      </c>
      <c r="AI84" s="419">
        <f>СЧЁТ!AK17</f>
        <v>0.22697099503222676</v>
      </c>
      <c r="AJ84" s="419">
        <f>СЧЁТ!AL17</f>
        <v>0.2265787550715769</v>
      </c>
      <c r="AK84" s="419">
        <f>СЧЁТ!AM17</f>
        <v>0.226343411095187</v>
      </c>
      <c r="AL84" s="419">
        <f>СЧЁТ!AN17</f>
        <v>0.22620220470935304</v>
      </c>
      <c r="AM84" s="419">
        <f>СЧЁТ!AO17</f>
        <v>0.22611748087785266</v>
      </c>
      <c r="AN84" s="419">
        <f>СЧЁТ!AP17</f>
        <v>0.22606664657895242</v>
      </c>
      <c r="AO84" s="419">
        <f>СЧЁТ!AQ17</f>
        <v>0.22603614599961228</v>
      </c>
      <c r="AP84" s="419">
        <f>СЧЁТ!AR17</f>
        <v>0.2260178456520082</v>
      </c>
      <c r="AQ84" s="419">
        <f>СЧЁТ!AS17</f>
        <v>0.22600686544344575</v>
      </c>
      <c r="AR84" s="419">
        <f>СЧЁТ!AT17</f>
        <v>0.2260002773183083</v>
      </c>
      <c r="AS84" s="419">
        <f>СЧЁТ!AU17</f>
        <v>0.22599632444322582</v>
      </c>
      <c r="AT84" s="419">
        <f>СЧЁТ!AV17</f>
        <v>0.22599395271817632</v>
      </c>
      <c r="AU84" s="419">
        <f>СЧЁТ!AW17</f>
        <v>0.22599252968314662</v>
      </c>
      <c r="AV84" s="419">
        <f>СЧЁТ!AX17</f>
        <v>0.2259916758621288</v>
      </c>
      <c r="AW84" s="287" t="s">
        <v>631</v>
      </c>
    </row>
    <row r="85" ht="17.5" customHeight="1" spans="3:49" x14ac:dyDescent="0.25">
      <c r="C85" s="1335">
        <v>18</v>
      </c>
      <c r="D85" s="1348">
        <v>42308</v>
      </c>
      <c r="E85" s="1349" t="s">
        <v>387</v>
      </c>
      <c r="F85" s="26" t="s">
        <v>866</v>
      </c>
      <c r="G85" s="287" t="s">
        <v>1036</v>
      </c>
      <c r="H85" s="287"/>
      <c r="I85" s="287"/>
      <c r="J85" s="287"/>
      <c r="K85" s="287"/>
      <c r="L85" s="287"/>
      <c r="M85" s="1527">
        <v>1</v>
      </c>
      <c r="N85" s="419">
        <f>СЧЁТ!P18</f>
        <v>1.4723042021668387</v>
      </c>
      <c r="O85" s="419">
        <f>СЧЁТ!Q18</f>
        <v>1.718558670886825</v>
      </c>
      <c r="P85" s="419">
        <f>СЧЁТ!R18</f>
        <v>2.1060897046594413</v>
      </c>
      <c r="Q85" s="419">
        <f>СЧЁТ!S18</f>
        <v>3.727842297346868</v>
      </c>
      <c r="R85" s="419">
        <f>СЧЁТ!T18</f>
        <v>4.5918326760987345</v>
      </c>
      <c r="S85" s="419">
        <f>СЧЁТ!U18</f>
        <v>5.561179540405496</v>
      </c>
      <c r="T85" s="419">
        <f>СЧЁТ!V18</f>
        <v>6.468238698917706</v>
      </c>
      <c r="U85" s="419">
        <f>СЧЁТ!W18</f>
        <v>7.258482770625474</v>
      </c>
      <c r="V85" s="419">
        <f>СЧЁТ!X18</f>
        <v>8.328227993617887</v>
      </c>
      <c r="W85" s="419">
        <f>СЧЁТ!Y18</f>
        <v>9.370471463956683</v>
      </c>
      <c r="X85" s="419">
        <f>СЧЁТ!Z18</f>
        <v>10.171880121895711</v>
      </c>
      <c r="Y85" s="419">
        <f>СЧЁТ!AA18</f>
        <v>10.996054426330467</v>
      </c>
      <c r="Z85" s="419">
        <f>СЧЁТ!AB18</f>
        <v>12.382630991276981</v>
      </c>
      <c r="AA85" s="419">
        <f>СЧЁТ!AC18</f>
        <v>13.714036448863869</v>
      </c>
      <c r="AB85" s="419">
        <f>СЧЁТ!AD18</f>
        <v>14.629133800462956</v>
      </c>
      <c r="AC85" s="419">
        <f>СЧЁТ!AE18</f>
        <v>17.36421630879255</v>
      </c>
      <c r="AD85" s="419">
        <f>СЧЁТ!AF18</f>
        <v>18.5401251106608</v>
      </c>
      <c r="AE85" s="419">
        <f>СЧЁТ!AG18</f>
        <v>19.653563919076568</v>
      </c>
      <c r="AF85" s="419">
        <f>СЧЁТ!AH18</f>
        <v>21.01627695270109</v>
      </c>
      <c r="AG85" s="419">
        <f>СЧЁТ!AI18</f>
        <v>23.908625308988828</v>
      </c>
      <c r="AH85" s="419">
        <f>СЧЁТ!AJ18</f>
        <v>25.541020349632802</v>
      </c>
      <c r="AI85" s="419">
        <f>СЧЁТ!AK18</f>
        <v>26.262932750374507</v>
      </c>
      <c r="AJ85" s="419">
        <f>СЧЁТ!AL18</f>
        <v>27.120680464307846</v>
      </c>
      <c r="AK85" s="419">
        <f>СЧЁТ!AM18</f>
        <v>28.12440071334408</v>
      </c>
      <c r="AL85" s="419">
        <f>СЧЁТ!AN18</f>
        <v>28.998911158369268</v>
      </c>
      <c r="AM85" s="419">
        <f>СЧЁТ!AO18</f>
        <v>31.029391716287734</v>
      </c>
      <c r="AN85" s="419">
        <f>СЧЁТ!AP18</f>
        <v>32.60489630210212</v>
      </c>
      <c r="AO85" s="419">
        <f>СЧЁТ!AQ18</f>
        <v>34.259176117207225</v>
      </c>
      <c r="AP85" s="419">
        <f>СЧЁТ!AR18</f>
        <v>35.99616992306759</v>
      </c>
      <c r="AQ85" s="419">
        <f>СЧЁТ!AS18</f>
        <v>37.82001341922097</v>
      </c>
      <c r="AR85" s="419">
        <f>СЧЁТ!AT18</f>
        <v>39.735049090182024</v>
      </c>
      <c r="AS85" s="419">
        <f>СЧЁТ!AU18</f>
        <v>41.74583654469112</v>
      </c>
      <c r="AT85" s="419">
        <f>СЧЁТ!AV18</f>
        <v>43.85716337192569</v>
      </c>
      <c r="AU85" s="419">
        <f>СЧЁТ!AW18</f>
        <v>46.07405654052197</v>
      </c>
      <c r="AV85" s="419">
        <f>СЧЁТ!AX18</f>
        <v>48.40179436754807</v>
      </c>
      <c r="AW85" s="287" t="s">
        <v>387</v>
      </c>
    </row>
    <row r="86" ht="17.5" customHeight="1" spans="3:49" x14ac:dyDescent="0.25">
      <c r="C86" s="1335">
        <v>19</v>
      </c>
      <c r="D86" s="1348">
        <v>42308</v>
      </c>
      <c r="E86" s="1349" t="s">
        <v>636</v>
      </c>
      <c r="F86" s="26" t="s">
        <v>866</v>
      </c>
      <c r="G86" s="287" t="s">
        <v>1038</v>
      </c>
      <c r="H86" s="287"/>
      <c r="I86" s="287"/>
      <c r="J86" s="287"/>
      <c r="K86" s="287"/>
      <c r="L86" s="287"/>
      <c r="M86" s="1527">
        <v>1</v>
      </c>
      <c r="N86" s="419">
        <f>СЧЁТ!P19</f>
        <v>1.3930686182271845</v>
      </c>
      <c r="O86" s="419">
        <f>СЧЁТ!Q19</f>
        <v>1.8000080782573098</v>
      </c>
      <c r="P86" s="419">
        <f>СЧЁТ!R19</f>
        <v>1.7787455021088285</v>
      </c>
      <c r="Q86" s="419">
        <f>СЧЁТ!S19</f>
        <v>2.4627881934761957</v>
      </c>
      <c r="R86" s="419">
        <f>СЧЁТ!T19</f>
        <v>3.785470488529565</v>
      </c>
      <c r="S86" s="419">
        <f>СЧЁТ!U19</f>
        <v>5.08786459563914</v>
      </c>
      <c r="T86" s="419">
        <f>СЧЁТ!V19</f>
        <v>6.552867571558401</v>
      </c>
      <c r="U86" s="419">
        <f>СЧЁТ!W19</f>
        <v>7.795892317615872</v>
      </c>
      <c r="V86" s="419">
        <f>СЧЁТ!X19</f>
        <v>9.32454487174126</v>
      </c>
      <c r="W86" s="419">
        <f>СЧЁТ!Y19</f>
        <v>11.601834838997735</v>
      </c>
      <c r="X86" s="419">
        <f>СЧЁТ!Z19</f>
        <v>14.558879763670303</v>
      </c>
      <c r="Y86" s="419">
        <f>СЧЁТ!AA19</f>
        <v>17.41864233141954</v>
      </c>
      <c r="Z86" s="419">
        <f>СЧЁТ!AB19</f>
        <v>21.558658204106848</v>
      </c>
      <c r="AA86" s="419">
        <f>СЧЁТ!AC19</f>
        <v>23.77183065299093</v>
      </c>
      <c r="AB86" s="419">
        <f>СЧЁТ!AD19</f>
        <v>25.942740710668115</v>
      </c>
      <c r="AC86" s="419">
        <f>СЧЁТ!AE19</f>
        <v>31.060937552257776</v>
      </c>
      <c r="AD86" s="419">
        <f>СЧЁТ!AF19</f>
        <v>34.957056458668305</v>
      </c>
      <c r="AE86" s="419">
        <f>СЧЁТ!AG19</f>
        <v>38.62386007303689</v>
      </c>
      <c r="AF86" s="419">
        <f>СЧЁТ!AH19</f>
        <v>41.26092184765976</v>
      </c>
      <c r="AG86" s="419">
        <f>СЧЁТ!AI19</f>
        <v>44.34474977239534</v>
      </c>
      <c r="AH86" s="419">
        <f>СЧЁТ!AJ19</f>
        <v>46.796704667591264</v>
      </c>
      <c r="AI86" s="419">
        <f>СЧЁТ!AK19</f>
        <v>48.3278511972651</v>
      </c>
      <c r="AJ86" s="419">
        <f>СЧЁТ!AL19</f>
        <v>52.23526550148644</v>
      </c>
      <c r="AK86" s="419">
        <f>СЧЁТ!AM19</f>
        <v>53.174963523769726</v>
      </c>
      <c r="AL86" s="419">
        <f>СЧЁТ!AN19</f>
        <v>56.05173073278681</v>
      </c>
      <c r="AM86" s="419">
        <f>СЧЁТ!AO19</f>
        <v>59.12506726942615</v>
      </c>
      <c r="AN86" s="419">
        <f>СЧЁТ!AP19</f>
        <v>62.35207063289746</v>
      </c>
      <c r="AO86" s="419">
        <f>СЧЁТ!AQ19</f>
        <v>65.74042416454233</v>
      </c>
      <c r="AP86" s="419">
        <f>СЧЁТ!AR19</f>
        <v>69.29819537276946</v>
      </c>
      <c r="AQ86" s="419">
        <f>СЧЁТ!AS19</f>
        <v>73.03385514140793</v>
      </c>
      <c r="AR86" s="419">
        <f>СЧЁТ!AT19</f>
        <v>76.95629789847833</v>
      </c>
      <c r="AS86" s="419">
        <f>СЧЁТ!AU19</f>
        <v>81.07486279340225</v>
      </c>
      <c r="AT86" s="419">
        <f>СЧЁТ!AV19</f>
        <v>85.39935593307237</v>
      </c>
      <c r="AU86" s="419">
        <f>СЧЁТ!AW19</f>
        <v>89.940073729726</v>
      </c>
      <c r="AV86" s="419">
        <f>СЧЁТ!AX19</f>
        <v>94.7078274162123</v>
      </c>
      <c r="AW86" s="287" t="s">
        <v>636</v>
      </c>
    </row>
    <row r="87" ht="17.5" customHeight="1" spans="3:49" x14ac:dyDescent="0.25">
      <c r="C87" s="1335">
        <v>20</v>
      </c>
      <c r="D87" s="1348">
        <v>42308</v>
      </c>
      <c r="E87" s="1349" t="s">
        <v>638</v>
      </c>
      <c r="F87" s="26" t="s">
        <v>866</v>
      </c>
      <c r="G87" s="287" t="s">
        <v>1589</v>
      </c>
      <c r="H87" s="287"/>
      <c r="I87" s="287"/>
      <c r="J87" s="287"/>
      <c r="K87" s="287"/>
      <c r="L87" s="287"/>
      <c r="M87" s="1527">
        <v>1</v>
      </c>
      <c r="N87" s="419">
        <f>СЧЁТ!P20</f>
        <v>1.4997486735151189</v>
      </c>
      <c r="O87" s="419">
        <f>СЧЁТ!Q20</f>
        <v>1.9526312539350381</v>
      </c>
      <c r="P87" s="419">
        <f>СЧЁТ!R20</f>
        <v>2.005906030355448</v>
      </c>
      <c r="Q87" s="419">
        <f>СЧЁТ!S20</f>
        <v>2.3429902839701637</v>
      </c>
      <c r="R87" s="419">
        <f>СЧЁТ!T20</f>
        <v>3.240611479111068</v>
      </c>
      <c r="S87" s="419">
        <f>СЧЁТ!U20</f>
        <v>3.97066356566005</v>
      </c>
      <c r="T87" s="419">
        <f>СЧЁТ!V20</f>
        <v>5.284373447678545</v>
      </c>
      <c r="U87" s="419">
        <f>СЧЁТ!W20</f>
        <v>6.171508131635609</v>
      </c>
      <c r="V87" s="419">
        <f>СЧЁТ!X20</f>
        <v>6.701602530209906</v>
      </c>
      <c r="W87" s="419">
        <f>СЧЁТ!Y20</f>
        <v>7.644439100868062</v>
      </c>
      <c r="X87" s="419">
        <f>СЧЁТ!Z20</f>
        <v>8.625582341885453</v>
      </c>
      <c r="Y87" s="419">
        <f>СЧЁТ!AA20</f>
        <v>10.098705571453516</v>
      </c>
      <c r="Z87" s="419">
        <f>СЧЁТ!AB20</f>
        <v>11.941266045828566</v>
      </c>
      <c r="AA87" s="419">
        <f>СЧЁТ!AC20</f>
        <v>12.996640727607122</v>
      </c>
      <c r="AB87" s="419">
        <f>СЧЁТ!AD20</f>
        <v>13.587422805401822</v>
      </c>
      <c r="AC87" s="419">
        <f>СЧЁТ!AE20</f>
        <v>14.262597604124318</v>
      </c>
      <c r="AD87" s="419">
        <f>СЧЁТ!AF20</f>
        <v>15.820545673088896</v>
      </c>
      <c r="AE87" s="419">
        <f>СЧЁТ!AG20</f>
        <v>16.64363718116042</v>
      </c>
      <c r="AF87" s="419">
        <f>СЧЁТ!AH20</f>
        <v>18.778754615584578</v>
      </c>
      <c r="AG87" s="419">
        <f>СЧЁТ!AI20</f>
        <v>20.93213752543595</v>
      </c>
      <c r="AH87" s="419">
        <f>СЧЁТ!AJ20</f>
        <v>22.71379487635589</v>
      </c>
      <c r="AI87" s="419">
        <f>СЧЁТ!AK20</f>
        <v>24.993896175246313</v>
      </c>
      <c r="AJ87" s="419">
        <f>СЧЁТ!AL20</f>
        <v>27.181442967904612</v>
      </c>
      <c r="AK87" s="419">
        <f>СЧЁТ!AM20</f>
        <v>28.30469088773622</v>
      </c>
      <c r="AL87" s="419">
        <f>СЧЁТ!AN20</f>
        <v>29.498051210324068</v>
      </c>
      <c r="AM87" s="419">
        <f>СЧЁТ!AO20</f>
        <v>30.77295377084027</v>
      </c>
      <c r="AN87" s="419">
        <f>СЧЁТ!AP20</f>
        <v>32.111601459382285</v>
      </c>
      <c r="AO87" s="419">
        <f>СЧЁТ!AQ20</f>
        <v>33.5171815323514</v>
      </c>
      <c r="AP87" s="419">
        <f>СЧЁТ!AR20</f>
        <v>34.99304060896897</v>
      </c>
      <c r="AQ87" s="419">
        <f>СЧЁТ!AS20</f>
        <v>36.54269263941742</v>
      </c>
      <c r="AR87" s="419">
        <f>СЧЁТ!AT20</f>
        <v>38.16982727138829</v>
      </c>
      <c r="AS87" s="419">
        <f>СЧЁТ!AU20</f>
        <v>39.87831863495771</v>
      </c>
      <c r="AT87" s="419">
        <f>СЧЁТ!AV20</f>
        <v>41.6722345667056</v>
      </c>
      <c r="AU87" s="419">
        <f>СЧЁТ!AW20</f>
        <v>43.55584629504088</v>
      </c>
      <c r="AV87" s="419">
        <f>СЧЁТ!AX20</f>
        <v>45.53363860979292</v>
      </c>
      <c r="AW87" s="287" t="s">
        <v>638</v>
      </c>
    </row>
    <row r="88" ht="17.5" customHeight="1" spans="3:49" x14ac:dyDescent="0.25">
      <c r="C88" s="1335">
        <v>21</v>
      </c>
      <c r="D88" s="1348">
        <v>42308</v>
      </c>
      <c r="E88" s="1349" t="s">
        <v>640</v>
      </c>
      <c r="F88" s="26" t="s">
        <v>866</v>
      </c>
      <c r="G88" s="287" t="s">
        <v>1590</v>
      </c>
      <c r="H88" s="287"/>
      <c r="I88" s="287"/>
      <c r="J88" s="287"/>
      <c r="K88" s="287"/>
      <c r="L88" s="287"/>
      <c r="M88" s="1371">
        <v>1</v>
      </c>
      <c r="N88" s="419">
        <f>СЧЁТ!P21</f>
        <v>1.006</v>
      </c>
      <c r="O88" s="419">
        <f>СЧЁТ!Q21</f>
        <v>0.997952</v>
      </c>
      <c r="P88" s="419">
        <f>СЧЁТ!R21</f>
        <v>1.00294176</v>
      </c>
      <c r="Q88" s="419">
        <f>СЧЁТ!S21</f>
        <v>0.9889005753599999</v>
      </c>
      <c r="R88" s="419">
        <f>СЧЁТ!T21</f>
        <v>1.00472298456576</v>
      </c>
      <c r="S88" s="419">
        <f>СЧЁТ!U21</f>
        <v>1.0238127212725092</v>
      </c>
      <c r="T88" s="419">
        <f>СЧЁТ!V21</f>
        <v>1.0320032230426892</v>
      </c>
      <c r="U88" s="419">
        <f>СЧЁТ!W21</f>
        <v>1.0330352262657319</v>
      </c>
      <c r="V88" s="419">
        <f>СЧЁТ!X21</f>
        <v>0.9183683161502356</v>
      </c>
      <c r="W88" s="419">
        <f>СЧЁТ!Y21</f>
        <v>0.7503069142947425</v>
      </c>
      <c r="X88" s="419">
        <f>СЧЁТ!Z21</f>
        <v>0.7375516967517318</v>
      </c>
      <c r="Y88" s="419">
        <f>СЧЁТ!AA21</f>
        <v>0.7574655925640286</v>
      </c>
      <c r="Z88" s="419">
        <f>СЧЁТ!AB21</f>
        <v>0.7468610742681322</v>
      </c>
      <c r="AA88" s="419">
        <f>СЧЁТ!AC21</f>
        <v>0.6871121883266816</v>
      </c>
      <c r="AB88" s="419">
        <f>СЧЁТ!AD21</f>
        <v>0.6836766273850482</v>
      </c>
      <c r="AC88" s="419">
        <f>СЧЁТ!AE21</f>
        <v>0.6501764726431808</v>
      </c>
      <c r="AD88" s="419">
        <f>СЧЁТ!AF21</f>
        <v>0.643674707916749</v>
      </c>
      <c r="AE88" s="419">
        <f>СЧЁТ!AG21</f>
        <v>0.635950611421748</v>
      </c>
      <c r="AF88" s="419">
        <f>СЧЁТ!AH21</f>
        <v>0.635950611421748</v>
      </c>
      <c r="AG88" s="419">
        <f>СЧЁТ!AI21</f>
        <v>0.6175080436905173</v>
      </c>
      <c r="AH88" s="419">
        <f>СЧЁТ!AJ21</f>
        <v>0.6236831241274224</v>
      </c>
      <c r="AI88" s="419">
        <f>СЧЁТ!AK21</f>
        <v>0.6268015397480595</v>
      </c>
      <c r="AJ88" s="419">
        <f>СЧЁТ!AL21</f>
        <v>0.6550076090367222</v>
      </c>
      <c r="AK88" s="419">
        <f>СЧЁТ!AM21</f>
        <v>0.6818033748609517</v>
      </c>
      <c r="AL88" s="419">
        <f>СЧЁТ!AN21</f>
        <v>0.7072593523939696</v>
      </c>
      <c r="AM88" s="419">
        <f>СЧЁТ!AO21</f>
        <v>0.7314425310503367</v>
      </c>
      <c r="AN88" s="419">
        <f>СЧЁТ!AP21</f>
        <v>0.7544165507738855</v>
      </c>
      <c r="AO88" s="419">
        <f>СЧЁТ!AQ21</f>
        <v>0.7762418695112567</v>
      </c>
      <c r="AP88" s="419">
        <f>СЧЁТ!AR21</f>
        <v>0.7969759223117594</v>
      </c>
      <c r="AQ88" s="419">
        <f>СЧЁТ!AS21</f>
        <v>0.816673272472237</v>
      </c>
      <c r="AR88" s="419">
        <f>СЧЁТ!AT21</f>
        <v>0.8353857551246907</v>
      </c>
      <c r="AS88" s="419">
        <f>СЧЁТ!AU21</f>
        <v>0.8531626136445217</v>
      </c>
      <c r="AT88" s="419">
        <f>СЧЁТ!AV21</f>
        <v>0.8700506292383612</v>
      </c>
      <c r="AU88" s="419">
        <f>СЧЁТ!AW21</f>
        <v>0.8860942440525087</v>
      </c>
      <c r="AV88" s="419">
        <f>СЧЁТ!AX21</f>
        <v>0.9013356781259488</v>
      </c>
      <c r="AW88" s="287" t="s">
        <v>640</v>
      </c>
    </row>
    <row r="89" ht="17.5" customHeight="1" spans="3:49" x14ac:dyDescent="0.25">
      <c r="C89" s="1335">
        <v>22</v>
      </c>
      <c r="D89" s="1348">
        <v>42308</v>
      </c>
      <c r="E89" s="1349" t="s">
        <v>390</v>
      </c>
      <c r="F89" s="26" t="s">
        <v>866</v>
      </c>
      <c r="G89" s="287" t="s">
        <v>1051</v>
      </c>
      <c r="H89" s="287"/>
      <c r="I89" s="287"/>
      <c r="J89" s="287"/>
      <c r="K89" s="287"/>
      <c r="L89" s="287"/>
      <c r="M89" s="1371">
        <v>1</v>
      </c>
      <c r="N89" s="419">
        <f>СЧЁТ!P22</f>
        <v>1.1463921152743077</v>
      </c>
      <c r="O89" s="419">
        <f>СЧЁТ!Q22</f>
        <v>1.2513079717780982</v>
      </c>
      <c r="P89" s="419">
        <f>СЧЁТ!R22</f>
        <v>1.7757982734232498</v>
      </c>
      <c r="Q89" s="419">
        <f>СЧЁТ!S22</f>
        <v>4.3836468174313525</v>
      </c>
      <c r="R89" s="419">
        <f>СЧЁТ!T22</f>
        <v>5.422670804728047</v>
      </c>
      <c r="S89" s="419">
        <f>СЧЁТ!U22</f>
        <v>5.416139427100017</v>
      </c>
      <c r="T89" s="419">
        <f>СЧЁТ!V22</f>
        <v>5.589991573495779</v>
      </c>
      <c r="U89" s="419">
        <f>СЧЁТ!W22</f>
        <v>6.100949264694751</v>
      </c>
      <c r="V89" s="419">
        <f>СЧЁТ!X22</f>
        <v>6.831459964645646</v>
      </c>
      <c r="W89" s="419">
        <f>СЧЁТ!Y22</f>
        <v>8.02031164551573</v>
      </c>
      <c r="X89" s="419">
        <f>СЧЁТ!Z22</f>
        <v>8.577771592643286</v>
      </c>
      <c r="Y89" s="419">
        <f>СЧЁТ!AA22</f>
        <v>8.561217930593617</v>
      </c>
      <c r="Z89" s="419">
        <f>СЧЁТ!AB22</f>
        <v>10.360928463828223</v>
      </c>
      <c r="AA89" s="419">
        <f>СЧЁТ!AC22</f>
        <v>10.685163024983835</v>
      </c>
      <c r="AB89" s="419">
        <f>СЧЁТ!AD22</f>
        <v>12.376778209553063</v>
      </c>
      <c r="AC89" s="419">
        <f>СЧЁТ!AE22</f>
        <v>14.886630426588821</v>
      </c>
      <c r="AD89" s="419">
        <f>СЧЁТ!AF22</f>
        <v>15.682710215951944</v>
      </c>
      <c r="AE89" s="419">
        <f>СЧЁТ!AG22</f>
        <v>15.596922733834738</v>
      </c>
      <c r="AF89" s="419">
        <f>СЧЁТ!AH22</f>
        <v>19.408072573294923</v>
      </c>
      <c r="AG89" s="419">
        <f>СЧЁТ!AI22</f>
        <v>25.392619710313024</v>
      </c>
      <c r="AH89" s="419">
        <f>СЧЁТ!AJ22</f>
        <v>24.686694352693262</v>
      </c>
      <c r="AI89" s="419">
        <f>СЧЁТ!AK22</f>
        <v>23.815961506525245</v>
      </c>
      <c r="AJ89" s="419">
        <f>СЧЁТ!AL22</f>
        <v>28.98429850585516</v>
      </c>
      <c r="AK89" s="419">
        <f>СЧЁТ!AM22</f>
        <v>28.28794120598946</v>
      </c>
      <c r="AL89" s="419">
        <f>СЧЁТ!AN22</f>
        <v>30.295292486376674</v>
      </c>
      <c r="AM89" s="419">
        <f>СЧЁТ!AO22</f>
        <v>32.50839100920102</v>
      </c>
      <c r="AN89" s="419">
        <f>СЧЁТ!AP22</f>
        <v>34.90839768276339</v>
      </c>
      <c r="AO89" s="419">
        <f>СЧЁТ!AQ22</f>
        <v>37.51247387012187</v>
      </c>
      <c r="AP89" s="419">
        <f>СЧЁТ!AR22</f>
        <v>40.33944013792836</v>
      </c>
      <c r="AQ89" s="419">
        <f>СЧЁТ!AS22</f>
        <v>43.40994133299096</v>
      </c>
      <c r="AR89" s="419">
        <f>СЧЁТ!AT22</f>
        <v>46.746628329593726</v>
      </c>
      <c r="AS89" s="419">
        <f>СЧЁТ!AU22</f>
        <v>50.37435814384684</v>
      </c>
      <c r="AT89" s="419">
        <f>СЧЁТ!AV22</f>
        <v>54.32041428458438</v>
      </c>
      <c r="AU89" s="419">
        <f>СЧЁТ!AW22</f>
        <v>58.61474940129718</v>
      </c>
      <c r="AV89" s="419">
        <f>СЧЁТ!AX22</f>
        <v>63.29025250010019</v>
      </c>
      <c r="AW89" s="287" t="s">
        <v>390</v>
      </c>
    </row>
    <row r="90" ht="17.5" customHeight="1" spans="3:49" x14ac:dyDescent="0.25">
      <c r="C90" s="1335">
        <v>23</v>
      </c>
      <c r="D90" s="1348">
        <v>42308</v>
      </c>
      <c r="E90" s="1349" t="s">
        <v>644</v>
      </c>
      <c r="F90" s="26" t="s">
        <v>866</v>
      </c>
      <c r="G90" s="287" t="s">
        <v>1591</v>
      </c>
      <c r="H90" s="287"/>
      <c r="I90" s="287"/>
      <c r="J90" s="287"/>
      <c r="K90" s="287"/>
      <c r="L90" s="287"/>
      <c r="M90" s="1371">
        <v>1</v>
      </c>
      <c r="N90" s="419">
        <f>СЧЁТ!P23</f>
        <v>0</v>
      </c>
      <c r="O90" s="419">
        <f>СЧЁТ!Q23</f>
        <v>0</v>
      </c>
      <c r="P90" s="419">
        <f>СЧЁТ!R23</f>
        <v>0</v>
      </c>
      <c r="Q90" s="419">
        <f>СЧЁТ!S23</f>
        <v>0</v>
      </c>
      <c r="R90" s="419">
        <f>СЧЁТ!T23</f>
        <v>0</v>
      </c>
      <c r="S90" s="419">
        <f>СЧЁТ!U23</f>
        <v>0</v>
      </c>
      <c r="T90" s="419">
        <f>СЧЁТ!V23</f>
        <v>0</v>
      </c>
      <c r="U90" s="419">
        <f>СЧЁТ!W23</f>
        <v>0</v>
      </c>
      <c r="V90" s="419">
        <f>СЧЁТ!X23</f>
        <v>0</v>
      </c>
      <c r="W90" s="419">
        <f>СЧЁТ!Y23</f>
        <v>0</v>
      </c>
      <c r="X90" s="419">
        <f>СЧЁТ!Z23</f>
        <v>0</v>
      </c>
      <c r="Y90" s="419">
        <f>СЧЁТ!AA23</f>
        <v>0</v>
      </c>
      <c r="Z90" s="419">
        <f>СЧЁТ!AB23</f>
        <v>0</v>
      </c>
      <c r="AA90" s="419">
        <f>СЧЁТ!AC23</f>
        <v>0</v>
      </c>
      <c r="AB90" s="419">
        <f>СЧЁТ!AD23</f>
        <v>0</v>
      </c>
      <c r="AC90" s="419">
        <f>СЧЁТ!AE23</f>
        <v>0</v>
      </c>
      <c r="AD90" s="419">
        <f>СЧЁТ!AF23</f>
        <v>0</v>
      </c>
      <c r="AE90" s="419">
        <f>СЧЁТ!AG23</f>
        <v>0</v>
      </c>
      <c r="AF90" s="419">
        <f>СЧЁТ!AH23</f>
        <v>0</v>
      </c>
      <c r="AG90" s="419">
        <f>СЧЁТ!AI23</f>
        <v>0</v>
      </c>
      <c r="AH90" s="419">
        <f>СЧЁТ!AJ23</f>
        <v>0</v>
      </c>
      <c r="AI90" s="419">
        <f>СЧЁТ!AK23</f>
        <v>0</v>
      </c>
      <c r="AJ90" s="419">
        <f>СЧЁТ!AL23</f>
        <v>0</v>
      </c>
      <c r="AK90" s="419">
        <f>СЧЁТ!AM23</f>
        <v>0</v>
      </c>
      <c r="AL90" s="419">
        <f>СЧЁТ!AN23</f>
        <v>0</v>
      </c>
      <c r="AM90" s="419">
        <f>СЧЁТ!AO23</f>
        <v>0</v>
      </c>
      <c r="AN90" s="419">
        <f>СЧЁТ!AP23</f>
        <v>0</v>
      </c>
      <c r="AO90" s="419">
        <f>СЧЁТ!AQ23</f>
        <v>0</v>
      </c>
      <c r="AP90" s="419">
        <f>СЧЁТ!AR23</f>
        <v>0</v>
      </c>
      <c r="AQ90" s="419">
        <f>СЧЁТ!AS23</f>
        <v>0</v>
      </c>
      <c r="AR90" s="419">
        <f>СЧЁТ!AT23</f>
        <v>0</v>
      </c>
      <c r="AS90" s="419">
        <f>СЧЁТ!AU23</f>
        <v>0</v>
      </c>
      <c r="AT90" s="419">
        <f>СЧЁТ!AV23</f>
        <v>0</v>
      </c>
      <c r="AU90" s="419">
        <f>СЧЁТ!AW23</f>
        <v>0</v>
      </c>
      <c r="AV90" s="419">
        <f>СЧЁТ!AX23</f>
        <v>0</v>
      </c>
      <c r="AW90" s="287" t="s">
        <v>644</v>
      </c>
    </row>
    <row r="91" ht="17.5" customHeight="1" spans="3:49" x14ac:dyDescent="0.25">
      <c r="C91" s="1335">
        <v>24</v>
      </c>
      <c r="D91" s="1348">
        <v>42308</v>
      </c>
      <c r="E91" s="1349" t="s">
        <v>646</v>
      </c>
      <c r="F91" s="26" t="s">
        <v>866</v>
      </c>
      <c r="G91" s="287" t="s">
        <v>1047</v>
      </c>
      <c r="H91" s="287"/>
      <c r="I91" s="287"/>
      <c r="J91" s="287"/>
      <c r="K91" s="287"/>
      <c r="L91" s="287"/>
      <c r="M91" s="1371">
        <v>1</v>
      </c>
      <c r="N91" s="419">
        <f>СЧЁТ!P24</f>
        <v>1.7194377618988257</v>
      </c>
      <c r="O91" s="419">
        <f>СЧЁТ!Q24</f>
        <v>1.9680277801214476</v>
      </c>
      <c r="P91" s="419">
        <f>СЧЁТ!R24</f>
        <v>2.2270348811115843</v>
      </c>
      <c r="Q91" s="419">
        <f>СЧЁТ!S24</f>
        <v>3.493098424873764</v>
      </c>
      <c r="R91" s="419">
        <f>СЧЁТ!T24</f>
        <v>5.171262749607017</v>
      </c>
      <c r="S91" s="419">
        <f>СЧЁТ!U24</f>
        <v>6.070726846853919</v>
      </c>
      <c r="T91" s="419">
        <f>СЧЁТ!V24</f>
        <v>6.916750986271128</v>
      </c>
      <c r="U91" s="419">
        <f>СЧЁТ!W24</f>
        <v>7.6273689193439225</v>
      </c>
      <c r="V91" s="419">
        <f>СЧЁТ!X24</f>
        <v>8.79041331779647</v>
      </c>
      <c r="W91" s="419">
        <f>СЧЁТ!Y24</f>
        <v>10.054085870175701</v>
      </c>
      <c r="X91" s="419">
        <f>СЧЁТ!Z24</f>
        <v>11.28478682823815</v>
      </c>
      <c r="Y91" s="419">
        <f>СЧЁТ!AA24</f>
        <v>13.059083510568804</v>
      </c>
      <c r="Z91" s="419">
        <f>СЧЁТ!AB24</f>
        <v>15.593657080025292</v>
      </c>
      <c r="AA91" s="419">
        <f>СЧЁТ!AC24</f>
        <v>16.373566297801105</v>
      </c>
      <c r="AB91" s="419">
        <f>СЧЁТ!AD24</f>
        <v>17.674409856030426</v>
      </c>
      <c r="AC91" s="419">
        <f>СЧЁТ!AE24</f>
        <v>19.234566440524752</v>
      </c>
      <c r="AD91" s="419">
        <f>СЧЁТ!AF24</f>
        <v>20.540168341333807</v>
      </c>
      <c r="AE91" s="419">
        <f>СЧЁТ!AG24</f>
        <v>21.77622501158156</v>
      </c>
      <c r="AF91" s="419">
        <f>СЧЁТ!AH24</f>
        <v>22.851453644141124</v>
      </c>
      <c r="AG91" s="419">
        <f>СЧЁТ!AI24</f>
        <v>25.408791247612854</v>
      </c>
      <c r="AH91" s="419">
        <f>СЧЁТ!AJ24</f>
        <v>27.019844336572895</v>
      </c>
      <c r="AI91" s="419">
        <f>СЧЁТ!AK24</f>
        <v>28.017232863734257</v>
      </c>
      <c r="AJ91" s="419">
        <f>СЧЁТ!AL24</f>
        <v>29.48966481725577</v>
      </c>
      <c r="AK91" s="419">
        <f>СЧЁТ!AM24</f>
        <v>30.56982965875805</v>
      </c>
      <c r="AL91" s="419">
        <f>СЧЁТ!AN24</f>
        <v>32.000596695003054</v>
      </c>
      <c r="AM91" s="419">
        <f>СЧЁТ!AO24</f>
        <v>34.39782652975321</v>
      </c>
      <c r="AN91" s="419">
        <f>СЧЁТ!AP24</f>
        <v>36.473917856240874</v>
      </c>
      <c r="AO91" s="419">
        <f>СЧЁТ!AQ24</f>
        <v>38.65381374905292</v>
      </c>
      <c r="AP91" s="419">
        <f>СЧЁТ!AR24</f>
        <v>40.942704436505565</v>
      </c>
      <c r="AQ91" s="419">
        <f>СЧЁТ!AS24</f>
        <v>43.346039658330845</v>
      </c>
      <c r="AR91" s="419">
        <f>СЧЁТ!AT24</f>
        <v>45.86954164124739</v>
      </c>
      <c r="AS91" s="419">
        <f>СЧЁТ!AU24</f>
        <v>48.51921872330976</v>
      </c>
      <c r="AT91" s="419">
        <f>СЧЁТ!AV24</f>
        <v>51.30137965947526</v>
      </c>
      <c r="AU91" s="419">
        <f>СЧЁТ!AW24</f>
        <v>54.22264864244902</v>
      </c>
      <c r="AV91" s="419">
        <f>СЧЁТ!AX24</f>
        <v>57.28998107457148</v>
      </c>
      <c r="AW91" s="287" t="s">
        <v>646</v>
      </c>
    </row>
    <row r="92" ht="17.5" customHeight="1" spans="3:49" x14ac:dyDescent="0.25">
      <c r="C92" s="1335">
        <v>25</v>
      </c>
      <c r="D92" s="1348">
        <v>42308</v>
      </c>
      <c r="E92" s="1349" t="s">
        <v>648</v>
      </c>
      <c r="F92" s="26" t="s">
        <v>866</v>
      </c>
      <c r="G92" s="287" t="s">
        <v>1268</v>
      </c>
      <c r="H92" s="287"/>
      <c r="I92" s="287"/>
      <c r="J92" s="287"/>
      <c r="K92" s="287"/>
      <c r="L92" s="287"/>
      <c r="M92" s="1371">
        <v>1</v>
      </c>
      <c r="N92" s="419">
        <f>СЧЁТ!P25</f>
        <v>2.4661634872716665</v>
      </c>
      <c r="O92" s="419">
        <f>СЧЁТ!Q25</f>
        <v>2.5165818894824628</v>
      </c>
      <c r="P92" s="419">
        <f>СЧЁТ!R25</f>
        <v>2.6836249787031963</v>
      </c>
      <c r="Q92" s="419">
        <f>СЧЁТ!S25</f>
        <v>2.701164323022275</v>
      </c>
      <c r="R92" s="419">
        <f>СЧЁТ!T25</f>
        <v>3.2947518370474893</v>
      </c>
      <c r="S92" s="419">
        <f>СЧЁТ!U25</f>
        <v>3.7846782806927575</v>
      </c>
      <c r="T92" s="419">
        <f>СЧЁТ!V25</f>
        <v>4.522803189792793</v>
      </c>
      <c r="U92" s="419">
        <f>СЧЁТ!W25</f>
        <v>5.542638112686384</v>
      </c>
      <c r="V92" s="419">
        <f>СЧЁТ!X25</f>
        <v>6.272852216104846</v>
      </c>
      <c r="W92" s="419">
        <f>СЧЁТ!Y25</f>
        <v>7.324439758120246</v>
      </c>
      <c r="X92" s="419">
        <f>СЧЁТ!Z25</f>
        <v>8.186196716537998</v>
      </c>
      <c r="Y92" s="419">
        <f>СЧЁТ!AA25</f>
        <v>10.097240670067599</v>
      </c>
      <c r="Z92" s="419">
        <f>СЧЁТ!AB25</f>
        <v>12.014838376677151</v>
      </c>
      <c r="AA92" s="419">
        <f>СЧЁТ!AC25</f>
        <v>12.870829474853368</v>
      </c>
      <c r="AB92" s="419">
        <f>СЧЁТ!AD25</f>
        <v>14.148307151553455</v>
      </c>
      <c r="AC92" s="419">
        <f>СЧЁТ!AE25</f>
        <v>15.766970202222982</v>
      </c>
      <c r="AD92" s="419">
        <f>СЧЁТ!AF25</f>
        <v>16.974068796381736</v>
      </c>
      <c r="AE92" s="419">
        <f>СЧЁТ!AG25</f>
        <v>17.95315842273053</v>
      </c>
      <c r="AF92" s="419">
        <f>СЧЁТ!AH25</f>
        <v>19.115802786548628</v>
      </c>
      <c r="AG92" s="419">
        <f>СЧЁТ!AI25</f>
        <v>20.193444864834213</v>
      </c>
      <c r="AH92" s="419">
        <f>СЧЁТ!AJ25</f>
        <v>22.17789046888298</v>
      </c>
      <c r="AI92" s="419">
        <f>СЧЁТ!AK25</f>
        <v>22.675989872141365</v>
      </c>
      <c r="AJ92" s="419">
        <f>СЧЁТ!AL25</f>
        <v>23.085153319082956</v>
      </c>
      <c r="AK92" s="419">
        <f>СЧЁТ!AM25</f>
        <v>24.669713611800503</v>
      </c>
      <c r="AL92" s="419">
        <f>СЧЁТ!AN25</f>
        <v>25.9000669901399</v>
      </c>
      <c r="AM92" s="419">
        <f>СЧЁТ!AO25</f>
        <v>27.2144903396469</v>
      </c>
      <c r="AN92" s="419">
        <f>СЧЁТ!AP25</f>
        <v>28.594634856629245</v>
      </c>
      <c r="AO92" s="419">
        <f>СЧЁТ!AQ25</f>
        <v>30.04378659946071</v>
      </c>
      <c r="AP92" s="419">
        <f>СЧЁТ!AR25</f>
        <v>31.565395929433745</v>
      </c>
      <c r="AQ92" s="419">
        <f>СЧЁТ!AS25</f>
        <v>33.16308572590544</v>
      </c>
      <c r="AR92" s="419">
        <f>СЧЁТ!AT25</f>
        <v>34.84066001220071</v>
      </c>
      <c r="AS92" s="419">
        <f>СЧЁТ!AU25</f>
        <v>36.60211301281075</v>
      </c>
      <c r="AT92" s="419">
        <f>СЧЁТ!AV25</f>
        <v>38.45163866345129</v>
      </c>
      <c r="AU92" s="419">
        <f>СЧЁТ!AW25</f>
        <v>40.393640596623854</v>
      </c>
      <c r="AV92" s="419">
        <f>СЧЁТ!AX25</f>
        <v>42.432742626455045</v>
      </c>
      <c r="AW92" s="287" t="s">
        <v>648</v>
      </c>
    </row>
    <row r="93" ht="17.5" customHeight="1" spans="3:49" x14ac:dyDescent="0.25">
      <c r="C93" s="1335">
        <v>26</v>
      </c>
      <c r="D93" s="1387">
        <v>42034</v>
      </c>
      <c r="E93" s="1349" t="s">
        <v>547</v>
      </c>
      <c r="F93" s="26" t="s">
        <v>866</v>
      </c>
      <c r="G93" s="287" t="s">
        <v>1592</v>
      </c>
      <c r="H93" s="287"/>
      <c r="I93" s="287"/>
      <c r="J93" s="287"/>
      <c r="K93" s="287"/>
      <c r="L93" s="287"/>
      <c r="M93" s="1362">
        <v>0.2881831064229305</v>
      </c>
      <c r="N93" s="419" t="str">
        <f>СЧЁТ!A31</f>
        <v>экспертный прогноз</v>
      </c>
      <c r="O93" s="419">
        <f>СЧЁТ!B31</f>
        <v>0</v>
      </c>
      <c r="P93" s="419">
        <f>СЧЁТ!C31</f>
        <v>0</v>
      </c>
      <c r="Q93" s="419">
        <f>СЧЁТ!S31</f>
        <v>0.9889005753599999</v>
      </c>
      <c r="R93" s="419">
        <f>СЧЁТ!T31</f>
        <v>1.00472298456576</v>
      </c>
      <c r="S93" s="419">
        <f>СЧЁТ!U31</f>
        <v>1.0238127212725092</v>
      </c>
      <c r="T93" s="419">
        <f>СЧЁТ!V31</f>
        <v>1.0320032230426892</v>
      </c>
      <c r="U93" s="419">
        <f>СЧЁТ!W31</f>
        <v>1.0330352262657319</v>
      </c>
      <c r="V93" s="419">
        <f>СЧЁТ!X31</f>
        <v>0.9183683161502356</v>
      </c>
      <c r="W93" s="419">
        <f>СЧЁТ!Y31</f>
        <v>0.7503069142947425</v>
      </c>
      <c r="X93" s="419">
        <f>СЧЁТ!Z31</f>
        <v>0.7375516967517318</v>
      </c>
      <c r="Y93" s="419">
        <f>СЧЁТ!AA31</f>
        <v>0.7574655925640286</v>
      </c>
      <c r="Z93" s="419">
        <f>СЧЁТ!AB31</f>
        <v>0.7468610742681322</v>
      </c>
      <c r="AA93" s="419">
        <f>СЧЁТ!AC31</f>
        <v>0.6871121883266816</v>
      </c>
      <c r="AB93" s="419">
        <f>СЧЁТ!AD31</f>
        <v>0.6836766273850482</v>
      </c>
      <c r="AC93" s="419">
        <f>СЧЁТ!AE31</f>
        <v>0.6501764726431808</v>
      </c>
      <c r="AD93" s="419">
        <f>СЧЁТ!AF31</f>
        <v>0.643674707916749</v>
      </c>
      <c r="AE93" s="419">
        <f>СЧЁТ!AG31</f>
        <v>0.635950611421748</v>
      </c>
      <c r="AF93" s="419">
        <f>СЧЁТ!AH31</f>
        <v>0.635950611421748</v>
      </c>
      <c r="AG93" s="419">
        <f>СЧЁТ!AI31</f>
        <v>0.6175080436905173</v>
      </c>
      <c r="AH93" s="419">
        <f>СЧЁТ!AJ31</f>
        <v>0.6236831241274224</v>
      </c>
      <c r="AI93" s="419">
        <f>СЧЁТ!AK31</f>
        <v>0.6268015397480595</v>
      </c>
      <c r="AJ93" s="419">
        <f>СЧЁТ!AL31</f>
        <v>0.6550076090367222</v>
      </c>
      <c r="AK93" s="419">
        <f>СЧЁТ!AM31</f>
        <v>0.6818033748609517</v>
      </c>
      <c r="AL93" s="419">
        <f>СЧЁТ!AN31</f>
        <v>0.7072593523939696</v>
      </c>
      <c r="AM93" s="419">
        <f>СЧЁТ!AO31</f>
        <v>0.7314425310503367</v>
      </c>
      <c r="AN93" s="419">
        <f>СЧЁТ!AP31</f>
        <v>0.7544165507738855</v>
      </c>
      <c r="AO93" s="419">
        <f>СЧЁТ!AQ31</f>
        <v>0.7762418695112567</v>
      </c>
      <c r="AP93" s="419">
        <f>СЧЁТ!AR31</f>
        <v>0.7969759223117594</v>
      </c>
      <c r="AQ93" s="419">
        <f>СЧЁТ!AS31</f>
        <v>0.816673272472237</v>
      </c>
      <c r="AR93" s="419">
        <f>СЧЁТ!AT31</f>
        <v>0.8353857551246907</v>
      </c>
      <c r="AS93" s="419">
        <f>СЧЁТ!AU31</f>
        <v>0.8531626136445217</v>
      </c>
      <c r="AT93" s="419">
        <f>СЧЁТ!AV31</f>
        <v>0.8700506292383612</v>
      </c>
      <c r="AU93" s="419">
        <f>СЧЁТ!AW31</f>
        <v>0.8860942440525087</v>
      </c>
      <c r="AV93" s="419">
        <f>СЧЁТ!AX31</f>
        <v>0.9013356781259488</v>
      </c>
      <c r="AW93" s="287" t="s">
        <v>547</v>
      </c>
    </row>
    <row r="94" ht="17.5" customHeight="1" spans="3:49" x14ac:dyDescent="0.25">
      <c r="C94" s="1335">
        <v>27</v>
      </c>
      <c r="D94" s="1348">
        <v>42309</v>
      </c>
      <c r="E94" s="1349" t="s">
        <v>601</v>
      </c>
      <c r="F94" s="26" t="s">
        <v>866</v>
      </c>
      <c r="G94" s="287" t="s">
        <v>1593</v>
      </c>
      <c r="H94" s="287"/>
      <c r="I94" s="287"/>
      <c r="J94" s="287"/>
      <c r="K94" s="287"/>
      <c r="L94" s="287"/>
      <c r="M94" s="1376">
        <v>1.3068917176995491</v>
      </c>
      <c r="N94" s="419">
        <f>СЧЁТ!P32</f>
        <v>1.0551238685898738</v>
      </c>
      <c r="O94" s="419">
        <f>СЧЁТ!Q32</f>
        <v>1.0637144494078237</v>
      </c>
      <c r="P94" s="419">
        <f>СЧЁТ!R32</f>
        <v>0.8831435098620776</v>
      </c>
      <c r="Q94" s="419">
        <f>СЧЁТ!S32</f>
        <v>0.9435169819309864</v>
      </c>
      <c r="R94" s="419">
        <f>СЧЁТ!T32</f>
        <v>1.2247490822844354</v>
      </c>
      <c r="S94" s="419">
        <f>СЧЁТ!U32</f>
        <v>1.3476545615734206</v>
      </c>
      <c r="T94" s="419">
        <f>СЧЁТ!V32</f>
        <v>1.4665088426814834</v>
      </c>
      <c r="U94" s="419">
        <f>СЧЁТ!W32</f>
        <v>1.6632756085335</v>
      </c>
      <c r="V94" s="419">
        <f>СЧЁТ!X32</f>
        <v>1.8635096058631688</v>
      </c>
      <c r="W94" s="419">
        <f>СЧЁТ!Y32</f>
        <v>2.018480610292013</v>
      </c>
      <c r="X94" s="419">
        <f>СЧЁТ!Z32</f>
        <v>2.2752161070197054</v>
      </c>
      <c r="Y94" s="419">
        <f>СЧЁТ!AA32</f>
        <v>2.574224804669774</v>
      </c>
      <c r="Z94" s="419">
        <f>СЧЁТ!AB32</f>
        <v>2.7497210051148255</v>
      </c>
      <c r="AA94" s="419">
        <f>СЧЁТ!AC32</f>
        <v>1.8560505362598563</v>
      </c>
      <c r="AB94" s="419">
        <f>СЧЁТ!AD32</f>
        <v>2.330390730221253</v>
      </c>
      <c r="AC94" s="419">
        <f>СЧЁТ!AE32</f>
        <v>2.683219177751119</v>
      </c>
      <c r="AD94" s="419">
        <f>СЧЁТ!AF32</f>
        <v>2.7827564782033063</v>
      </c>
      <c r="AE94" s="419">
        <f>СЧЁТ!AG32</f>
        <v>2.7806418221752773</v>
      </c>
      <c r="AF94" s="419">
        <f>СЧЁТ!AH32</f>
        <v>2.5425932511944835</v>
      </c>
      <c r="AG94" s="419">
        <f>СЧЁТ!AI32</f>
        <v>2.1845595087999583</v>
      </c>
      <c r="AH94" s="419">
        <f>СЧЁТ!AJ32</f>
        <v>2.1739835580660896</v>
      </c>
      <c r="AI94" s="419">
        <f>СЧЁТ!AK32</f>
        <v>2.459327825213312</v>
      </c>
      <c r="AJ94" s="419">
        <f>СЧЁТ!AL32</f>
        <v>2.5430346985333676</v>
      </c>
      <c r="AK94" s="419">
        <f>СЧЁТ!AM32</f>
        <v>2.593258822525401</v>
      </c>
      <c r="AL94" s="419">
        <f>СЧЁТ!AN32</f>
        <v>2.6233932969206215</v>
      </c>
      <c r="AM94" s="419">
        <f>СЧЁТ!AO32</f>
        <v>2.6414739815577537</v>
      </c>
      <c r="AN94" s="419">
        <f>СЧЁТ!AP32</f>
        <v>2.652322392340033</v>
      </c>
      <c r="AO94" s="419">
        <f>СЧЁТ!AQ32</f>
        <v>2.658831438809401</v>
      </c>
      <c r="AP94" s="419">
        <f>СЧЁТ!AR32</f>
        <v>2.662736866691022</v>
      </c>
      <c r="AQ94" s="419">
        <f>СЧЁТ!AS32</f>
        <v>2.6650801234199943</v>
      </c>
      <c r="AR94" s="419">
        <f>СЧЁТ!AT32</f>
        <v>2.6664860774573778</v>
      </c>
      <c r="AS94" s="419">
        <f>СЧЁТ!AU32</f>
        <v>2.667329649879808</v>
      </c>
      <c r="AT94" s="419">
        <f>СЧЁТ!AV32</f>
        <v>2.667835793333266</v>
      </c>
      <c r="AU94" s="419">
        <f>СЧЁТ!AW32</f>
        <v>2.668139479405341</v>
      </c>
      <c r="AV94" s="419">
        <f>СЧЁТ!AX32</f>
        <v>2.6683216910485856</v>
      </c>
      <c r="AW94" s="287" t="s">
        <v>601</v>
      </c>
    </row>
    <row r="95" ht="17.5" customHeight="1" spans="3:49" x14ac:dyDescent="0.25">
      <c r="C95" s="1335">
        <v>28</v>
      </c>
      <c r="D95" s="1348">
        <v>42308</v>
      </c>
      <c r="E95" s="1349" t="s">
        <v>480</v>
      </c>
      <c r="F95" s="26" t="s">
        <v>866</v>
      </c>
      <c r="G95" s="287" t="s">
        <v>1594</v>
      </c>
      <c r="H95" s="287"/>
      <c r="I95" s="287"/>
      <c r="J95" s="287"/>
      <c r="K95" s="287"/>
      <c r="L95" s="287"/>
      <c r="M95" s="1362">
        <v>0.039346290432521365</v>
      </c>
      <c r="N95" s="419">
        <f>СЧЁТ!P33</f>
        <v>5300.694</v>
      </c>
      <c r="O95" s="419">
        <f>СЧЁТ!Q33</f>
        <v>5279.491224</v>
      </c>
      <c r="P95" s="419">
        <f>СЧЁТ!R33</f>
        <v>5263.652750328</v>
      </c>
      <c r="Q95" s="419">
        <f>СЧЁТ!S33</f>
        <v>5274.180055828657</v>
      </c>
      <c r="R95" s="419">
        <f>СЧЁТ!T33</f>
        <v>5300.5509561078</v>
      </c>
      <c r="S95" s="419">
        <f>СЧЁТ!U33</f>
        <v>5348.25591471277</v>
      </c>
      <c r="T95" s="419">
        <f>СЧЁТ!V33</f>
        <v>5401.7384738598985</v>
      </c>
      <c r="U95" s="419">
        <f>СЧЁТ!W33</f>
        <v>5471.961074020076</v>
      </c>
      <c r="V95" s="419">
        <f>СЧЁТ!X33</f>
        <v>5559.512451204397</v>
      </c>
      <c r="W95" s="419">
        <f>СЧЁТ!Y33</f>
        <v>5665.143187777281</v>
      </c>
      <c r="X95" s="419">
        <f>СЧЁТ!Z33</f>
        <v>5801.106624283936</v>
      </c>
      <c r="Y95" s="419">
        <f>СЧЁТ!AA33</f>
        <v>5980.940929636738</v>
      </c>
      <c r="Z95" s="419">
        <f>СЧЁТ!AB33</f>
        <v>6196.25480310366</v>
      </c>
      <c r="AA95" s="419">
        <f>СЧЁТ!AC33</f>
        <v>6394.534956802978</v>
      </c>
      <c r="AB95" s="419">
        <f>СЧЁТ!AD33</f>
        <v>6586.371005507067</v>
      </c>
      <c r="AC95" s="419">
        <f>СЧЁТ!AE33</f>
        <v>6849.8258457273505</v>
      </c>
      <c r="AD95" s="419">
        <f>СЧЁТ!AF33</f>
        <v>7144.3683570936255</v>
      </c>
      <c r="AE95" s="419">
        <f>СЧЁТ!AG33</f>
        <v>7437.2874597344635</v>
      </c>
      <c r="AF95" s="419">
        <f>СЧЁТ!AH33</f>
        <v>7712.467095744638</v>
      </c>
      <c r="AG95" s="419">
        <f>СЧЁТ!AI33</f>
        <v>7959.266042808467</v>
      </c>
      <c r="AH95" s="419">
        <f>СЧЁТ!AJ33</f>
        <v>8269.677418477997</v>
      </c>
      <c r="AI95" s="419">
        <f>СЧЁТ!AK33</f>
        <v>8583.92516038016</v>
      </c>
      <c r="AJ95" s="419">
        <f>СЧЁТ!AL33</f>
        <v>8944.450017116129</v>
      </c>
      <c r="AK95" s="419">
        <f>СЧЁТ!AM33</f>
        <v>9315.47943646637</v>
      </c>
      <c r="AL95" s="419">
        <f>СЧЁТ!AN33</f>
        <v>9701.563465887435</v>
      </c>
      <c r="AM95" s="419">
        <f>СЧЁТ!AO33</f>
        <v>10100.449024754149</v>
      </c>
      <c r="AN95" s="419">
        <f>СЧЁТ!AP33</f>
        <v>10526.2325363394</v>
      </c>
      <c r="AO95" s="419">
        <f>СЧЁТ!AQ33</f>
        <v>10976.127338183813</v>
      </c>
      <c r="AP95" s="419">
        <f>СЧЁТ!AR33</f>
        <v>11450.376438115263</v>
      </c>
      <c r="AQ95" s="419">
        <f>СЧЁТ!AS33</f>
        <v>11948.374451382973</v>
      </c>
      <c r="AR95" s="419">
        <f>СЧЁТ!AT33</f>
        <v>12470.493165184831</v>
      </c>
      <c r="AS95" s="419">
        <f>СЧЁТ!AU33</f>
        <v>13017.144068658055</v>
      </c>
      <c r="AT95" s="419">
        <f>СЧЁТ!AV33</f>
        <v>13588.769822736602</v>
      </c>
      <c r="AU95" s="419">
        <f>СЧЁТ!AW33</f>
        <v>14185.83670455504</v>
      </c>
      <c r="AV95" s="419">
        <f>СЧЁТ!AX33</f>
        <v>14808.82788562779</v>
      </c>
      <c r="AW95" s="287" t="s">
        <v>480</v>
      </c>
    </row>
    <row r="96" ht="17.5" customHeight="1" spans="3:49" x14ac:dyDescent="0.25">
      <c r="C96" s="1335">
        <v>29</v>
      </c>
      <c r="D96" s="1348">
        <v>42308</v>
      </c>
      <c r="E96" s="1349" t="s">
        <v>483</v>
      </c>
      <c r="F96" s="26" t="s">
        <v>866</v>
      </c>
      <c r="G96" s="287" t="s">
        <v>2272</v>
      </c>
      <c r="H96" s="287"/>
      <c r="I96" s="287"/>
      <c r="J96" s="287"/>
      <c r="K96" s="287"/>
      <c r="L96" s="287"/>
      <c r="M96" s="1362">
        <v>0.05413642837764514</v>
      </c>
      <c r="N96" s="419">
        <f>СЧЁТ!P34</f>
        <v>0</v>
      </c>
      <c r="O96" s="419">
        <f>СЧЁТ!Q34</f>
        <v>0</v>
      </c>
      <c r="P96" s="419">
        <f>СЧЁТ!R34</f>
        <v>0</v>
      </c>
      <c r="Q96" s="419">
        <f>СЧЁТ!S34</f>
        <v>0</v>
      </c>
      <c r="R96" s="419">
        <f>СЧЁТ!T34</f>
        <v>0</v>
      </c>
      <c r="S96" s="419">
        <f>СЧЁТ!U34</f>
        <v>0</v>
      </c>
      <c r="T96" s="419">
        <f>СЧЁТ!V34</f>
        <v>0</v>
      </c>
      <c r="U96" s="419">
        <f>СЧЁТ!W34</f>
        <v>0</v>
      </c>
      <c r="V96" s="419">
        <f>СЧЁТ!X34</f>
        <v>0</v>
      </c>
      <c r="W96" s="419">
        <f>СЧЁТ!Y34</f>
        <v>0</v>
      </c>
      <c r="X96" s="419">
        <f>СЧЁТ!Z34</f>
        <v>0</v>
      </c>
      <c r="Y96" s="419">
        <f>СЧЁТ!AA34</f>
        <v>0</v>
      </c>
      <c r="Z96" s="419">
        <f>СЧЁТ!AB34</f>
        <v>0</v>
      </c>
      <c r="AA96" s="419">
        <f>СЧЁТ!AC34</f>
        <v>0</v>
      </c>
      <c r="AB96" s="419">
        <f>СЧЁТ!AD34</f>
        <v>0</v>
      </c>
      <c r="AC96" s="419">
        <f>СЧЁТ!AE34</f>
        <v>0</v>
      </c>
      <c r="AD96" s="419">
        <f>СЧЁТ!AF34</f>
        <v>0</v>
      </c>
      <c r="AE96" s="419">
        <f>СЧЁТ!AG34</f>
        <v>0</v>
      </c>
      <c r="AF96" s="419">
        <f>СЧЁТ!AH34</f>
        <v>0</v>
      </c>
      <c r="AG96" s="419">
        <f>СЧЁТ!AI34</f>
        <v>0</v>
      </c>
      <c r="AH96" s="419">
        <f>СЧЁТ!AJ34</f>
        <v>0</v>
      </c>
      <c r="AI96" s="419">
        <f>СЧЁТ!AK34</f>
        <v>0</v>
      </c>
      <c r="AJ96" s="419">
        <f>СЧЁТ!AL34</f>
        <v>0</v>
      </c>
      <c r="AK96" s="419">
        <f>СЧЁТ!AM34</f>
        <v>0</v>
      </c>
      <c r="AL96" s="419">
        <f>СЧЁТ!AN34</f>
        <v>0</v>
      </c>
      <c r="AM96" s="419">
        <f>СЧЁТ!AO34</f>
        <v>0</v>
      </c>
      <c r="AN96" s="419">
        <f>СЧЁТ!AP34</f>
        <v>0</v>
      </c>
      <c r="AO96" s="419">
        <f>СЧЁТ!AQ34</f>
        <v>0</v>
      </c>
      <c r="AP96" s="419">
        <f>СЧЁТ!AR34</f>
        <v>0</v>
      </c>
      <c r="AQ96" s="419">
        <f>СЧЁТ!AS34</f>
        <v>0</v>
      </c>
      <c r="AR96" s="419">
        <f>СЧЁТ!AT34</f>
        <v>0</v>
      </c>
      <c r="AS96" s="419">
        <f>СЧЁТ!AU34</f>
        <v>0</v>
      </c>
      <c r="AT96" s="419">
        <f>СЧЁТ!AV34</f>
        <v>0</v>
      </c>
      <c r="AU96" s="419">
        <f>СЧЁТ!AW34</f>
        <v>0</v>
      </c>
      <c r="AV96" s="419">
        <f>СЧЁТ!AX34</f>
        <v>0</v>
      </c>
      <c r="AW96" s="287" t="s">
        <v>483</v>
      </c>
    </row>
    <row r="97" ht="17.5" customHeight="1" spans="3:49" x14ac:dyDescent="0.25">
      <c r="C97" s="1335">
        <v>30</v>
      </c>
      <c r="D97" s="1348">
        <v>40875</v>
      </c>
      <c r="E97" s="1349" t="s">
        <v>407</v>
      </c>
      <c r="F97" s="26" t="s">
        <v>866</v>
      </c>
      <c r="G97" s="287" t="s">
        <v>1597</v>
      </c>
      <c r="H97" s="287"/>
      <c r="I97" s="287"/>
      <c r="J97" s="287"/>
      <c r="K97" s="287"/>
      <c r="L97" s="287"/>
      <c r="M97" s="1362">
        <v>0.34814482345900655</v>
      </c>
      <c r="N97" s="419">
        <f>СЧЁТ!P35</f>
        <v>0</v>
      </c>
      <c r="O97" s="419">
        <f>СЧЁТ!Q35</f>
        <v>0</v>
      </c>
      <c r="P97" s="419">
        <f>СЧЁТ!R35</f>
        <v>0</v>
      </c>
      <c r="Q97" s="419">
        <f>СЧЁТ!S35</f>
        <v>0</v>
      </c>
      <c r="R97" s="419">
        <f>СЧЁТ!T35</f>
        <v>0</v>
      </c>
      <c r="S97" s="419">
        <f>СЧЁТ!U35</f>
        <v>0</v>
      </c>
      <c r="T97" s="419">
        <f>СЧЁТ!V35</f>
        <v>0</v>
      </c>
      <c r="U97" s="419">
        <f>СЧЁТ!W35</f>
        <v>0</v>
      </c>
      <c r="V97" s="419">
        <f>СЧЁТ!X35</f>
        <v>0</v>
      </c>
      <c r="W97" s="419">
        <f>СЧЁТ!Y35</f>
        <v>0</v>
      </c>
      <c r="X97" s="419">
        <f>СЧЁТ!Z35</f>
        <v>0</v>
      </c>
      <c r="Y97" s="419">
        <f>СЧЁТ!AA35</f>
        <v>0</v>
      </c>
      <c r="Z97" s="419">
        <f>СЧЁТ!AB35</f>
        <v>0</v>
      </c>
      <c r="AA97" s="419">
        <f>СЧЁТ!AC35</f>
        <v>0</v>
      </c>
      <c r="AB97" s="419">
        <f>СЧЁТ!AD35</f>
        <v>0</v>
      </c>
      <c r="AC97" s="419">
        <f>СЧЁТ!AE35</f>
        <v>0</v>
      </c>
      <c r="AD97" s="419">
        <f>СЧЁТ!AF35</f>
        <v>0</v>
      </c>
      <c r="AE97" s="419">
        <f>СЧЁТ!AG35</f>
        <v>0</v>
      </c>
      <c r="AF97" s="419">
        <f>СЧЁТ!AH35</f>
        <v>0</v>
      </c>
      <c r="AG97" s="419">
        <f>СЧЁТ!AI35</f>
        <v>0</v>
      </c>
      <c r="AH97" s="419">
        <f>СЧЁТ!AJ35</f>
        <v>0</v>
      </c>
      <c r="AI97" s="419">
        <f>СЧЁТ!AK35</f>
        <v>0</v>
      </c>
      <c r="AJ97" s="419">
        <f>СЧЁТ!AL35</f>
        <v>0</v>
      </c>
      <c r="AK97" s="419">
        <f>СЧЁТ!AM35</f>
        <v>0</v>
      </c>
      <c r="AL97" s="419">
        <f>СЧЁТ!AN35</f>
        <v>0</v>
      </c>
      <c r="AM97" s="419">
        <f>СЧЁТ!AO35</f>
        <v>0</v>
      </c>
      <c r="AN97" s="419">
        <f>СЧЁТ!AP35</f>
        <v>0</v>
      </c>
      <c r="AO97" s="419">
        <f>СЧЁТ!AQ35</f>
        <v>0</v>
      </c>
      <c r="AP97" s="419">
        <f>СЧЁТ!AR35</f>
        <v>0</v>
      </c>
      <c r="AQ97" s="419">
        <f>СЧЁТ!AS35</f>
        <v>0</v>
      </c>
      <c r="AR97" s="419">
        <f>СЧЁТ!AT35</f>
        <v>0</v>
      </c>
      <c r="AS97" s="419">
        <f>СЧЁТ!AU35</f>
        <v>0</v>
      </c>
      <c r="AT97" s="419">
        <f>СЧЁТ!AV35</f>
        <v>0</v>
      </c>
      <c r="AU97" s="419">
        <f>СЧЁТ!AW35</f>
        <v>0</v>
      </c>
      <c r="AV97" s="419">
        <f>СЧЁТ!AX35</f>
        <v>0</v>
      </c>
      <c r="AW97" s="287" t="s">
        <v>407</v>
      </c>
    </row>
    <row r="98" ht="17.5" customHeight="1" spans="3:49" x14ac:dyDescent="0.25">
      <c r="C98" s="2465">
        <v>31</v>
      </c>
      <c r="D98" s="1348"/>
      <c r="E98" s="1349" t="s">
        <v>427</v>
      </c>
      <c r="F98" s="26" t="s">
        <v>277</v>
      </c>
      <c r="G98" s="287" t="s">
        <v>1598</v>
      </c>
      <c r="H98" s="287"/>
      <c r="I98" s="287"/>
      <c r="J98" s="287"/>
      <c r="K98" s="287"/>
      <c r="L98" s="287"/>
      <c r="M98" s="1368">
        <v>486.1</v>
      </c>
      <c r="N98" s="419" t="e">
        <f>СЧЁТ!#REF!</f>
        <v>#REF!</v>
      </c>
      <c r="O98" s="419" t="e">
        <f>СЧЁТ!#REF!</f>
        <v>#REF!</v>
      </c>
      <c r="P98" s="419" t="e">
        <f>СЧЁТ!#REF!</f>
        <v>#REF!</v>
      </c>
      <c r="Q98" s="419" t="e">
        <f>СЧЁТ!#REF!</f>
        <v>#REF!</v>
      </c>
      <c r="R98" s="419" t="e">
        <f>СЧЁТ!#REF!</f>
        <v>#REF!</v>
      </c>
      <c r="S98" s="419" t="e">
        <f>СЧЁТ!#REF!</f>
        <v>#REF!</v>
      </c>
      <c r="T98" s="419" t="e">
        <f>СЧЁТ!#REF!</f>
        <v>#REF!</v>
      </c>
      <c r="U98" s="419" t="e">
        <f>СЧЁТ!#REF!</f>
        <v>#REF!</v>
      </c>
      <c r="V98" s="419" t="e">
        <f>СЧЁТ!#REF!</f>
        <v>#REF!</v>
      </c>
      <c r="W98" s="419" t="e">
        <f>СЧЁТ!#REF!</f>
        <v>#REF!</v>
      </c>
      <c r="X98" s="419" t="e">
        <f>СЧЁТ!#REF!</f>
        <v>#REF!</v>
      </c>
      <c r="Y98" s="419" t="e">
        <f>СЧЁТ!#REF!</f>
        <v>#REF!</v>
      </c>
      <c r="Z98" s="419" t="e">
        <f>СЧЁТ!#REF!</f>
        <v>#REF!</v>
      </c>
      <c r="AA98" s="419" t="e">
        <f>СЧЁТ!#REF!</f>
        <v>#REF!</v>
      </c>
      <c r="AB98" s="419" t="e">
        <f>СЧЁТ!#REF!</f>
        <v>#REF!</v>
      </c>
      <c r="AC98" s="419" t="e">
        <f>СЧЁТ!#REF!</f>
        <v>#REF!</v>
      </c>
      <c r="AD98" s="419" t="e">
        <f>СЧЁТ!#REF!</f>
        <v>#REF!</v>
      </c>
      <c r="AE98" s="419" t="e">
        <f>СЧЁТ!#REF!</f>
        <v>#REF!</v>
      </c>
      <c r="AF98" s="419" t="e">
        <f>СЧЁТ!#REF!</f>
        <v>#REF!</v>
      </c>
      <c r="AG98" s="419" t="e">
        <f>СЧЁТ!#REF!</f>
        <v>#REF!</v>
      </c>
      <c r="AH98" s="419" t="e">
        <f>СЧЁТ!#REF!</f>
        <v>#REF!</v>
      </c>
      <c r="AI98" s="419" t="e">
        <f>СЧЁТ!#REF!</f>
        <v>#REF!</v>
      </c>
      <c r="AJ98" s="419" t="e">
        <f>СЧЁТ!#REF!</f>
        <v>#REF!</v>
      </c>
      <c r="AK98" s="419" t="e">
        <f>СЧЁТ!#REF!</f>
        <v>#REF!</v>
      </c>
      <c r="AL98" s="419" t="e">
        <f>СЧЁТ!#REF!</f>
        <v>#REF!</v>
      </c>
      <c r="AM98" s="419" t="e">
        <f>СЧЁТ!#REF!</f>
        <v>#REF!</v>
      </c>
      <c r="AN98" s="419" t="e">
        <f>СЧЁТ!#REF!</f>
        <v>#REF!</v>
      </c>
      <c r="AO98" s="419" t="e">
        <f>СЧЁТ!#REF!</f>
        <v>#REF!</v>
      </c>
      <c r="AP98" s="419" t="e">
        <f>СЧЁТ!#REF!</f>
        <v>#REF!</v>
      </c>
      <c r="AQ98" s="419" t="e">
        <f>СЧЁТ!#REF!</f>
        <v>#REF!</v>
      </c>
      <c r="AR98" s="419" t="e">
        <f>СЧЁТ!#REF!</f>
        <v>#REF!</v>
      </c>
      <c r="AS98" s="419" t="e">
        <f>СЧЁТ!#REF!</f>
        <v>#REF!</v>
      </c>
      <c r="AT98" s="419" t="e">
        <f>СЧЁТ!#REF!</f>
        <v>#REF!</v>
      </c>
      <c r="AU98" s="419" t="e">
        <f>СЧЁТ!#REF!</f>
        <v>#REF!</v>
      </c>
      <c r="AV98" s="419" t="e">
        <f>СЧЁТ!#REF!</f>
        <v>#REF!</v>
      </c>
      <c r="AW98" s="287" t="s">
        <v>427</v>
      </c>
    </row>
    <row r="99" ht="17.5" customHeight="1" spans="3:49" x14ac:dyDescent="0.25">
      <c r="C99" s="2465">
        <v>32</v>
      </c>
      <c r="D99" s="1348">
        <v>40558</v>
      </c>
      <c r="E99" s="1349" t="s">
        <v>424</v>
      </c>
      <c r="F99" s="26" t="s">
        <v>277</v>
      </c>
      <c r="G99" s="287" t="s">
        <v>1599</v>
      </c>
      <c r="H99" s="287"/>
      <c r="I99" s="287"/>
      <c r="J99" s="287"/>
      <c r="K99" s="287"/>
      <c r="L99" s="287"/>
      <c r="M99" s="1368">
        <v>610.792</v>
      </c>
      <c r="N99" s="419" t="e">
        <f>СЧЁТ!#REF!</f>
        <v>#REF!</v>
      </c>
      <c r="O99" s="419" t="e">
        <f>СЧЁТ!#REF!</f>
        <v>#REF!</v>
      </c>
      <c r="P99" s="419" t="e">
        <f>СЧЁТ!#REF!</f>
        <v>#REF!</v>
      </c>
      <c r="Q99" s="419" t="e">
        <f>СЧЁТ!#REF!</f>
        <v>#REF!</v>
      </c>
      <c r="R99" s="419" t="e">
        <f>СЧЁТ!#REF!</f>
        <v>#REF!</v>
      </c>
      <c r="S99" s="419" t="e">
        <f>СЧЁТ!#REF!</f>
        <v>#REF!</v>
      </c>
      <c r="T99" s="419" t="e">
        <f>СЧЁТ!#REF!</f>
        <v>#REF!</v>
      </c>
      <c r="U99" s="419" t="e">
        <f>СЧЁТ!#REF!</f>
        <v>#REF!</v>
      </c>
      <c r="V99" s="419" t="e">
        <f>СЧЁТ!#REF!</f>
        <v>#REF!</v>
      </c>
      <c r="W99" s="419" t="e">
        <f>СЧЁТ!#REF!</f>
        <v>#REF!</v>
      </c>
      <c r="X99" s="419" t="e">
        <f>СЧЁТ!#REF!</f>
        <v>#REF!</v>
      </c>
      <c r="Y99" s="419" t="e">
        <f>СЧЁТ!#REF!</f>
        <v>#REF!</v>
      </c>
      <c r="Z99" s="419" t="e">
        <f>СЧЁТ!#REF!</f>
        <v>#REF!</v>
      </c>
      <c r="AA99" s="419" t="e">
        <f>СЧЁТ!#REF!</f>
        <v>#REF!</v>
      </c>
      <c r="AB99" s="419" t="e">
        <f>СЧЁТ!#REF!</f>
        <v>#REF!</v>
      </c>
      <c r="AC99" s="419" t="e">
        <f>СЧЁТ!#REF!</f>
        <v>#REF!</v>
      </c>
      <c r="AD99" s="419" t="e">
        <f>СЧЁТ!#REF!</f>
        <v>#REF!</v>
      </c>
      <c r="AE99" s="419" t="e">
        <f>СЧЁТ!#REF!</f>
        <v>#REF!</v>
      </c>
      <c r="AF99" s="419" t="e">
        <f>СЧЁТ!#REF!</f>
        <v>#REF!</v>
      </c>
      <c r="AG99" s="419" t="e">
        <f>СЧЁТ!#REF!</f>
        <v>#REF!</v>
      </c>
      <c r="AH99" s="419" t="e">
        <f>СЧЁТ!#REF!</f>
        <v>#REF!</v>
      </c>
      <c r="AI99" s="419" t="e">
        <f>СЧЁТ!#REF!</f>
        <v>#REF!</v>
      </c>
      <c r="AJ99" s="419" t="e">
        <f>СЧЁТ!#REF!</f>
        <v>#REF!</v>
      </c>
      <c r="AK99" s="419" t="e">
        <f>СЧЁТ!#REF!</f>
        <v>#REF!</v>
      </c>
      <c r="AL99" s="419" t="e">
        <f>СЧЁТ!#REF!</f>
        <v>#REF!</v>
      </c>
      <c r="AM99" s="419" t="e">
        <f>СЧЁТ!#REF!</f>
        <v>#REF!</v>
      </c>
      <c r="AN99" s="419" t="e">
        <f>СЧЁТ!#REF!</f>
        <v>#REF!</v>
      </c>
      <c r="AO99" s="419" t="e">
        <f>СЧЁТ!#REF!</f>
        <v>#REF!</v>
      </c>
      <c r="AP99" s="419" t="e">
        <f>СЧЁТ!#REF!</f>
        <v>#REF!</v>
      </c>
      <c r="AQ99" s="419" t="e">
        <f>СЧЁТ!#REF!</f>
        <v>#REF!</v>
      </c>
      <c r="AR99" s="419" t="e">
        <f>СЧЁТ!#REF!</f>
        <v>#REF!</v>
      </c>
      <c r="AS99" s="419" t="e">
        <f>СЧЁТ!#REF!</f>
        <v>#REF!</v>
      </c>
      <c r="AT99" s="419" t="e">
        <f>СЧЁТ!#REF!</f>
        <v>#REF!</v>
      </c>
      <c r="AU99" s="419" t="e">
        <f>СЧЁТ!#REF!</f>
        <v>#REF!</v>
      </c>
      <c r="AV99" s="419" t="e">
        <f>СЧЁТ!#REF!</f>
        <v>#REF!</v>
      </c>
      <c r="AW99" s="287" t="s">
        <v>424</v>
      </c>
    </row>
    <row r="100" ht="17.5" customHeight="1" spans="3:49" x14ac:dyDescent="0.25">
      <c r="C100" s="2465">
        <v>33</v>
      </c>
      <c r="D100" s="1348">
        <v>40558</v>
      </c>
      <c r="E100" s="1349" t="s">
        <v>1076</v>
      </c>
      <c r="F100" s="26" t="s">
        <v>277</v>
      </c>
      <c r="G100" s="287" t="s">
        <v>1258</v>
      </c>
      <c r="H100" s="287"/>
      <c r="I100" s="287"/>
      <c r="J100" s="287"/>
      <c r="K100" s="287"/>
      <c r="L100" s="287"/>
      <c r="M100" s="1371">
        <v>910.9</v>
      </c>
      <c r="N100" s="419" t="e">
        <f>СЧЁТ!#REF!</f>
        <v>#REF!</v>
      </c>
      <c r="O100" s="419" t="e">
        <f>СЧЁТ!#REF!</f>
        <v>#REF!</v>
      </c>
      <c r="P100" s="419" t="e">
        <f>СЧЁТ!#REF!</f>
        <v>#REF!</v>
      </c>
      <c r="Q100" s="419" t="e">
        <f>СЧЁТ!#REF!</f>
        <v>#REF!</v>
      </c>
      <c r="R100" s="419" t="e">
        <f>СЧЁТ!#REF!</f>
        <v>#REF!</v>
      </c>
      <c r="S100" s="419" t="e">
        <f>СЧЁТ!#REF!</f>
        <v>#REF!</v>
      </c>
      <c r="T100" s="419" t="e">
        <f>СЧЁТ!#REF!</f>
        <v>#REF!</v>
      </c>
      <c r="U100" s="419" t="e">
        <f>СЧЁТ!#REF!</f>
        <v>#REF!</v>
      </c>
      <c r="V100" s="419" t="e">
        <f>СЧЁТ!#REF!</f>
        <v>#REF!</v>
      </c>
      <c r="W100" s="419" t="e">
        <f>СЧЁТ!#REF!</f>
        <v>#REF!</v>
      </c>
      <c r="X100" s="419" t="e">
        <f>СЧЁТ!#REF!</f>
        <v>#REF!</v>
      </c>
      <c r="Y100" s="419" t="e">
        <f>СЧЁТ!#REF!</f>
        <v>#REF!</v>
      </c>
      <c r="Z100" s="419" t="e">
        <f>СЧЁТ!#REF!</f>
        <v>#REF!</v>
      </c>
      <c r="AA100" s="419" t="e">
        <f>СЧЁТ!#REF!</f>
        <v>#REF!</v>
      </c>
      <c r="AB100" s="419" t="e">
        <f>СЧЁТ!#REF!</f>
        <v>#REF!</v>
      </c>
      <c r="AC100" s="419" t="e">
        <f>СЧЁТ!#REF!</f>
        <v>#REF!</v>
      </c>
      <c r="AD100" s="419" t="e">
        <f>СЧЁТ!#REF!</f>
        <v>#REF!</v>
      </c>
      <c r="AE100" s="419" t="e">
        <f>СЧЁТ!#REF!</f>
        <v>#REF!</v>
      </c>
      <c r="AF100" s="419" t="e">
        <f>СЧЁТ!#REF!</f>
        <v>#REF!</v>
      </c>
      <c r="AG100" s="419" t="e">
        <f>СЧЁТ!#REF!</f>
        <v>#REF!</v>
      </c>
      <c r="AH100" s="419" t="e">
        <f>СЧЁТ!#REF!</f>
        <v>#REF!</v>
      </c>
      <c r="AI100" s="419" t="e">
        <f>СЧЁТ!#REF!</f>
        <v>#REF!</v>
      </c>
      <c r="AJ100" s="419" t="e">
        <f>СЧЁТ!#REF!</f>
        <v>#REF!</v>
      </c>
      <c r="AK100" s="419" t="e">
        <f>СЧЁТ!#REF!</f>
        <v>#REF!</v>
      </c>
      <c r="AL100" s="419" t="e">
        <f>СЧЁТ!#REF!</f>
        <v>#REF!</v>
      </c>
      <c r="AM100" s="419" t="e">
        <f>СЧЁТ!#REF!</f>
        <v>#REF!</v>
      </c>
      <c r="AN100" s="419" t="e">
        <f>СЧЁТ!#REF!</f>
        <v>#REF!</v>
      </c>
      <c r="AO100" s="419" t="e">
        <f>СЧЁТ!#REF!</f>
        <v>#REF!</v>
      </c>
      <c r="AP100" s="419" t="e">
        <f>СЧЁТ!#REF!</f>
        <v>#REF!</v>
      </c>
      <c r="AQ100" s="419" t="e">
        <f>СЧЁТ!#REF!</f>
        <v>#REF!</v>
      </c>
      <c r="AR100" s="419" t="e">
        <f>СЧЁТ!#REF!</f>
        <v>#REF!</v>
      </c>
      <c r="AS100" s="419" t="e">
        <f>СЧЁТ!#REF!</f>
        <v>#REF!</v>
      </c>
      <c r="AT100" s="419" t="e">
        <f>СЧЁТ!#REF!</f>
        <v>#REF!</v>
      </c>
      <c r="AU100" s="419" t="e">
        <f>СЧЁТ!#REF!</f>
        <v>#REF!</v>
      </c>
      <c r="AV100" s="419" t="e">
        <f>СЧЁТ!#REF!</f>
        <v>#REF!</v>
      </c>
      <c r="AW100" s="287" t="s">
        <v>1076</v>
      </c>
    </row>
    <row r="101" ht="17.5" customHeight="1" spans="3:49" x14ac:dyDescent="0.25">
      <c r="C101" s="2465">
        <v>34</v>
      </c>
      <c r="D101" s="1348">
        <v>40558</v>
      </c>
      <c r="E101" s="1349" t="s">
        <v>281</v>
      </c>
      <c r="F101" s="26" t="s">
        <v>277</v>
      </c>
      <c r="G101" s="287" t="s">
        <v>1600</v>
      </c>
      <c r="H101" s="287"/>
      <c r="I101" s="287"/>
      <c r="J101" s="287"/>
      <c r="K101" s="287"/>
      <c r="L101" s="287"/>
      <c r="M101" s="1368">
        <v>2767.6205</v>
      </c>
      <c r="N101" s="419">
        <f>СЧЁТ!P39</f>
        <v>0</v>
      </c>
      <c r="O101" s="419">
        <f>СЧЁТ!Q39</f>
        <v>0</v>
      </c>
      <c r="P101" s="419">
        <f>СЧЁТ!R39</f>
        <v>0</v>
      </c>
      <c r="Q101" s="419">
        <f>СЧЁТ!S39</f>
        <v>0</v>
      </c>
      <c r="R101" s="419">
        <f>СЧЁТ!T39</f>
        <v>0</v>
      </c>
      <c r="S101" s="419">
        <f>СЧЁТ!U39</f>
        <v>0</v>
      </c>
      <c r="T101" s="419">
        <f>СЧЁТ!V39</f>
        <v>0</v>
      </c>
      <c r="U101" s="419">
        <f>СЧЁТ!W39</f>
        <v>0</v>
      </c>
      <c r="V101" s="419">
        <f>СЧЁТ!X39</f>
        <v>0</v>
      </c>
      <c r="W101" s="419">
        <f>СЧЁТ!Y39</f>
        <v>0</v>
      </c>
      <c r="X101" s="419">
        <f>СЧЁТ!Z39</f>
        <v>0</v>
      </c>
      <c r="Y101" s="419">
        <f>СЧЁТ!AA39</f>
        <v>0</v>
      </c>
      <c r="Z101" s="419">
        <f>СЧЁТ!AB39</f>
        <v>0</v>
      </c>
      <c r="AA101" s="419">
        <f>СЧЁТ!AC39</f>
        <v>0</v>
      </c>
      <c r="AB101" s="419">
        <f>СЧЁТ!AD39</f>
        <v>0</v>
      </c>
      <c r="AC101" s="419">
        <f>СЧЁТ!AE39</f>
        <v>0</v>
      </c>
      <c r="AD101" s="419">
        <f>СЧЁТ!AF39</f>
        <v>0</v>
      </c>
      <c r="AE101" s="419">
        <f>СЧЁТ!AG39</f>
        <v>0</v>
      </c>
      <c r="AF101" s="419">
        <f>СЧЁТ!AH39</f>
        <v>0</v>
      </c>
      <c r="AG101" s="419">
        <f>СЧЁТ!AI39</f>
        <v>0</v>
      </c>
      <c r="AH101" s="419">
        <f>СЧЁТ!AJ39</f>
        <v>0</v>
      </c>
      <c r="AI101" s="419">
        <f>СЧЁТ!AK39</f>
        <v>0</v>
      </c>
      <c r="AJ101" s="419">
        <f>СЧЁТ!AL39</f>
        <v>0</v>
      </c>
      <c r="AK101" s="419">
        <f>СЧЁТ!AM39</f>
        <v>0</v>
      </c>
      <c r="AL101" s="419">
        <f>СЧЁТ!AN39</f>
        <v>0</v>
      </c>
      <c r="AM101" s="419">
        <f>СЧЁТ!AO39</f>
        <v>0</v>
      </c>
      <c r="AN101" s="419">
        <f>СЧЁТ!AP39</f>
        <v>0</v>
      </c>
      <c r="AO101" s="419">
        <f>СЧЁТ!AQ39</f>
        <v>0</v>
      </c>
      <c r="AP101" s="419">
        <f>СЧЁТ!AR39</f>
        <v>0</v>
      </c>
      <c r="AQ101" s="419">
        <f>СЧЁТ!AS39</f>
        <v>0</v>
      </c>
      <c r="AR101" s="419">
        <f>СЧЁТ!AT39</f>
        <v>0</v>
      </c>
      <c r="AS101" s="419">
        <f>СЧЁТ!AU39</f>
        <v>0</v>
      </c>
      <c r="AT101" s="419">
        <f>СЧЁТ!AV39</f>
        <v>0</v>
      </c>
      <c r="AU101" s="419">
        <f>СЧЁТ!AW39</f>
        <v>0</v>
      </c>
      <c r="AV101" s="419">
        <f>СЧЁТ!AX39</f>
        <v>0</v>
      </c>
      <c r="AW101" s="287" t="s">
        <v>281</v>
      </c>
    </row>
    <row r="102" ht="17.5" customHeight="1" spans="3:49" x14ac:dyDescent="0.25">
      <c r="C102" s="2465">
        <v>35</v>
      </c>
      <c r="D102" s="1348">
        <v>40558</v>
      </c>
      <c r="E102" s="1349" t="s">
        <v>316</v>
      </c>
      <c r="F102" s="26" t="s">
        <v>277</v>
      </c>
      <c r="G102" s="287" t="s">
        <v>1601</v>
      </c>
      <c r="H102" s="287"/>
      <c r="I102" s="287"/>
      <c r="J102" s="287"/>
      <c r="K102" s="287"/>
      <c r="L102" s="287"/>
      <c r="M102" s="1368">
        <v>108.89559999999999</v>
      </c>
      <c r="N102" s="419">
        <f>СЧЁТ!P40</f>
        <v>0</v>
      </c>
      <c r="O102" s="419">
        <f>СЧЁТ!Q40</f>
        <v>0</v>
      </c>
      <c r="P102" s="419">
        <f>СЧЁТ!R40</f>
        <v>0</v>
      </c>
      <c r="Q102" s="419">
        <f>СЧЁТ!S40</f>
        <v>0</v>
      </c>
      <c r="R102" s="419">
        <f>СЧЁТ!T40</f>
        <v>0</v>
      </c>
      <c r="S102" s="419">
        <f>СЧЁТ!U40</f>
        <v>0</v>
      </c>
      <c r="T102" s="419">
        <f>СЧЁТ!V40</f>
        <v>0</v>
      </c>
      <c r="U102" s="419">
        <f>СЧЁТ!W40</f>
        <v>0</v>
      </c>
      <c r="V102" s="419">
        <f>СЧЁТ!X40</f>
        <v>0</v>
      </c>
      <c r="W102" s="419">
        <f>СЧЁТ!Y40</f>
        <v>0</v>
      </c>
      <c r="X102" s="419">
        <f>СЧЁТ!Z40</f>
        <v>0</v>
      </c>
      <c r="Y102" s="419">
        <f>СЧЁТ!AA40</f>
        <v>0</v>
      </c>
      <c r="Z102" s="419">
        <f>СЧЁТ!AB40</f>
        <v>0</v>
      </c>
      <c r="AA102" s="419">
        <f>СЧЁТ!AC40</f>
        <v>0</v>
      </c>
      <c r="AB102" s="419">
        <f>СЧЁТ!AD40</f>
        <v>0</v>
      </c>
      <c r="AC102" s="419">
        <f>СЧЁТ!AE40</f>
        <v>0</v>
      </c>
      <c r="AD102" s="419">
        <f>СЧЁТ!AF40</f>
        <v>0</v>
      </c>
      <c r="AE102" s="419">
        <f>СЧЁТ!AG40</f>
        <v>0</v>
      </c>
      <c r="AF102" s="419">
        <f>СЧЁТ!AH40</f>
        <v>0</v>
      </c>
      <c r="AG102" s="419">
        <f>СЧЁТ!AI40</f>
        <v>0</v>
      </c>
      <c r="AH102" s="419">
        <f>СЧЁТ!AJ40</f>
        <v>0</v>
      </c>
      <c r="AI102" s="419">
        <f>СЧЁТ!AK40</f>
        <v>0</v>
      </c>
      <c r="AJ102" s="419">
        <f>СЧЁТ!AL40</f>
        <v>0</v>
      </c>
      <c r="AK102" s="419">
        <f>СЧЁТ!AM40</f>
        <v>0</v>
      </c>
      <c r="AL102" s="419">
        <f>СЧЁТ!AN40</f>
        <v>0</v>
      </c>
      <c r="AM102" s="419">
        <f>СЧЁТ!AO40</f>
        <v>0</v>
      </c>
      <c r="AN102" s="419">
        <f>СЧЁТ!AP40</f>
        <v>0</v>
      </c>
      <c r="AO102" s="419">
        <f>СЧЁТ!AQ40</f>
        <v>0</v>
      </c>
      <c r="AP102" s="419">
        <f>СЧЁТ!AR40</f>
        <v>0</v>
      </c>
      <c r="AQ102" s="419">
        <f>СЧЁТ!AS40</f>
        <v>0</v>
      </c>
      <c r="AR102" s="419">
        <f>СЧЁТ!AT40</f>
        <v>0</v>
      </c>
      <c r="AS102" s="419">
        <f>СЧЁТ!AU40</f>
        <v>0</v>
      </c>
      <c r="AT102" s="419">
        <f>СЧЁТ!AV40</f>
        <v>0</v>
      </c>
      <c r="AU102" s="419">
        <f>СЧЁТ!AW40</f>
        <v>0</v>
      </c>
      <c r="AV102" s="419">
        <f>СЧЁТ!AX40</f>
        <v>0</v>
      </c>
      <c r="AW102" s="287" t="s">
        <v>316</v>
      </c>
    </row>
    <row r="103" ht="17.5" customHeight="1" spans="3:49" x14ac:dyDescent="0.25">
      <c r="C103" s="2465">
        <v>36</v>
      </c>
      <c r="D103" s="1348">
        <v>40558</v>
      </c>
      <c r="E103" s="1349" t="s">
        <v>1602</v>
      </c>
      <c r="F103" s="26" t="s">
        <v>277</v>
      </c>
      <c r="G103" s="287" t="s">
        <v>1603</v>
      </c>
      <c r="H103" s="287"/>
      <c r="I103" s="287"/>
      <c r="J103" s="287"/>
      <c r="K103" s="287"/>
      <c r="L103" s="287"/>
      <c r="M103" s="1371">
        <v>2876.5161000000003</v>
      </c>
      <c r="N103" s="419">
        <f>СЧЁТ!P41</f>
        <v>0.5075047014598465</v>
      </c>
      <c r="O103" s="419">
        <f>СЧЁТ!Q41</f>
        <v>0.5166764731729763</v>
      </c>
      <c r="P103" s="419">
        <f>СЧЁТ!R41</f>
        <v>0.4918013771726725</v>
      </c>
      <c r="Q103" s="419">
        <f>СЧЁТ!S41</f>
        <v>0.5192872824837201</v>
      </c>
      <c r="R103" s="419">
        <f>СЧЁТ!T41</f>
        <v>0.5652739174499402</v>
      </c>
      <c r="S103" s="419">
        <f>СЧЁТ!U41</f>
        <v>0.587683190688788</v>
      </c>
      <c r="T103" s="419">
        <f>СЧЁТ!V41</f>
        <v>0.6074665852268265</v>
      </c>
      <c r="U103" s="419">
        <f>СЧЁТ!W41</f>
        <v>0.6452458496585047</v>
      </c>
      <c r="V103" s="419">
        <f>СЧЁТ!X41</f>
        <v>0.6858912575110089</v>
      </c>
      <c r="W103" s="419">
        <f>СЧЁТ!Y41</f>
        <v>0.7114691454260414</v>
      </c>
      <c r="X103" s="419">
        <f>СЧЁТ!Z41</f>
        <v>0.7566307611024992</v>
      </c>
      <c r="Y103" s="419">
        <f>СЧЁТ!AA41</f>
        <v>0.7984619477007946</v>
      </c>
      <c r="Z103" s="419">
        <f>СЧЁТ!AB41</f>
        <v>0.8092519740210756</v>
      </c>
      <c r="AA103" s="419">
        <f>СЧЁТ!AC41</f>
        <v>0.7261311317282132</v>
      </c>
      <c r="AB103" s="419">
        <f>СЧЁТ!AD41</f>
        <v>0.7402307653540036</v>
      </c>
      <c r="AC103" s="419">
        <f>СЧЁТ!AE41</f>
        <v>0.7423660464079095</v>
      </c>
      <c r="AD103" s="419">
        <f>СЧЁТ!AF41</f>
        <v>0.7395190050027017</v>
      </c>
      <c r="AE103" s="419">
        <f>СЧЁТ!AG41</f>
        <v>0.7253111470775779</v>
      </c>
      <c r="AF103" s="419">
        <f>СЧЁТ!AH41</f>
        <v>0.7050276145170672</v>
      </c>
      <c r="AG103" s="419">
        <f>СЧЁТ!AI41</f>
        <v>0.6742851313259158</v>
      </c>
      <c r="AH103" s="419">
        <f>СЧЁТ!AJ41</f>
        <v>0.6567628035628748</v>
      </c>
      <c r="AI103" s="419">
        <f>СЧЁТ!AK41</f>
        <v>0.6485374505317406</v>
      </c>
      <c r="AJ103" s="419">
        <f>СЧЁТ!AL41</f>
        <v>0.6379567051775759</v>
      </c>
      <c r="AK103" s="419">
        <f>СЧЁТ!AM41</f>
        <v>0</v>
      </c>
      <c r="AL103" s="419">
        <f>СЧЁТ!AN41</f>
        <v>0</v>
      </c>
      <c r="AM103" s="419">
        <f>СЧЁТ!AO41</f>
        <v>0</v>
      </c>
      <c r="AN103" s="419">
        <f>СЧЁТ!AP41</f>
        <v>0</v>
      </c>
      <c r="AO103" s="419">
        <f>СЧЁТ!AQ41</f>
        <v>0</v>
      </c>
      <c r="AP103" s="419">
        <f>СЧЁТ!AR41</f>
        <v>0</v>
      </c>
      <c r="AQ103" s="419">
        <f>СЧЁТ!AS41</f>
        <v>0</v>
      </c>
      <c r="AR103" s="419">
        <f>СЧЁТ!AT41</f>
        <v>0</v>
      </c>
      <c r="AS103" s="419">
        <f>СЧЁТ!AU41</f>
        <v>0</v>
      </c>
      <c r="AT103" s="419">
        <f>СЧЁТ!AV41</f>
        <v>0</v>
      </c>
      <c r="AU103" s="419">
        <f>СЧЁТ!AW41</f>
        <v>0</v>
      </c>
      <c r="AV103" s="419">
        <f>СЧЁТ!AX41</f>
        <v>0</v>
      </c>
      <c r="AW103" s="287" t="s">
        <v>1602</v>
      </c>
    </row>
    <row r="104" ht="17.5" customHeight="1" spans="3:49" x14ac:dyDescent="0.25">
      <c r="C104" s="1335">
        <v>37</v>
      </c>
      <c r="D104" s="1348">
        <v>42309</v>
      </c>
      <c r="E104" s="1349" t="s">
        <v>1604</v>
      </c>
      <c r="F104" s="26" t="s">
        <v>866</v>
      </c>
      <c r="G104" s="287" t="s">
        <v>1605</v>
      </c>
      <c r="H104" s="287"/>
      <c r="I104" s="287"/>
      <c r="J104" s="287"/>
      <c r="K104" s="287"/>
      <c r="L104" s="287"/>
      <c r="M104" s="1362">
        <v>0.8070159080914936</v>
      </c>
      <c r="N104" s="419">
        <f>СЧЁТ!P36</f>
        <v>0</v>
      </c>
      <c r="O104" s="419">
        <f>СЧЁТ!Q36</f>
        <v>0</v>
      </c>
      <c r="P104" s="419">
        <f>СЧЁТ!R36</f>
        <v>0</v>
      </c>
      <c r="Q104" s="419">
        <f>СЧЁТ!S36</f>
        <v>0</v>
      </c>
      <c r="R104" s="419">
        <f>СЧЁТ!T36</f>
        <v>0</v>
      </c>
      <c r="S104" s="419">
        <f>СЧЁТ!U36</f>
        <v>0</v>
      </c>
      <c r="T104" s="419">
        <f>СЧЁТ!V36</f>
        <v>0</v>
      </c>
      <c r="U104" s="419">
        <f>СЧЁТ!W36</f>
        <v>0</v>
      </c>
      <c r="V104" s="419">
        <f>СЧЁТ!X36</f>
        <v>0</v>
      </c>
      <c r="W104" s="419">
        <f>СЧЁТ!Y36</f>
        <v>0</v>
      </c>
      <c r="X104" s="419">
        <f>СЧЁТ!Z36</f>
        <v>0</v>
      </c>
      <c r="Y104" s="419">
        <f>СЧЁТ!AA36</f>
        <v>0</v>
      </c>
      <c r="Z104" s="419">
        <f>СЧЁТ!AB36</f>
        <v>0</v>
      </c>
      <c r="AA104" s="419">
        <f>СЧЁТ!AC36</f>
        <v>0</v>
      </c>
      <c r="AB104" s="419">
        <f>СЧЁТ!AD36</f>
        <v>0</v>
      </c>
      <c r="AC104" s="419">
        <f>СЧЁТ!AE36</f>
        <v>0</v>
      </c>
      <c r="AD104" s="419">
        <f>СЧЁТ!AF36</f>
        <v>0</v>
      </c>
      <c r="AE104" s="419">
        <f>СЧЁТ!AG36</f>
        <v>0</v>
      </c>
      <c r="AF104" s="419">
        <f>СЧЁТ!AH36</f>
        <v>0</v>
      </c>
      <c r="AG104" s="419">
        <f>СЧЁТ!AI36</f>
        <v>0</v>
      </c>
      <c r="AH104" s="419">
        <f>СЧЁТ!AJ36</f>
        <v>0</v>
      </c>
      <c r="AI104" s="419">
        <f>СЧЁТ!AK36</f>
        <v>0</v>
      </c>
      <c r="AJ104" s="419">
        <f>СЧЁТ!AL36</f>
        <v>0</v>
      </c>
      <c r="AK104" s="419">
        <f>СЧЁТ!AM36</f>
        <v>0</v>
      </c>
      <c r="AL104" s="419">
        <f>СЧЁТ!AN36</f>
        <v>0</v>
      </c>
      <c r="AM104" s="419">
        <f>СЧЁТ!AO36</f>
        <v>0</v>
      </c>
      <c r="AN104" s="419">
        <f>СЧЁТ!AP36</f>
        <v>0</v>
      </c>
      <c r="AO104" s="419">
        <f>СЧЁТ!AQ36</f>
        <v>0</v>
      </c>
      <c r="AP104" s="419">
        <f>СЧЁТ!AR36</f>
        <v>0</v>
      </c>
      <c r="AQ104" s="419">
        <f>СЧЁТ!AS36</f>
        <v>0</v>
      </c>
      <c r="AR104" s="419">
        <f>СЧЁТ!AT36</f>
        <v>0</v>
      </c>
      <c r="AS104" s="419">
        <f>СЧЁТ!AU36</f>
        <v>0</v>
      </c>
      <c r="AT104" s="419">
        <f>СЧЁТ!AV36</f>
        <v>0</v>
      </c>
      <c r="AU104" s="419">
        <f>СЧЁТ!AW36</f>
        <v>0</v>
      </c>
      <c r="AV104" s="419">
        <f>СЧЁТ!AX36</f>
        <v>0</v>
      </c>
      <c r="AW104" s="287" t="s">
        <v>1604</v>
      </c>
    </row>
    <row r="105" ht="17.5" customHeight="1" spans="3:49" x14ac:dyDescent="0.25">
      <c r="C105" s="1335">
        <v>38</v>
      </c>
      <c r="D105" s="1348">
        <v>40874</v>
      </c>
      <c r="E105" s="1349" t="s">
        <v>540</v>
      </c>
      <c r="F105" s="26" t="s">
        <v>866</v>
      </c>
      <c r="G105" s="287" t="s">
        <v>1606</v>
      </c>
      <c r="H105" s="287"/>
      <c r="I105" s="287"/>
      <c r="J105" s="287"/>
      <c r="K105" s="287"/>
      <c r="L105" s="287"/>
      <c r="M105" s="1362">
        <v>0.033</v>
      </c>
      <c r="N105" s="419">
        <f>СЧЁТ!P43</f>
        <v>1996</v>
      </c>
      <c r="O105" s="419">
        <f>СЧЁТ!Q43</f>
        <v>1997</v>
      </c>
      <c r="P105" s="419">
        <f>СЧЁТ!R43</f>
        <v>1998</v>
      </c>
      <c r="Q105" s="419">
        <f>СЧЁТ!S43</f>
        <v>1999</v>
      </c>
      <c r="R105" s="419">
        <f>СЧЁТ!T43</f>
        <v>2000</v>
      </c>
      <c r="S105" s="419">
        <f>СЧЁТ!U43</f>
        <v>2001</v>
      </c>
      <c r="T105" s="419">
        <f>СЧЁТ!V43</f>
        <v>2002</v>
      </c>
      <c r="U105" s="419">
        <f>СЧЁТ!W43</f>
        <v>2003</v>
      </c>
      <c r="V105" s="419">
        <f>СЧЁТ!X43</f>
        <v>2004</v>
      </c>
      <c r="W105" s="419">
        <f>СЧЁТ!Y43</f>
        <v>2005</v>
      </c>
      <c r="X105" s="419">
        <f>СЧЁТ!Z43</f>
        <v>2006</v>
      </c>
      <c r="Y105" s="419">
        <f>СЧЁТ!AA43</f>
        <v>2007</v>
      </c>
      <c r="Z105" s="419">
        <f>СЧЁТ!AB43</f>
        <v>2008</v>
      </c>
      <c r="AA105" s="419">
        <f>СЧЁТ!AC43</f>
        <v>2009</v>
      </c>
      <c r="AB105" s="419">
        <f>СЧЁТ!AD43</f>
        <v>2010</v>
      </c>
      <c r="AC105" s="419">
        <f>СЧЁТ!AE43</f>
        <v>2011</v>
      </c>
      <c r="AD105" s="419">
        <f>СЧЁТ!AF43</f>
        <v>2012</v>
      </c>
      <c r="AE105" s="419">
        <f>СЧЁТ!AG43</f>
        <v>2013</v>
      </c>
      <c r="AF105" s="419">
        <f>СЧЁТ!AH43</f>
        <v>2014</v>
      </c>
      <c r="AG105" s="419">
        <f>СЧЁТ!AI43</f>
        <v>2015</v>
      </c>
      <c r="AH105" s="419">
        <f>СЧЁТ!AJ43</f>
        <v>2016</v>
      </c>
      <c r="AI105" s="419">
        <f>СЧЁТ!AK43</f>
        <v>2017</v>
      </c>
      <c r="AJ105" s="419">
        <f>СЧЁТ!AL43</f>
        <v>2018</v>
      </c>
      <c r="AK105" s="419">
        <f>СЧЁТ!AM43</f>
        <v>2019</v>
      </c>
      <c r="AL105" s="419">
        <f>СЧЁТ!AN43</f>
        <v>2020</v>
      </c>
      <c r="AM105" s="419">
        <f>СЧЁТ!AO43</f>
        <v>2021</v>
      </c>
      <c r="AN105" s="419">
        <f>СЧЁТ!AP43</f>
        <v>2022</v>
      </c>
      <c r="AO105" s="419">
        <f>СЧЁТ!AQ43</f>
        <v>2023</v>
      </c>
      <c r="AP105" s="419">
        <f>СЧЁТ!AR43</f>
        <v>2024</v>
      </c>
      <c r="AQ105" s="419">
        <f>СЧЁТ!AS43</f>
        <v>2025</v>
      </c>
      <c r="AR105" s="419">
        <f>СЧЁТ!AT43</f>
        <v>2026</v>
      </c>
      <c r="AS105" s="419">
        <f>СЧЁТ!AU43</f>
        <v>2027</v>
      </c>
      <c r="AT105" s="419">
        <f>СЧЁТ!AV43</f>
        <v>2028</v>
      </c>
      <c r="AU105" s="419">
        <f>СЧЁТ!AW43</f>
        <v>2029</v>
      </c>
      <c r="AV105" s="419">
        <f>СЧЁТ!AX43</f>
        <v>2030</v>
      </c>
      <c r="AW105" s="287" t="s">
        <v>540</v>
      </c>
    </row>
    <row r="106" ht="17.5" customHeight="1" spans="3:49" x14ac:dyDescent="0.25">
      <c r="C106" s="1335">
        <v>39</v>
      </c>
      <c r="D106" s="1348">
        <v>42309</v>
      </c>
      <c r="E106" s="1349" t="s">
        <v>459</v>
      </c>
      <c r="F106" s="26" t="s">
        <v>866</v>
      </c>
      <c r="G106" s="287" t="s">
        <v>1607</v>
      </c>
      <c r="H106" s="287"/>
      <c r="I106" s="287"/>
      <c r="J106" s="287"/>
      <c r="K106" s="287"/>
      <c r="L106" s="287"/>
      <c r="M106" s="1362">
        <v>0.5605873277103477</v>
      </c>
      <c r="N106" s="419" t="e">
        <f>СЧЁТ!#REF!</f>
        <v>#REF!</v>
      </c>
      <c r="O106" s="419" t="e">
        <f>СЧЁТ!#REF!</f>
        <v>#REF!</v>
      </c>
      <c r="P106" s="419" t="e">
        <f>СЧЁТ!#REF!</f>
        <v>#REF!</v>
      </c>
      <c r="Q106" s="419" t="e">
        <f>СЧЁТ!#REF!</f>
        <v>#REF!</v>
      </c>
      <c r="R106" s="419">
        <f>СЧЁТ!T44</f>
        <v>0</v>
      </c>
      <c r="S106" s="419">
        <f>СЧЁТ!V44</f>
        <v>0</v>
      </c>
      <c r="T106" s="419">
        <f>СЧЁТ!W44</f>
        <v>0</v>
      </c>
      <c r="U106" s="419">
        <f>СЧЁТ!X44</f>
        <v>0</v>
      </c>
      <c r="V106" s="419">
        <f>СЧЁТ!Y44</f>
        <v>0</v>
      </c>
      <c r="W106" s="419">
        <f>СЧЁТ!Z44</f>
        <v>0</v>
      </c>
      <c r="X106" s="419" t="e">
        <f>СЧЁТ!#REF!</f>
        <v>#REF!</v>
      </c>
      <c r="Y106" s="419">
        <f>СЧЁТ!AA44</f>
        <v>0</v>
      </c>
      <c r="Z106" s="419">
        <f>СЧЁТ!AB44</f>
        <v>0</v>
      </c>
      <c r="AA106" s="419">
        <f>СЧЁТ!AC44</f>
        <v>0</v>
      </c>
      <c r="AB106" s="419">
        <f>СЧЁТ!AD44</f>
        <v>0</v>
      </c>
      <c r="AC106" s="419">
        <f>СЧЁТ!AE44</f>
        <v>0</v>
      </c>
      <c r="AD106" s="419">
        <f>СЧЁТ!AF44</f>
        <v>0</v>
      </c>
      <c r="AE106" s="419">
        <f>СЧЁТ!AG44</f>
        <v>0</v>
      </c>
      <c r="AF106" s="419">
        <f>СЧЁТ!AH44</f>
        <v>0</v>
      </c>
      <c r="AG106" s="419">
        <f>СЧЁТ!AI44</f>
        <v>0</v>
      </c>
      <c r="AH106" s="419">
        <f>СЧЁТ!AJ44</f>
        <v>0</v>
      </c>
      <c r="AI106" s="419">
        <f>СЧЁТ!AK44</f>
        <v>0</v>
      </c>
      <c r="AJ106" s="419">
        <f>СЧЁТ!AL44</f>
        <v>0</v>
      </c>
      <c r="AK106" s="419">
        <f>СЧЁТ!AM44</f>
        <v>0</v>
      </c>
      <c r="AL106" s="419">
        <f>СЧЁТ!AN44</f>
        <v>0</v>
      </c>
      <c r="AM106" s="419">
        <f>СЧЁТ!AO44</f>
        <v>0</v>
      </c>
      <c r="AN106" s="419">
        <f>СЧЁТ!AP44</f>
        <v>0</v>
      </c>
      <c r="AO106" s="419">
        <f>СЧЁТ!AQ44</f>
        <v>0</v>
      </c>
      <c r="AP106" s="419">
        <f>СЧЁТ!AR44</f>
        <v>0</v>
      </c>
      <c r="AQ106" s="419">
        <f>СЧЁТ!AS44</f>
        <v>0</v>
      </c>
      <c r="AR106" s="419">
        <f>СЧЁТ!AT44</f>
        <v>0</v>
      </c>
      <c r="AS106" s="419">
        <f>СЧЁТ!AU44</f>
        <v>0</v>
      </c>
      <c r="AT106" s="419">
        <f>СЧЁТ!AV44</f>
        <v>0</v>
      </c>
      <c r="AU106" s="419">
        <f>СЧЁТ!AW44</f>
        <v>0</v>
      </c>
      <c r="AV106" s="419">
        <f>СЧЁТ!AX44</f>
        <v>0</v>
      </c>
      <c r="AW106" s="287" t="s">
        <v>459</v>
      </c>
    </row>
    <row r="107" ht="17.5" customHeight="1" spans="3:49" x14ac:dyDescent="0.25">
      <c r="C107" s="1335">
        <v>40</v>
      </c>
      <c r="D107" s="1348">
        <v>42309</v>
      </c>
      <c r="E107" s="1349" t="s">
        <v>462</v>
      </c>
      <c r="F107" s="26" t="s">
        <v>866</v>
      </c>
      <c r="G107" s="287" t="s">
        <v>2273</v>
      </c>
      <c r="H107" s="287"/>
      <c r="I107" s="287"/>
      <c r="J107" s="287"/>
      <c r="K107" s="287"/>
      <c r="L107" s="287"/>
      <c r="M107" s="1362">
        <v>0</v>
      </c>
      <c r="N107" s="419" t="e">
        <f>СЧЁТ!#REF!</f>
        <v>#REF!</v>
      </c>
      <c r="O107" s="419" t="e">
        <f>СЧЁТ!#REF!</f>
        <v>#REF!</v>
      </c>
      <c r="P107" s="419" t="e">
        <f>СЧЁТ!#REF!</f>
        <v>#REF!</v>
      </c>
      <c r="Q107" s="419" t="e">
        <f>СЧЁТ!#REF!</f>
        <v>#REF!</v>
      </c>
      <c r="R107" s="419" t="e">
        <f>СЧЁТ!#REF!</f>
        <v>#REF!</v>
      </c>
      <c r="S107" s="419" t="e">
        <f>СЧЁТ!#REF!</f>
        <v>#REF!</v>
      </c>
      <c r="T107" s="419">
        <f>СЧЁТ!W49</f>
        <v>0</v>
      </c>
      <c r="U107" s="419">
        <f>СЧЁТ!X49</f>
        <v>0</v>
      </c>
      <c r="V107" s="419">
        <f>СЧЁТ!Y49</f>
        <v>0</v>
      </c>
      <c r="W107" s="419">
        <f>СЧЁТ!Z49</f>
        <v>0</v>
      </c>
      <c r="X107" s="419" t="e">
        <f>СЧЁТ!#REF!</f>
        <v>#REF!</v>
      </c>
      <c r="Y107" s="419">
        <f>СЧЁТ!AA49</f>
        <v>0</v>
      </c>
      <c r="Z107" s="419">
        <f>СЧЁТ!AB49</f>
        <v>0</v>
      </c>
      <c r="AA107" s="419">
        <f>СЧЁТ!AC45</f>
        <v>0</v>
      </c>
      <c r="AB107" s="419">
        <f>СЧЁТ!AD45</f>
        <v>0</v>
      </c>
      <c r="AC107" s="419">
        <f>СЧЁТ!AE45</f>
        <v>0</v>
      </c>
      <c r="AD107" s="419">
        <f>СЧЁТ!AF45</f>
        <v>0</v>
      </c>
      <c r="AE107" s="419">
        <f>СЧЁТ!AG45</f>
        <v>0</v>
      </c>
      <c r="AF107" s="419">
        <f>СЧЁТ!AH45</f>
        <v>0</v>
      </c>
      <c r="AG107" s="419">
        <f>СЧЁТ!AI45</f>
        <v>0</v>
      </c>
      <c r="AH107" s="419">
        <f>СЧЁТ!AJ45</f>
        <v>0</v>
      </c>
      <c r="AI107" s="419">
        <f>СЧЁТ!AK45</f>
        <v>0</v>
      </c>
      <c r="AJ107" s="419">
        <f>СЧЁТ!AL45</f>
        <v>0</v>
      </c>
      <c r="AK107" s="419">
        <f>СЧЁТ!AM45</f>
        <v>0</v>
      </c>
      <c r="AL107" s="419">
        <f>СЧЁТ!AN45</f>
        <v>0</v>
      </c>
      <c r="AM107" s="419">
        <f>СЧЁТ!AO45</f>
        <v>0</v>
      </c>
      <c r="AN107" s="419">
        <f>СЧЁТ!AP45</f>
        <v>0</v>
      </c>
      <c r="AO107" s="419">
        <f>СЧЁТ!AQ45</f>
        <v>0</v>
      </c>
      <c r="AP107" s="419">
        <f>СЧЁТ!AR45</f>
        <v>0</v>
      </c>
      <c r="AQ107" s="419">
        <f>СЧЁТ!AS45</f>
        <v>0</v>
      </c>
      <c r="AR107" s="419">
        <f>СЧЁТ!AT45</f>
        <v>0</v>
      </c>
      <c r="AS107" s="419">
        <f>СЧЁТ!AU45</f>
        <v>0</v>
      </c>
      <c r="AT107" s="419">
        <f>СЧЁТ!AV45</f>
        <v>0</v>
      </c>
      <c r="AU107" s="419">
        <f>СЧЁТ!AW45</f>
        <v>0</v>
      </c>
      <c r="AV107" s="419">
        <f>СЧЁТ!AX45</f>
        <v>0</v>
      </c>
      <c r="AW107" s="287" t="s">
        <v>462</v>
      </c>
    </row>
    <row r="108" ht="17.5" customHeight="1" spans="3:49" x14ac:dyDescent="0.25">
      <c r="C108" s="1335">
        <v>41</v>
      </c>
      <c r="D108" s="1348">
        <v>41928</v>
      </c>
      <c r="E108" s="1349" t="s">
        <v>465</v>
      </c>
      <c r="F108" s="26" t="s">
        <v>866</v>
      </c>
      <c r="G108" s="287" t="s">
        <v>2266</v>
      </c>
      <c r="H108" s="287"/>
      <c r="I108" s="287"/>
      <c r="J108" s="287"/>
      <c r="K108" s="287"/>
      <c r="L108" s="287"/>
      <c r="M108" s="1362">
        <v>0.18412751259012028</v>
      </c>
      <c r="N108" s="419" t="e">
        <f>СЧЁТ!#REF!</f>
        <v>#REF!</v>
      </c>
      <c r="O108" s="419" t="e">
        <f>СЧЁТ!#REF!</f>
        <v>#REF!</v>
      </c>
      <c r="P108" s="419" t="e">
        <f>СЧЁТ!#REF!</f>
        <v>#REF!</v>
      </c>
      <c r="Q108" s="419" t="e">
        <f>СЧЁТ!#REF!</f>
        <v>#REF!</v>
      </c>
      <c r="R108" s="419" t="e">
        <f>СЧЁТ!#REF!</f>
        <v>#REF!</v>
      </c>
      <c r="S108" s="419" t="e">
        <f>СЧЁТ!#REF!</f>
        <v>#REF!</v>
      </c>
      <c r="T108" s="419" t="e">
        <f>СЧЁТ!#REF!</f>
        <v>#REF!</v>
      </c>
      <c r="U108" s="419" t="e">
        <f>СЧЁТ!#REF!</f>
        <v>#REF!</v>
      </c>
      <c r="V108" s="419" t="e">
        <f>СЧЁТ!#REF!</f>
        <v>#REF!</v>
      </c>
      <c r="W108" s="419" t="e">
        <f>СЧЁТ!#REF!</f>
        <v>#REF!</v>
      </c>
      <c r="X108" s="419" t="e">
        <f>СЧЁТ!#REF!</f>
        <v>#REF!</v>
      </c>
      <c r="Y108" s="419" t="e">
        <f>СЧЁТ!#REF!</f>
        <v>#REF!</v>
      </c>
      <c r="Z108" s="419" t="e">
        <f>СЧЁТ!#REF!</f>
        <v>#REF!</v>
      </c>
      <c r="AA108" s="419">
        <f>СЧЁТ!AC46</f>
        <v>0</v>
      </c>
      <c r="AB108" s="419">
        <f>СЧЁТ!AD46</f>
        <v>0</v>
      </c>
      <c r="AC108" s="419">
        <f>СЧЁТ!AE46</f>
        <v>0</v>
      </c>
      <c r="AD108" s="419">
        <f>СЧЁТ!AF46</f>
        <v>0</v>
      </c>
      <c r="AE108" s="419">
        <f>СЧЁТ!AG46</f>
        <v>0</v>
      </c>
      <c r="AF108" s="419">
        <f>СЧЁТ!AH46</f>
        <v>0</v>
      </c>
      <c r="AG108" s="419">
        <f>СЧЁТ!AI46</f>
        <v>0</v>
      </c>
      <c r="AH108" s="419">
        <f>СЧЁТ!AJ46</f>
        <v>0</v>
      </c>
      <c r="AI108" s="419">
        <f>СЧЁТ!AK46</f>
        <v>0</v>
      </c>
      <c r="AJ108" s="419">
        <f>СЧЁТ!AL46</f>
        <v>0</v>
      </c>
      <c r="AK108" s="419">
        <f>СЧЁТ!AM46</f>
        <v>0</v>
      </c>
      <c r="AL108" s="419">
        <f>СЧЁТ!AN46</f>
        <v>0</v>
      </c>
      <c r="AM108" s="419">
        <f>СЧЁТ!AO46</f>
        <v>0</v>
      </c>
      <c r="AN108" s="419">
        <f>СЧЁТ!AP46</f>
        <v>0</v>
      </c>
      <c r="AO108" s="419">
        <f>СЧЁТ!AQ46</f>
        <v>0</v>
      </c>
      <c r="AP108" s="419">
        <f>СЧЁТ!AR46</f>
        <v>0</v>
      </c>
      <c r="AQ108" s="419">
        <f>СЧЁТ!AS46</f>
        <v>0</v>
      </c>
      <c r="AR108" s="419">
        <f>СЧЁТ!AT46</f>
        <v>0</v>
      </c>
      <c r="AS108" s="419">
        <f>СЧЁТ!AU46</f>
        <v>0</v>
      </c>
      <c r="AT108" s="419">
        <f>СЧЁТ!AV46</f>
        <v>0</v>
      </c>
      <c r="AU108" s="419">
        <f>СЧЁТ!AW46</f>
        <v>0</v>
      </c>
      <c r="AV108" s="419">
        <f>СЧЁТ!AX46</f>
        <v>0</v>
      </c>
      <c r="AW108" s="287" t="s">
        <v>465</v>
      </c>
    </row>
    <row r="109" ht="17.5" customHeight="1" spans="3:49" x14ac:dyDescent="0.25">
      <c r="C109" s="1335">
        <v>42</v>
      </c>
      <c r="D109" s="1348">
        <v>41928</v>
      </c>
      <c r="E109" s="1349" t="s">
        <v>468</v>
      </c>
      <c r="F109" s="26" t="s">
        <v>866</v>
      </c>
      <c r="G109" s="287" t="s">
        <v>1610</v>
      </c>
      <c r="H109" s="287"/>
      <c r="I109" s="287"/>
      <c r="J109" s="287"/>
      <c r="K109" s="287"/>
      <c r="L109" s="287"/>
      <c r="M109" s="1362">
        <v>0.7902003513009112</v>
      </c>
      <c r="N109" s="419" t="e">
        <f>СЧЁТ!#REF!</f>
        <v>#REF!</v>
      </c>
      <c r="O109" s="419" t="e">
        <f>СЧЁТ!#REF!</f>
        <v>#REF!</v>
      </c>
      <c r="P109" s="419" t="e">
        <f>СЧЁТ!#REF!</f>
        <v>#REF!</v>
      </c>
      <c r="Q109" s="419" t="e">
        <f>СЧЁТ!#REF!</f>
        <v>#REF!</v>
      </c>
      <c r="R109" s="419" t="e">
        <f>СЧЁТ!#REF!</f>
        <v>#REF!</v>
      </c>
      <c r="S109" s="419">
        <f>СЧЁТ!U48</f>
        <v>0</v>
      </c>
      <c r="T109" s="419">
        <f>СЧЁТ!V48</f>
        <v>0</v>
      </c>
      <c r="U109" s="419">
        <f>СЧЁТ!W48</f>
        <v>0</v>
      </c>
      <c r="V109" s="419">
        <f>СЧЁТ!X48</f>
        <v>0</v>
      </c>
      <c r="W109" s="419">
        <f>СЧЁТ!Y48</f>
        <v>0</v>
      </c>
      <c r="X109" s="419">
        <f>СЧЁТ!Z48</f>
        <v>0</v>
      </c>
      <c r="Y109" s="419">
        <f>СЧЁТ!AA48</f>
        <v>0</v>
      </c>
      <c r="Z109" s="419">
        <f>СЧЁТ!AB48</f>
        <v>0</v>
      </c>
      <c r="AA109" s="419">
        <f>СЧЁТ!AC47</f>
        <v>0</v>
      </c>
      <c r="AB109" s="419">
        <f>СЧЁТ!AD47</f>
        <v>0</v>
      </c>
      <c r="AC109" s="419">
        <f>СЧЁТ!AE47</f>
        <v>0</v>
      </c>
      <c r="AD109" s="419">
        <f>СЧЁТ!AF47</f>
        <v>0</v>
      </c>
      <c r="AE109" s="419">
        <f>СЧЁТ!AG47</f>
        <v>0</v>
      </c>
      <c r="AF109" s="419">
        <f>СЧЁТ!AH47</f>
        <v>0</v>
      </c>
      <c r="AG109" s="419">
        <f>СЧЁТ!AI47</f>
        <v>0</v>
      </c>
      <c r="AH109" s="419">
        <f>СЧЁТ!AJ47</f>
        <v>0</v>
      </c>
      <c r="AI109" s="419">
        <f>СЧЁТ!AK47</f>
        <v>0</v>
      </c>
      <c r="AJ109" s="419">
        <f>СЧЁТ!AL47</f>
        <v>0</v>
      </c>
      <c r="AK109" s="419">
        <f>СЧЁТ!AM47</f>
        <v>0</v>
      </c>
      <c r="AL109" s="419">
        <f>СЧЁТ!AN47</f>
        <v>0</v>
      </c>
      <c r="AM109" s="419">
        <f>СЧЁТ!AO47</f>
        <v>0</v>
      </c>
      <c r="AN109" s="419">
        <f>СЧЁТ!AP47</f>
        <v>0</v>
      </c>
      <c r="AO109" s="419">
        <f>СЧЁТ!AQ47</f>
        <v>0</v>
      </c>
      <c r="AP109" s="419">
        <f>СЧЁТ!AR47</f>
        <v>0</v>
      </c>
      <c r="AQ109" s="419">
        <f>СЧЁТ!AS47</f>
        <v>0</v>
      </c>
      <c r="AR109" s="419">
        <f>СЧЁТ!AT47</f>
        <v>0</v>
      </c>
      <c r="AS109" s="419">
        <f>СЧЁТ!AU47</f>
        <v>0</v>
      </c>
      <c r="AT109" s="419">
        <f>СЧЁТ!AV47</f>
        <v>0</v>
      </c>
      <c r="AU109" s="419">
        <f>СЧЁТ!AW47</f>
        <v>0</v>
      </c>
      <c r="AV109" s="419">
        <f>СЧЁТ!AX47</f>
        <v>0</v>
      </c>
      <c r="AW109" s="287" t="s">
        <v>468</v>
      </c>
    </row>
    <row r="110" ht="17.5" customHeight="1" spans="3:49" x14ac:dyDescent="0.25">
      <c r="C110" s="2465">
        <v>43</v>
      </c>
      <c r="D110" s="1348"/>
      <c r="E110" s="1349" t="s">
        <v>471</v>
      </c>
      <c r="F110" s="26" t="s">
        <v>866</v>
      </c>
      <c r="G110" s="287" t="s">
        <v>1611</v>
      </c>
      <c r="H110" s="287"/>
      <c r="I110" s="287"/>
      <c r="J110" s="287"/>
      <c r="K110" s="287"/>
      <c r="L110" s="287"/>
      <c r="M110" s="1362"/>
      <c r="N110" s="419" t="e">
        <f>СЧЁТ!#REF!</f>
        <v>#REF!</v>
      </c>
      <c r="O110" s="419" t="e">
        <f>СЧЁТ!#REF!</f>
        <v>#REF!</v>
      </c>
      <c r="P110" s="419" t="str">
        <f>СЧЁТ!P49</f>
        <v>DH = 0,1909*WWP + 37701</v>
      </c>
      <c r="Q110" s="419">
        <f>СЧЁТ!Q49</f>
        <v>0</v>
      </c>
      <c r="R110" s="419" t="e">
        <f>СЧЁТ!#REF!</f>
        <v>#REF!</v>
      </c>
      <c r="S110" s="419" t="e">
        <f>СЧЁТ!#REF!</f>
        <v>#REF!</v>
      </c>
      <c r="T110" s="419" t="e">
        <f>СЧЁТ!#REF!</f>
        <v>#REF!</v>
      </c>
      <c r="U110" s="419">
        <f>СЧЁТ!W47</f>
        <v>0</v>
      </c>
      <c r="V110" s="419">
        <f>СЧЁТ!X74</f>
        <v>0</v>
      </c>
      <c r="W110" s="419">
        <f>СЧЁТ!Y60</f>
        <v>0</v>
      </c>
      <c r="X110" s="419">
        <f>СЧЁТ!Z60</f>
        <v>0</v>
      </c>
      <c r="Y110" s="419">
        <f>СЧЁТ!AA60</f>
        <v>0</v>
      </c>
      <c r="Z110" s="419">
        <f>СЧЁТ!AB60</f>
        <v>0</v>
      </c>
      <c r="AA110" s="419">
        <f>СЧЁТ!AC48</f>
        <v>0</v>
      </c>
      <c r="AB110" s="419">
        <f>СЧЁТ!AD48</f>
        <v>0</v>
      </c>
      <c r="AC110" s="419">
        <f>СЧЁТ!AE48</f>
        <v>0</v>
      </c>
      <c r="AD110" s="419">
        <f>СЧЁТ!AF48</f>
        <v>0</v>
      </c>
      <c r="AE110" s="419">
        <f>СЧЁТ!AG48</f>
        <v>0</v>
      </c>
      <c r="AF110" s="419">
        <f>СЧЁТ!AH48</f>
        <v>0</v>
      </c>
      <c r="AG110" s="419">
        <f>СЧЁТ!AI48</f>
        <v>0</v>
      </c>
      <c r="AH110" s="419">
        <f>СЧЁТ!AJ48</f>
        <v>0</v>
      </c>
      <c r="AI110" s="419">
        <f>СЧЁТ!AK48</f>
        <v>0</v>
      </c>
      <c r="AJ110" s="419">
        <f>СЧЁТ!AL48</f>
        <v>0</v>
      </c>
      <c r="AK110" s="419">
        <f>СЧЁТ!AM48</f>
        <v>0</v>
      </c>
      <c r="AL110" s="419">
        <f>СЧЁТ!AN48</f>
        <v>0</v>
      </c>
      <c r="AM110" s="419">
        <f>СЧЁТ!AO48</f>
        <v>0</v>
      </c>
      <c r="AN110" s="419">
        <f>СЧЁТ!AP48</f>
        <v>0</v>
      </c>
      <c r="AO110" s="419">
        <f>СЧЁТ!AQ48</f>
        <v>0</v>
      </c>
      <c r="AP110" s="419">
        <f>СЧЁТ!AR48</f>
        <v>0</v>
      </c>
      <c r="AQ110" s="419">
        <f>СЧЁТ!AS48</f>
        <v>0</v>
      </c>
      <c r="AR110" s="419">
        <f>СЧЁТ!AT48</f>
        <v>0</v>
      </c>
      <c r="AS110" s="419">
        <f>СЧЁТ!AU48</f>
        <v>0</v>
      </c>
      <c r="AT110" s="419">
        <f>СЧЁТ!AV48</f>
        <v>0</v>
      </c>
      <c r="AU110" s="419">
        <f>СЧЁТ!AW48</f>
        <v>0</v>
      </c>
      <c r="AV110" s="419">
        <f>СЧЁТ!AX48</f>
        <v>0</v>
      </c>
      <c r="AW110" s="287" t="s">
        <v>471</v>
      </c>
    </row>
    <row r="111" ht="17.5" customHeight="1" spans="3:49" x14ac:dyDescent="0.25">
      <c r="C111" s="2465">
        <v>44</v>
      </c>
      <c r="D111" s="1348">
        <v>40585</v>
      </c>
      <c r="E111" s="1349" t="s">
        <v>474</v>
      </c>
      <c r="F111" s="26" t="s">
        <v>866</v>
      </c>
      <c r="G111" s="287" t="s">
        <v>2274</v>
      </c>
      <c r="H111" s="287"/>
      <c r="I111" s="287"/>
      <c r="J111" s="287"/>
      <c r="K111" s="287"/>
      <c r="L111" s="287"/>
      <c r="M111" s="1362"/>
      <c r="N111" s="419">
        <f>СЧЁТ!P75</f>
        <v>0</v>
      </c>
      <c r="O111" s="419">
        <f>СЧЁТ!R49</f>
        <v>0</v>
      </c>
      <c r="P111" s="419" t="str">
        <f>СЧЁТ!P44</f>
        <v>DBJ = 0,5355*WWP - 18298</v>
      </c>
      <c r="Q111" s="419">
        <f>СЧЁТ!Q44</f>
        <v>0</v>
      </c>
      <c r="R111" s="419">
        <f>СЧЁТ!R44</f>
        <v>0</v>
      </c>
      <c r="S111" s="419" t="e">
        <f>СЧЁТ!#REF!</f>
        <v>#REF!</v>
      </c>
      <c r="T111" s="419" t="e">
        <f>СЧЁТ!#REF!</f>
        <v>#REF!</v>
      </c>
      <c r="U111" s="419">
        <f>СЧЁТ!W75</f>
        <v>0</v>
      </c>
      <c r="V111" s="419">
        <f>СЧЁТ!X75</f>
        <v>0</v>
      </c>
      <c r="W111" s="419">
        <f>СЧЁТ!Y65</f>
        <v>0</v>
      </c>
      <c r="X111" s="419">
        <f>СЧЁТ!Z65</f>
        <v>0</v>
      </c>
      <c r="Y111" s="419">
        <f>СЧЁТ!AA65</f>
        <v>0</v>
      </c>
      <c r="Z111" s="419">
        <f>СЧЁТ!AB65</f>
        <v>0</v>
      </c>
      <c r="AA111" s="419">
        <f>СЧЁТ!AC49</f>
        <v>0</v>
      </c>
      <c r="AB111" s="419">
        <f>СЧЁТ!AD49</f>
        <v>0</v>
      </c>
      <c r="AC111" s="419">
        <f>СЧЁТ!AE49</f>
        <v>0</v>
      </c>
      <c r="AD111" s="419">
        <f>СЧЁТ!AF49</f>
        <v>0</v>
      </c>
      <c r="AE111" s="419">
        <f>СЧЁТ!AG49</f>
        <v>0</v>
      </c>
      <c r="AF111" s="419">
        <f>СЧЁТ!AH49</f>
        <v>0</v>
      </c>
      <c r="AG111" s="419">
        <f>СЧЁТ!AI49</f>
        <v>0</v>
      </c>
      <c r="AH111" s="419">
        <f>СЧЁТ!AJ49</f>
        <v>0</v>
      </c>
      <c r="AI111" s="419">
        <f>СЧЁТ!AK49</f>
        <v>0</v>
      </c>
      <c r="AJ111" s="419">
        <f>СЧЁТ!AL49</f>
        <v>0</v>
      </c>
      <c r="AK111" s="419">
        <f>СЧЁТ!AM49</f>
        <v>0</v>
      </c>
      <c r="AL111" s="419">
        <f>СЧЁТ!AN49</f>
        <v>0</v>
      </c>
      <c r="AM111" s="419">
        <f>СЧЁТ!AO49</f>
        <v>0</v>
      </c>
      <c r="AN111" s="419">
        <f>СЧЁТ!AP49</f>
        <v>0</v>
      </c>
      <c r="AO111" s="419">
        <f>СЧЁТ!AQ49</f>
        <v>0</v>
      </c>
      <c r="AP111" s="419">
        <f>СЧЁТ!AR49</f>
        <v>0</v>
      </c>
      <c r="AQ111" s="419">
        <f>СЧЁТ!AS49</f>
        <v>0</v>
      </c>
      <c r="AR111" s="419">
        <f>СЧЁТ!AT49</f>
        <v>0</v>
      </c>
      <c r="AS111" s="419">
        <f>СЧЁТ!AU49</f>
        <v>0</v>
      </c>
      <c r="AT111" s="419">
        <f>СЧЁТ!AV49</f>
        <v>0</v>
      </c>
      <c r="AU111" s="419">
        <f>СЧЁТ!AW49</f>
        <v>0</v>
      </c>
      <c r="AV111" s="419">
        <f>СЧЁТ!AX49</f>
        <v>0</v>
      </c>
      <c r="AW111" s="287" t="s">
        <v>474</v>
      </c>
    </row>
    <row r="112" ht="17.5" customHeight="1" spans="3:49" x14ac:dyDescent="0.25">
      <c r="C112" s="2465">
        <v>45</v>
      </c>
      <c r="D112" s="1348">
        <v>40615</v>
      </c>
      <c r="E112" s="1349" t="s">
        <v>477</v>
      </c>
      <c r="F112" s="26" t="s">
        <v>866</v>
      </c>
      <c r="G112" s="287" t="s">
        <v>2275</v>
      </c>
      <c r="H112" s="287"/>
      <c r="I112" s="287"/>
      <c r="J112" s="287"/>
      <c r="K112" s="287"/>
      <c r="L112" s="287"/>
      <c r="M112" s="1362"/>
      <c r="N112" s="419" t="e">
        <f>СЧЁТ!#REF!</f>
        <v>#REF!</v>
      </c>
      <c r="O112" s="419" t="e">
        <f>СЧЁТ!#REF!</f>
        <v>#REF!</v>
      </c>
      <c r="P112" s="419">
        <f>СЧЁТ!S44</f>
        <v>0</v>
      </c>
      <c r="Q112" s="419">
        <f>СЧЁТ!S56</f>
        <v>0</v>
      </c>
      <c r="R112" s="419" t="e">
        <f>СЧЁТ!#REF!</f>
        <v>#REF!</v>
      </c>
      <c r="S112" s="419">
        <f>СЧЁТ!U55</f>
        <v>0</v>
      </c>
      <c r="T112" s="419">
        <f>СЧЁТ!V55</f>
        <v>0</v>
      </c>
      <c r="U112" s="419">
        <f>СЧЁТ!W55</f>
        <v>0</v>
      </c>
      <c r="V112" s="419">
        <f>СЧЁТ!X66</f>
        <v>0</v>
      </c>
      <c r="W112" s="419">
        <f>СЧЁТ!Y66</f>
        <v>0</v>
      </c>
      <c r="X112" s="419">
        <f>СЧЁТ!Z66</f>
        <v>0</v>
      </c>
      <c r="Y112" s="419">
        <f>СЧЁТ!AA66</f>
        <v>0</v>
      </c>
      <c r="Z112" s="419">
        <f>СЧЁТ!AB66</f>
        <v>0</v>
      </c>
      <c r="AA112" s="419">
        <f>СЧЁТ!AC50</f>
        <v>0</v>
      </c>
      <c r="AB112" s="419">
        <f>СЧЁТ!AD50</f>
        <v>0</v>
      </c>
      <c r="AC112" s="419">
        <f>СЧЁТ!AE50</f>
        <v>0</v>
      </c>
      <c r="AD112" s="419">
        <f>СЧЁТ!AF50</f>
        <v>0</v>
      </c>
      <c r="AE112" s="419">
        <f>СЧЁТ!AG50</f>
        <v>0</v>
      </c>
      <c r="AF112" s="419">
        <f>СЧЁТ!AH50</f>
        <v>0</v>
      </c>
      <c r="AG112" s="419">
        <f>СЧЁТ!AI50</f>
        <v>0</v>
      </c>
      <c r="AH112" s="419">
        <f>СЧЁТ!AJ50</f>
        <v>0</v>
      </c>
      <c r="AI112" s="419">
        <f>СЧЁТ!AK50</f>
        <v>0</v>
      </c>
      <c r="AJ112" s="419">
        <f>СЧЁТ!AL50</f>
        <v>0</v>
      </c>
      <c r="AK112" s="419">
        <f>СЧЁТ!AM50</f>
        <v>0</v>
      </c>
      <c r="AL112" s="419">
        <f>СЧЁТ!AN50</f>
        <v>0</v>
      </c>
      <c r="AM112" s="419">
        <f>СЧЁТ!AO50</f>
        <v>0</v>
      </c>
      <c r="AN112" s="419">
        <f>СЧЁТ!AP50</f>
        <v>0</v>
      </c>
      <c r="AO112" s="419">
        <f>СЧЁТ!AQ50</f>
        <v>0</v>
      </c>
      <c r="AP112" s="419">
        <f>СЧЁТ!AR50</f>
        <v>0</v>
      </c>
      <c r="AQ112" s="419">
        <f>СЧЁТ!AS50</f>
        <v>0</v>
      </c>
      <c r="AR112" s="419">
        <f>СЧЁТ!AT50</f>
        <v>0</v>
      </c>
      <c r="AS112" s="419">
        <f>СЧЁТ!AU50</f>
        <v>0</v>
      </c>
      <c r="AT112" s="419">
        <f>СЧЁТ!AV50</f>
        <v>0</v>
      </c>
      <c r="AU112" s="419">
        <f>СЧЁТ!AW50</f>
        <v>0</v>
      </c>
      <c r="AV112" s="419">
        <f>СЧЁТ!AX50</f>
        <v>0</v>
      </c>
      <c r="AW112" s="287" t="s">
        <v>477</v>
      </c>
    </row>
    <row r="113" ht="17.5" customHeight="1" spans="3:49" x14ac:dyDescent="0.25">
      <c r="C113" s="1335">
        <v>46</v>
      </c>
      <c r="D113" s="1348">
        <v>41928</v>
      </c>
      <c r="E113" s="1349" t="s">
        <v>1614</v>
      </c>
      <c r="F113" s="26" t="s">
        <v>866</v>
      </c>
      <c r="G113" s="287" t="s">
        <v>1629</v>
      </c>
      <c r="H113" s="287"/>
      <c r="I113" s="287"/>
      <c r="J113" s="287"/>
      <c r="K113" s="287"/>
      <c r="L113" s="287"/>
      <c r="M113" s="1362">
        <v>0.049988274017691826</v>
      </c>
      <c r="N113" s="419" t="str">
        <f>СЧЁТ!P57</f>
        <v>WWS = 2,191*(FSt - FSt-1 +70,942)</v>
      </c>
      <c r="O113" s="419">
        <f>СЧЁТ!Q57</f>
        <v>0</v>
      </c>
      <c r="P113" s="419">
        <f>СЧЁТ!R57</f>
        <v>0</v>
      </c>
      <c r="Q113" s="419" t="str">
        <f>СЧЁТ!P47</f>
        <v>YG = 0,1814*WWP - 46,215</v>
      </c>
      <c r="R113" s="419">
        <f>СЧЁТ!Q47</f>
        <v>0</v>
      </c>
      <c r="S113" s="419">
        <f>СЧЁТ!R47</f>
        <v>0</v>
      </c>
      <c r="T113" s="419" t="e">
        <f>СЧЁТ!#REF!</f>
        <v>#REF!</v>
      </c>
      <c r="U113" s="419">
        <f>СЧЁТ!T47</f>
        <v>0</v>
      </c>
      <c r="V113" s="419">
        <f>СЧЁТ!X67</f>
        <v>0</v>
      </c>
      <c r="W113" s="419">
        <f>СЧЁТ!Y67</f>
        <v>0</v>
      </c>
      <c r="X113" s="419">
        <f>СЧЁТ!Z67</f>
        <v>0</v>
      </c>
      <c r="Y113" s="419">
        <f>СЧЁТ!AA67</f>
        <v>0</v>
      </c>
      <c r="Z113" s="419">
        <f>СЧЁТ!AB67</f>
        <v>0</v>
      </c>
      <c r="AA113" s="419">
        <f>СЧЁТ!AC51</f>
        <v>0</v>
      </c>
      <c r="AB113" s="419">
        <f>СЧЁТ!AD51</f>
        <v>0</v>
      </c>
      <c r="AC113" s="419">
        <f>СЧЁТ!AE51</f>
        <v>0</v>
      </c>
      <c r="AD113" s="419">
        <f>СЧЁТ!AF51</f>
        <v>0</v>
      </c>
      <c r="AE113" s="419">
        <f>СЧЁТ!AG51</f>
        <v>0</v>
      </c>
      <c r="AF113" s="419">
        <f>СЧЁТ!AH51</f>
        <v>0</v>
      </c>
      <c r="AG113" s="419">
        <f>СЧЁТ!AI51</f>
        <v>0</v>
      </c>
      <c r="AH113" s="419">
        <f>СЧЁТ!AJ51</f>
        <v>0</v>
      </c>
      <c r="AI113" s="419">
        <f>СЧЁТ!AK51</f>
        <v>0</v>
      </c>
      <c r="AJ113" s="419">
        <f>СЧЁТ!AL51</f>
        <v>0</v>
      </c>
      <c r="AK113" s="419">
        <f>СЧЁТ!AM51</f>
        <v>0</v>
      </c>
      <c r="AL113" s="419">
        <f>СЧЁТ!AN51</f>
        <v>0</v>
      </c>
      <c r="AM113" s="419">
        <f>СЧЁТ!AO51</f>
        <v>0</v>
      </c>
      <c r="AN113" s="419">
        <f>СЧЁТ!AP51</f>
        <v>0</v>
      </c>
      <c r="AO113" s="419">
        <f>СЧЁТ!AQ51</f>
        <v>0</v>
      </c>
      <c r="AP113" s="419">
        <f>СЧЁТ!AR51</f>
        <v>0</v>
      </c>
      <c r="AQ113" s="419">
        <f>СЧЁТ!AS51</f>
        <v>0</v>
      </c>
      <c r="AR113" s="419">
        <f>СЧЁТ!AT51</f>
        <v>0</v>
      </c>
      <c r="AS113" s="419">
        <f>СЧЁТ!AU51</f>
        <v>0</v>
      </c>
      <c r="AT113" s="419">
        <f>СЧЁТ!AV51</f>
        <v>0</v>
      </c>
      <c r="AU113" s="419">
        <f>СЧЁТ!AW51</f>
        <v>0</v>
      </c>
      <c r="AV113" s="419">
        <f>СЧЁТ!AX51</f>
        <v>0</v>
      </c>
      <c r="AW113" s="287" t="s">
        <v>1614</v>
      </c>
    </row>
    <row r="114" ht="17.5" customHeight="1" spans="3:49" x14ac:dyDescent="0.25">
      <c r="C114" s="1335">
        <v>47</v>
      </c>
      <c r="D114" s="1348">
        <v>42308</v>
      </c>
      <c r="E114" s="1349" t="s">
        <v>553</v>
      </c>
      <c r="F114" s="26" t="s">
        <v>866</v>
      </c>
      <c r="G114" s="287" t="s">
        <v>1618</v>
      </c>
      <c r="H114" s="287"/>
      <c r="I114" s="287"/>
      <c r="J114" s="287"/>
      <c r="K114" s="287"/>
      <c r="L114" s="287"/>
      <c r="M114" s="1362">
        <v>0.3059108200657057</v>
      </c>
      <c r="N114" s="419">
        <f>СЧЁТ!P76</f>
        <v>0</v>
      </c>
      <c r="O114" s="419">
        <f>СЧЁТ!Q76</f>
        <v>0</v>
      </c>
      <c r="P114" s="419">
        <f>СЧЁТ!R76</f>
        <v>0</v>
      </c>
      <c r="Q114" s="419">
        <f>СЧЁТ!S47</f>
        <v>0</v>
      </c>
      <c r="R114" s="419" t="e">
        <f>СЧЁТ!#REF!</f>
        <v>#REF!</v>
      </c>
      <c r="S114" s="419">
        <f>СЧЁТ!U76</f>
        <v>0</v>
      </c>
      <c r="T114" s="419">
        <f>СЧЁТ!V76</f>
        <v>0</v>
      </c>
      <c r="U114" s="419">
        <f>СЧЁТ!W76</f>
        <v>0</v>
      </c>
      <c r="V114" s="419">
        <f>СЧЁТ!X76</f>
        <v>0</v>
      </c>
      <c r="W114" s="419">
        <f>СЧЁТ!Y76</f>
        <v>0</v>
      </c>
      <c r="X114" s="419">
        <f>СЧЁТ!Z76</f>
        <v>0</v>
      </c>
      <c r="Y114" s="419">
        <f>СЧЁТ!AA76</f>
        <v>0</v>
      </c>
      <c r="Z114" s="419">
        <f>СЧЁТ!AB59</f>
        <v>0</v>
      </c>
      <c r="AA114" s="419">
        <f>СЧЁТ!AC52</f>
        <v>0</v>
      </c>
      <c r="AB114" s="419">
        <f>СЧЁТ!AD52</f>
        <v>0</v>
      </c>
      <c r="AC114" s="419">
        <f>СЧЁТ!AE52</f>
        <v>0</v>
      </c>
      <c r="AD114" s="419">
        <f>СЧЁТ!AF52</f>
        <v>0</v>
      </c>
      <c r="AE114" s="419">
        <f>СЧЁТ!AG52</f>
        <v>0</v>
      </c>
      <c r="AF114" s="419">
        <f>СЧЁТ!AH52</f>
        <v>0</v>
      </c>
      <c r="AG114" s="419">
        <f>СЧЁТ!AI52</f>
        <v>0</v>
      </c>
      <c r="AH114" s="419">
        <f>СЧЁТ!AJ52</f>
        <v>0</v>
      </c>
      <c r="AI114" s="419">
        <f>СЧЁТ!AK52</f>
        <v>0</v>
      </c>
      <c r="AJ114" s="419">
        <f>СЧЁТ!AL52</f>
        <v>0</v>
      </c>
      <c r="AK114" s="419">
        <f>СЧЁТ!AM52</f>
        <v>0</v>
      </c>
      <c r="AL114" s="419">
        <f>СЧЁТ!AN52</f>
        <v>0</v>
      </c>
      <c r="AM114" s="419">
        <f>СЧЁТ!AO52</f>
        <v>0</v>
      </c>
      <c r="AN114" s="419">
        <f>СЧЁТ!AP52</f>
        <v>0</v>
      </c>
      <c r="AO114" s="419">
        <f>СЧЁТ!AQ52</f>
        <v>0</v>
      </c>
      <c r="AP114" s="419">
        <f>СЧЁТ!AR52</f>
        <v>0</v>
      </c>
      <c r="AQ114" s="419">
        <f>СЧЁТ!AS52</f>
        <v>0</v>
      </c>
      <c r="AR114" s="419">
        <f>СЧЁТ!AT52</f>
        <v>0</v>
      </c>
      <c r="AS114" s="419">
        <f>СЧЁТ!AU52</f>
        <v>0</v>
      </c>
      <c r="AT114" s="419">
        <f>СЧЁТ!AV52</f>
        <v>0</v>
      </c>
      <c r="AU114" s="419">
        <f>СЧЁТ!AW52</f>
        <v>0</v>
      </c>
      <c r="AV114" s="419">
        <f>СЧЁТ!AX52</f>
        <v>0</v>
      </c>
      <c r="AW114" s="287" t="s">
        <v>553</v>
      </c>
    </row>
    <row r="115" ht="17.5" customHeight="1" spans="3:49" x14ac:dyDescent="0.25">
      <c r="C115" s="1335">
        <v>48</v>
      </c>
      <c r="D115" s="1348">
        <v>42308</v>
      </c>
      <c r="E115" s="1349" t="s">
        <v>550</v>
      </c>
      <c r="F115" s="26" t="s">
        <v>866</v>
      </c>
      <c r="G115" s="287" t="s">
        <v>1617</v>
      </c>
      <c r="H115" s="287"/>
      <c r="I115" s="287"/>
      <c r="J115" s="287"/>
      <c r="K115" s="287"/>
      <c r="L115" s="287"/>
      <c r="M115" s="1362">
        <v>0.34028203577560534</v>
      </c>
      <c r="N115" s="419" t="e">
        <f>СЧЁТ!#REF!</f>
        <v>#REF!</v>
      </c>
      <c r="O115" s="419" t="e">
        <f>СЧЁТ!#REF!</f>
        <v>#REF!</v>
      </c>
      <c r="P115" s="419" t="e">
        <f>СЧЁТ!#REF!</f>
        <v>#REF!</v>
      </c>
      <c r="Q115" s="419">
        <f>СЧЁТ!S52</f>
        <v>0</v>
      </c>
      <c r="R115" s="419" t="e">
        <f>СЧЁТ!#REF!</f>
        <v>#REF!</v>
      </c>
      <c r="S115" s="419">
        <f>СЧЁТ!U54</f>
        <v>0</v>
      </c>
      <c r="T115" s="419">
        <f>СЧЁТ!V54</f>
        <v>0</v>
      </c>
      <c r="U115" s="419" t="e">
        <f>СЧЁТ!#REF!</f>
        <v>#REF!</v>
      </c>
      <c r="V115" s="419">
        <f>СЧЁТ!X56</f>
        <v>0</v>
      </c>
      <c r="W115" s="419">
        <f>СЧЁТ!Y56</f>
        <v>0</v>
      </c>
      <c r="X115" s="419">
        <f>СЧЁТ!Z69</f>
        <v>0</v>
      </c>
      <c r="Y115" s="419">
        <f>СЧЁТ!AA69</f>
        <v>0</v>
      </c>
      <c r="Z115" s="419">
        <f>СЧЁТ!AB69</f>
        <v>0</v>
      </c>
      <c r="AA115" s="419">
        <f>СЧЁТ!AC54</f>
        <v>0</v>
      </c>
      <c r="AB115" s="419">
        <f>СЧЁТ!AD54</f>
        <v>0</v>
      </c>
      <c r="AC115" s="419">
        <f>СЧЁТ!AE54</f>
        <v>0</v>
      </c>
      <c r="AD115" s="419">
        <f>СЧЁТ!AF54</f>
        <v>0</v>
      </c>
      <c r="AE115" s="419">
        <f>СЧЁТ!AG54</f>
        <v>0</v>
      </c>
      <c r="AF115" s="419">
        <f>СЧЁТ!AH54</f>
        <v>0</v>
      </c>
      <c r="AG115" s="419">
        <f>СЧЁТ!AI54</f>
        <v>0</v>
      </c>
      <c r="AH115" s="419">
        <f>СЧЁТ!AJ54</f>
        <v>0</v>
      </c>
      <c r="AI115" s="419">
        <f>СЧЁТ!AK54</f>
        <v>0</v>
      </c>
      <c r="AJ115" s="419">
        <f>СЧЁТ!AL54</f>
        <v>0</v>
      </c>
      <c r="AK115" s="419">
        <f>СЧЁТ!AM54</f>
        <v>0</v>
      </c>
      <c r="AL115" s="419">
        <f>СЧЁТ!AN54</f>
        <v>0</v>
      </c>
      <c r="AM115" s="419">
        <f>СЧЁТ!AO54</f>
        <v>0</v>
      </c>
      <c r="AN115" s="419">
        <f>СЧЁТ!AP54</f>
        <v>0</v>
      </c>
      <c r="AO115" s="419">
        <f>СЧЁТ!AQ54</f>
        <v>0</v>
      </c>
      <c r="AP115" s="419">
        <f>СЧЁТ!AR54</f>
        <v>0</v>
      </c>
      <c r="AQ115" s="419">
        <f>СЧЁТ!AS54</f>
        <v>0</v>
      </c>
      <c r="AR115" s="419">
        <f>СЧЁТ!AT54</f>
        <v>0</v>
      </c>
      <c r="AS115" s="419">
        <f>СЧЁТ!AU54</f>
        <v>0</v>
      </c>
      <c r="AT115" s="419">
        <f>СЧЁТ!AV54</f>
        <v>0</v>
      </c>
      <c r="AU115" s="419">
        <f>СЧЁТ!AW54</f>
        <v>0</v>
      </c>
      <c r="AV115" s="419">
        <f>СЧЁТ!AX54</f>
        <v>0</v>
      </c>
      <c r="AW115" s="287" t="s">
        <v>550</v>
      </c>
    </row>
    <row r="116" ht="17.5" customHeight="1" spans="3:49" x14ac:dyDescent="0.25">
      <c r="C116" s="1335">
        <v>49</v>
      </c>
      <c r="D116" s="1348">
        <v>42309</v>
      </c>
      <c r="E116" s="1349" t="s">
        <v>612</v>
      </c>
      <c r="F116" s="26" t="s">
        <v>866</v>
      </c>
      <c r="G116" s="287" t="s">
        <v>1630</v>
      </c>
      <c r="H116" s="287"/>
      <c r="I116" s="287"/>
      <c r="J116" s="287"/>
      <c r="K116" s="287"/>
      <c r="L116" s="287"/>
      <c r="M116" s="1362">
        <v>0.022490438989016016</v>
      </c>
      <c r="N116" s="419">
        <f>СЧЁТ!P37</f>
        <v>0</v>
      </c>
      <c r="O116" s="419">
        <f>СЧЁТ!Q37</f>
        <v>0</v>
      </c>
      <c r="P116" s="419">
        <f>СЧЁТ!R37</f>
        <v>0</v>
      </c>
      <c r="Q116" s="419">
        <f>СЧЁТ!S37</f>
        <v>0</v>
      </c>
      <c r="R116" s="419">
        <f>СЧЁТ!T37</f>
        <v>0</v>
      </c>
      <c r="S116" s="419">
        <f>СЧЁТ!U37</f>
        <v>0</v>
      </c>
      <c r="T116" s="419">
        <f>СЧЁТ!V37</f>
        <v>0</v>
      </c>
      <c r="U116" s="419">
        <f>СЧЁТ!W37</f>
        <v>0</v>
      </c>
      <c r="V116" s="419">
        <f>СЧЁТ!X37</f>
        <v>0</v>
      </c>
      <c r="W116" s="419">
        <f>СЧЁТ!Y37</f>
        <v>0</v>
      </c>
      <c r="X116" s="419">
        <f>СЧЁТ!Z37</f>
        <v>0</v>
      </c>
      <c r="Y116" s="419">
        <f>СЧЁТ!AA37</f>
        <v>0</v>
      </c>
      <c r="Z116" s="419">
        <f>СЧЁТ!AB37</f>
        <v>0</v>
      </c>
      <c r="AA116" s="419">
        <f>СЧЁТ!AC37</f>
        <v>0</v>
      </c>
      <c r="AB116" s="419">
        <f>СЧЁТ!AD37</f>
        <v>0</v>
      </c>
      <c r="AC116" s="419">
        <f>СЧЁТ!AE37</f>
        <v>0</v>
      </c>
      <c r="AD116" s="419">
        <f>СЧЁТ!AF37</f>
        <v>0</v>
      </c>
      <c r="AE116" s="419">
        <f>СЧЁТ!AG37</f>
        <v>0</v>
      </c>
      <c r="AF116" s="419">
        <f>СЧЁТ!AH37</f>
        <v>0</v>
      </c>
      <c r="AG116" s="419">
        <f>СЧЁТ!AI37</f>
        <v>0</v>
      </c>
      <c r="AH116" s="419">
        <f>СЧЁТ!AJ37</f>
        <v>0</v>
      </c>
      <c r="AI116" s="419">
        <f>СЧЁТ!AK37</f>
        <v>0</v>
      </c>
      <c r="AJ116" s="419">
        <f>СЧЁТ!AL37</f>
        <v>0</v>
      </c>
      <c r="AK116" s="419">
        <f>СЧЁТ!AM37</f>
        <v>0</v>
      </c>
      <c r="AL116" s="419">
        <f>СЧЁТ!AN37</f>
        <v>0</v>
      </c>
      <c r="AM116" s="419">
        <f>СЧЁТ!AO37</f>
        <v>0</v>
      </c>
      <c r="AN116" s="419">
        <f>СЧЁТ!AP37</f>
        <v>0</v>
      </c>
      <c r="AO116" s="419">
        <f>СЧЁТ!AQ37</f>
        <v>0</v>
      </c>
      <c r="AP116" s="419">
        <f>СЧЁТ!AR37</f>
        <v>0</v>
      </c>
      <c r="AQ116" s="419">
        <f>СЧЁТ!AS37</f>
        <v>0</v>
      </c>
      <c r="AR116" s="419">
        <f>СЧЁТ!AT37</f>
        <v>0</v>
      </c>
      <c r="AS116" s="419">
        <f>СЧЁТ!AU37</f>
        <v>0</v>
      </c>
      <c r="AT116" s="419">
        <f>СЧЁТ!AV37</f>
        <v>0</v>
      </c>
      <c r="AU116" s="419">
        <f>СЧЁТ!AW37</f>
        <v>0</v>
      </c>
      <c r="AV116" s="419">
        <f>СЧЁТ!AX37</f>
        <v>0</v>
      </c>
      <c r="AW116" s="287" t="s">
        <v>612</v>
      </c>
    </row>
    <row r="117" ht="17.5" customHeight="1" spans="3:49" x14ac:dyDescent="0.25">
      <c r="C117" s="1335">
        <v>50</v>
      </c>
      <c r="D117" s="2466">
        <v>40614</v>
      </c>
      <c r="E117" s="1349" t="s">
        <v>2267</v>
      </c>
      <c r="F117" s="26" t="s">
        <v>866</v>
      </c>
      <c r="G117" s="287" t="s">
        <v>2268</v>
      </c>
      <c r="H117" s="287"/>
      <c r="I117" s="287"/>
      <c r="J117" s="287"/>
      <c r="K117" s="287"/>
      <c r="L117" s="287"/>
      <c r="M117" s="1362">
        <v>0.24458015167192756</v>
      </c>
      <c r="N117" s="419">
        <f>СЧЁТ!P74</f>
        <v>0</v>
      </c>
      <c r="O117" s="419">
        <f>СЧЁТ!Q74</f>
        <v>0</v>
      </c>
      <c r="P117" s="419">
        <f>СЧЁТ!R74</f>
        <v>0</v>
      </c>
      <c r="Q117" s="419">
        <f>СЧЁТ!S48</f>
        <v>0</v>
      </c>
      <c r="R117" s="419">
        <f>СЧЁТ!T48</f>
        <v>0</v>
      </c>
      <c r="S117" s="419">
        <f>СЧЁТ!U71</f>
        <v>0</v>
      </c>
      <c r="T117" s="419" t="e">
        <f>СЧЁТ!#REF!</f>
        <v>#REF!</v>
      </c>
      <c r="U117" s="419" t="e">
        <f>СЧЁТ!#REF!</f>
        <v>#REF!</v>
      </c>
      <c r="V117" s="419">
        <f>СЧЁТ!X71</f>
        <v>0</v>
      </c>
      <c r="W117" s="419">
        <f>СЧЁТ!Y71</f>
        <v>0</v>
      </c>
      <c r="X117" s="419">
        <f>СЧЁТ!Z71</f>
        <v>0</v>
      </c>
      <c r="Y117" s="419">
        <f>СЧЁТ!AA71</f>
        <v>0</v>
      </c>
      <c r="Z117" s="419">
        <f>СЧЁТ!AB71</f>
        <v>0</v>
      </c>
      <c r="AA117" s="419">
        <f>СЧЁТ!AC56</f>
        <v>0</v>
      </c>
      <c r="AB117" s="419">
        <f>СЧЁТ!AD56</f>
        <v>0</v>
      </c>
      <c r="AC117" s="419">
        <f>СЧЁТ!AE56</f>
        <v>0</v>
      </c>
      <c r="AD117" s="419">
        <f>СЧЁТ!AF56</f>
        <v>0</v>
      </c>
      <c r="AE117" s="419">
        <f>СЧЁТ!AG56</f>
        <v>0</v>
      </c>
      <c r="AF117" s="419">
        <f>СЧЁТ!AH56</f>
        <v>0</v>
      </c>
      <c r="AG117" s="419">
        <f>СЧЁТ!AI56</f>
        <v>0</v>
      </c>
      <c r="AH117" s="419">
        <f>СЧЁТ!AJ56</f>
        <v>0</v>
      </c>
      <c r="AI117" s="419">
        <f>СЧЁТ!AK56</f>
        <v>0</v>
      </c>
      <c r="AJ117" s="419">
        <f>СЧЁТ!AL56</f>
        <v>0</v>
      </c>
      <c r="AK117" s="419">
        <f>СЧЁТ!AM56</f>
        <v>0</v>
      </c>
      <c r="AL117" s="419">
        <f>СЧЁТ!AN56</f>
        <v>0</v>
      </c>
      <c r="AM117" s="419">
        <f>СЧЁТ!AO56</f>
        <v>0</v>
      </c>
      <c r="AN117" s="419">
        <f>СЧЁТ!AP56</f>
        <v>0</v>
      </c>
      <c r="AO117" s="419">
        <f>СЧЁТ!AQ56</f>
        <v>0</v>
      </c>
      <c r="AP117" s="419">
        <f>СЧЁТ!AR56</f>
        <v>0</v>
      </c>
      <c r="AQ117" s="419">
        <f>СЧЁТ!AS56</f>
        <v>0</v>
      </c>
      <c r="AR117" s="419">
        <f>СЧЁТ!AT56</f>
        <v>0</v>
      </c>
      <c r="AS117" s="419">
        <f>СЧЁТ!AU56</f>
        <v>0</v>
      </c>
      <c r="AT117" s="419">
        <f>СЧЁТ!AV56</f>
        <v>0</v>
      </c>
      <c r="AU117" s="419">
        <f>СЧЁТ!AW56</f>
        <v>0</v>
      </c>
      <c r="AV117" s="419">
        <f>СЧЁТ!AX56</f>
        <v>0</v>
      </c>
      <c r="AW117" s="287" t="s">
        <v>2267</v>
      </c>
    </row>
    <row r="118" ht="17.5" customHeight="1" spans="3:49" x14ac:dyDescent="0.25">
      <c r="C118" s="1335">
        <v>51</v>
      </c>
      <c r="D118" s="2466">
        <v>40614</v>
      </c>
      <c r="E118" s="1349" t="s">
        <v>2269</v>
      </c>
      <c r="F118" s="26" t="s">
        <v>866</v>
      </c>
      <c r="G118" s="287" t="s">
        <v>2270</v>
      </c>
      <c r="H118" s="287"/>
      <c r="I118" s="287"/>
      <c r="J118" s="287"/>
      <c r="K118" s="287"/>
      <c r="L118" s="287"/>
      <c r="M118" s="1362">
        <v>0.24548014811767122</v>
      </c>
      <c r="N118" s="419">
        <f>СЧЁТ!P72</f>
        <v>0</v>
      </c>
      <c r="O118" s="419" t="e">
        <f>СЧЁТ!#REF!</f>
        <v>#REF!</v>
      </c>
      <c r="P118" s="419" t="e">
        <f>СЧЁТ!#REF!</f>
        <v>#REF!</v>
      </c>
      <c r="Q118" s="419">
        <f>СЧЁТ!V71</f>
        <v>0</v>
      </c>
      <c r="R118" s="419">
        <f>СЧЁТ!W71</f>
        <v>0</v>
      </c>
      <c r="S118" s="419" t="e">
        <f>СЧЁТ!#REF!</f>
        <v>#REF!</v>
      </c>
      <c r="T118" s="419">
        <f>СЧЁТ!V72</f>
        <v>0</v>
      </c>
      <c r="U118" s="419">
        <f>СЧЁТ!W72</f>
        <v>0</v>
      </c>
      <c r="V118" s="419">
        <f>СЧЁТ!X72</f>
        <v>0</v>
      </c>
      <c r="W118" s="419">
        <f>СЧЁТ!Y72</f>
        <v>0</v>
      </c>
      <c r="X118" s="419">
        <f>СЧЁТ!Z72</f>
        <v>0</v>
      </c>
      <c r="Y118" s="419">
        <f>СЧЁТ!AA72</f>
        <v>0</v>
      </c>
      <c r="Z118" s="419">
        <f>СЧЁТ!AB72</f>
        <v>0</v>
      </c>
      <c r="AA118" s="419">
        <f>СЧЁТ!AC57</f>
        <v>0</v>
      </c>
      <c r="AB118" s="419">
        <f>СЧЁТ!AD57</f>
        <v>0</v>
      </c>
      <c r="AC118" s="419">
        <f>СЧЁТ!AE57</f>
        <v>0</v>
      </c>
      <c r="AD118" s="419">
        <f>СЧЁТ!AF57</f>
        <v>0</v>
      </c>
      <c r="AE118" s="419">
        <f>СЧЁТ!AG57</f>
        <v>0</v>
      </c>
      <c r="AF118" s="419">
        <f>СЧЁТ!AH57</f>
        <v>0</v>
      </c>
      <c r="AG118" s="419">
        <f>СЧЁТ!AI57</f>
        <v>0</v>
      </c>
      <c r="AH118" s="419">
        <f>СЧЁТ!AJ57</f>
        <v>0</v>
      </c>
      <c r="AI118" s="419">
        <f>СЧЁТ!AK57</f>
        <v>0</v>
      </c>
      <c r="AJ118" s="419">
        <f>СЧЁТ!AL57</f>
        <v>0</v>
      </c>
      <c r="AK118" s="419">
        <f>СЧЁТ!AM57</f>
        <v>0</v>
      </c>
      <c r="AL118" s="419">
        <f>СЧЁТ!AN57</f>
        <v>0</v>
      </c>
      <c r="AM118" s="419">
        <f>СЧЁТ!AO57</f>
        <v>0</v>
      </c>
      <c r="AN118" s="419">
        <f>СЧЁТ!AP57</f>
        <v>0</v>
      </c>
      <c r="AO118" s="419">
        <f>СЧЁТ!AQ57</f>
        <v>0</v>
      </c>
      <c r="AP118" s="419">
        <f>СЧЁТ!AR57</f>
        <v>0</v>
      </c>
      <c r="AQ118" s="419">
        <f>СЧЁТ!AS57</f>
        <v>0</v>
      </c>
      <c r="AR118" s="419">
        <f>СЧЁТ!AT57</f>
        <v>0</v>
      </c>
      <c r="AS118" s="419">
        <f>СЧЁТ!AU57</f>
        <v>0</v>
      </c>
      <c r="AT118" s="419">
        <f>СЧЁТ!AV57</f>
        <v>0</v>
      </c>
      <c r="AU118" s="419">
        <f>СЧЁТ!AW57</f>
        <v>0</v>
      </c>
      <c r="AV118" s="419">
        <f>СЧЁТ!AX57</f>
        <v>0</v>
      </c>
      <c r="AW118" s="287" t="s">
        <v>2269</v>
      </c>
    </row>
    <row r="119" ht="17.5" customHeight="1" spans="3:49" x14ac:dyDescent="0.25">
      <c r="C119" s="1335">
        <v>52</v>
      </c>
      <c r="D119" s="2466"/>
      <c r="E119" s="1349"/>
      <c r="F119" s="26"/>
      <c r="G119" s="287"/>
      <c r="H119" s="287"/>
      <c r="I119" s="287"/>
      <c r="J119" s="287"/>
      <c r="K119" s="287"/>
      <c r="L119" s="287"/>
      <c r="M119" s="1362"/>
      <c r="N119" s="419" t="e">
        <f>СЧЁТ!#REF!</f>
        <v>#REF!</v>
      </c>
      <c r="O119" s="419">
        <f>СЧЁТ!T57</f>
        <v>0</v>
      </c>
      <c r="P119" s="419" t="e">
        <f>СЧЁТ!#REF!</f>
        <v>#REF!</v>
      </c>
      <c r="Q119" s="419" t="e">
        <f>СЧЁТ!#REF!</f>
        <v>#REF!</v>
      </c>
      <c r="R119" s="419" t="e">
        <f>СЧЁТ!#REF!</f>
        <v>#REF!</v>
      </c>
      <c r="S119" s="419" t="e">
        <f>СЧЁТ!#REF!</f>
        <v>#REF!</v>
      </c>
      <c r="T119" s="419" t="e">
        <f>СЧЁТ!#REF!</f>
        <v>#REF!</v>
      </c>
      <c r="U119" s="419" t="e">
        <f>СЧЁТ!#REF!</f>
        <v>#REF!</v>
      </c>
      <c r="V119" s="419" t="e">
        <f>СЧЁТ!#REF!</f>
        <v>#REF!</v>
      </c>
      <c r="W119" s="419" t="e">
        <f>СЧЁТ!#REF!</f>
        <v>#REF!</v>
      </c>
      <c r="X119" s="419">
        <f>СЧЁТ!Z56</f>
        <v>0</v>
      </c>
      <c r="Y119" s="419">
        <f>СЧЁТ!AA58</f>
        <v>0</v>
      </c>
      <c r="Z119" s="419">
        <f>СЧЁТ!AB58</f>
        <v>0</v>
      </c>
      <c r="AA119" s="419">
        <f>СЧЁТ!AC58</f>
        <v>0</v>
      </c>
      <c r="AB119" s="419">
        <f>СЧЁТ!AD58</f>
        <v>0</v>
      </c>
      <c r="AC119" s="419">
        <f>СЧЁТ!AE58</f>
        <v>0</v>
      </c>
      <c r="AD119" s="419">
        <f>СЧЁТ!AF58</f>
        <v>0</v>
      </c>
      <c r="AE119" s="419">
        <f>СЧЁТ!AG58</f>
        <v>0</v>
      </c>
      <c r="AF119" s="419">
        <f>СЧЁТ!AH58</f>
        <v>0</v>
      </c>
      <c r="AG119" s="419">
        <f>СЧЁТ!AI58</f>
        <v>0</v>
      </c>
      <c r="AH119" s="419">
        <f>СЧЁТ!AJ58</f>
        <v>0</v>
      </c>
      <c r="AI119" s="419">
        <f>СЧЁТ!AK58</f>
        <v>0</v>
      </c>
      <c r="AJ119" s="419">
        <f>СЧЁТ!AL58</f>
        <v>0</v>
      </c>
      <c r="AK119" s="419">
        <f>СЧЁТ!AM58</f>
        <v>0</v>
      </c>
      <c r="AL119" s="419">
        <f>СЧЁТ!AN58</f>
        <v>0</v>
      </c>
      <c r="AM119" s="419">
        <f>СЧЁТ!AO58</f>
        <v>0</v>
      </c>
      <c r="AN119" s="419">
        <f>СЧЁТ!AP58</f>
        <v>0</v>
      </c>
      <c r="AO119" s="419">
        <f>СЧЁТ!AQ58</f>
        <v>0</v>
      </c>
      <c r="AP119" s="419">
        <f>СЧЁТ!AR58</f>
        <v>0</v>
      </c>
      <c r="AQ119" s="419">
        <f>СЧЁТ!AS58</f>
        <v>0</v>
      </c>
      <c r="AR119" s="419">
        <f>СЧЁТ!AT58</f>
        <v>0</v>
      </c>
      <c r="AS119" s="419">
        <f>СЧЁТ!AU58</f>
        <v>0</v>
      </c>
      <c r="AT119" s="419">
        <f>СЧЁТ!AV58</f>
        <v>0</v>
      </c>
      <c r="AU119" s="419">
        <f>СЧЁТ!AW58</f>
        <v>0</v>
      </c>
      <c r="AV119" s="419">
        <f>СЧЁТ!AX58</f>
        <v>0</v>
      </c>
      <c r="AW119" s="287">
        <v>0</v>
      </c>
    </row>
    <row r="120" ht="20.5" customHeight="1" spans="3:49" x14ac:dyDescent="0.25">
      <c r="C120" s="1335">
        <v>53</v>
      </c>
      <c r="D120" s="2466">
        <v>42273</v>
      </c>
      <c r="E120" s="2473" t="s">
        <v>2271</v>
      </c>
      <c r="F120" s="26" t="s">
        <v>866</v>
      </c>
      <c r="G120" s="287" t="s">
        <v>2266</v>
      </c>
      <c r="H120" s="287"/>
      <c r="I120" s="287"/>
      <c r="J120" s="287"/>
      <c r="K120" s="287"/>
      <c r="L120" s="287"/>
      <c r="M120" s="1362">
        <v>0.1841275125901203</v>
      </c>
      <c r="N120" s="419" t="e">
        <f>СЧЁТ!#REF!</f>
        <v>#REF!</v>
      </c>
      <c r="O120" s="419" t="e">
        <f>СЧЁТ!#REF!</f>
        <v>#REF!</v>
      </c>
      <c r="P120" s="419" t="e">
        <f>СЧЁТ!#REF!</f>
        <v>#REF!</v>
      </c>
      <c r="Q120" s="419" t="e">
        <f>СЧЁТ!#REF!</f>
        <v>#REF!</v>
      </c>
      <c r="R120" s="419" t="e">
        <f>СЧЁТ!#REF!</f>
        <v>#REF!</v>
      </c>
      <c r="S120" s="419" t="e">
        <f>СЧЁТ!#REF!</f>
        <v>#REF!</v>
      </c>
      <c r="T120" s="419" t="e">
        <f>СЧЁТ!#REF!</f>
        <v>#REF!</v>
      </c>
      <c r="U120" s="419" t="e">
        <f>СЧЁТ!#REF!</f>
        <v>#REF!</v>
      </c>
      <c r="V120" s="419" t="e">
        <f>СЧЁТ!#REF!</f>
        <v>#REF!</v>
      </c>
      <c r="W120" s="419" t="e">
        <f>СЧЁТ!#REF!</f>
        <v>#REF!</v>
      </c>
      <c r="X120" s="419" t="e">
        <f>СЧЁТ!#REF!</f>
        <v>#REF!</v>
      </c>
      <c r="Y120" s="419" t="e">
        <f>СЧЁТ!#REF!</f>
        <v>#REF!</v>
      </c>
      <c r="Z120" s="419" t="e">
        <f>СЧЁТ!#REF!</f>
        <v>#REF!</v>
      </c>
      <c r="AA120" s="419">
        <f>СЧЁТ!AC59</f>
        <v>0</v>
      </c>
      <c r="AB120" s="419">
        <f>СЧЁТ!AD59</f>
        <v>0</v>
      </c>
      <c r="AC120" s="419">
        <f>СЧЁТ!AE59</f>
        <v>0</v>
      </c>
      <c r="AD120" s="419">
        <f>СЧЁТ!AF59</f>
        <v>0</v>
      </c>
      <c r="AE120" s="419">
        <f>СЧЁТ!AG59</f>
        <v>0</v>
      </c>
      <c r="AF120" s="419">
        <f>СЧЁТ!AH59</f>
        <v>0</v>
      </c>
      <c r="AG120" s="419">
        <f>СЧЁТ!AI59</f>
        <v>0</v>
      </c>
      <c r="AH120" s="419">
        <f>СЧЁТ!AJ59</f>
        <v>0</v>
      </c>
      <c r="AI120" s="419">
        <f>СЧЁТ!AK59</f>
        <v>0</v>
      </c>
      <c r="AJ120" s="419">
        <f>СЧЁТ!AL59</f>
        <v>0</v>
      </c>
      <c r="AK120" s="419">
        <f>СЧЁТ!AM59</f>
        <v>0</v>
      </c>
      <c r="AL120" s="419">
        <f>СЧЁТ!AN59</f>
        <v>0</v>
      </c>
      <c r="AM120" s="419">
        <f>СЧЁТ!AO59</f>
        <v>0</v>
      </c>
      <c r="AN120" s="419">
        <f>СЧЁТ!AP59</f>
        <v>0</v>
      </c>
      <c r="AO120" s="419">
        <f>СЧЁТ!AQ59</f>
        <v>0</v>
      </c>
      <c r="AP120" s="419">
        <f>СЧЁТ!AR59</f>
        <v>0</v>
      </c>
      <c r="AQ120" s="419">
        <f>СЧЁТ!AS59</f>
        <v>0</v>
      </c>
      <c r="AR120" s="419">
        <f>СЧЁТ!AT59</f>
        <v>0</v>
      </c>
      <c r="AS120" s="419">
        <f>СЧЁТ!AU59</f>
        <v>0</v>
      </c>
      <c r="AT120" s="419">
        <f>СЧЁТ!AV59</f>
        <v>0</v>
      </c>
      <c r="AU120" s="419">
        <f>СЧЁТ!AW59</f>
        <v>0</v>
      </c>
      <c r="AV120" s="419">
        <f>СЧЁТ!AX59</f>
        <v>0</v>
      </c>
      <c r="AW120" s="910" t="s">
        <v>2271</v>
      </c>
    </row>
    <row r="121" ht="17.5" customHeight="1" spans="3:49" x14ac:dyDescent="0.25">
      <c r="C121" s="1335">
        <v>54</v>
      </c>
      <c r="D121" s="1387">
        <v>42034</v>
      </c>
      <c r="E121" s="1349" t="s">
        <v>936</v>
      </c>
      <c r="F121" s="26" t="s">
        <v>866</v>
      </c>
      <c r="G121" s="287" t="s">
        <v>1620</v>
      </c>
      <c r="H121" s="287"/>
      <c r="I121" s="287"/>
      <c r="J121" s="287"/>
      <c r="K121" s="287"/>
      <c r="L121" s="287"/>
      <c r="M121" s="1371">
        <v>1</v>
      </c>
      <c r="N121" s="419">
        <f>СЧЁТ!P38</f>
        <v>0</v>
      </c>
      <c r="O121" s="419">
        <f>СЧЁТ!Q38</f>
        <v>0</v>
      </c>
      <c r="P121" s="419">
        <f>СЧЁТ!R38</f>
        <v>0</v>
      </c>
      <c r="Q121" s="419">
        <f>СЧЁТ!S38</f>
        <v>0</v>
      </c>
      <c r="R121" s="419">
        <f>СЧЁТ!T38</f>
        <v>0</v>
      </c>
      <c r="S121" s="419">
        <f>СЧЁТ!U38</f>
        <v>0</v>
      </c>
      <c r="T121" s="419">
        <f>СЧЁТ!V38</f>
        <v>0</v>
      </c>
      <c r="U121" s="419">
        <f>СЧЁТ!W38</f>
        <v>0</v>
      </c>
      <c r="V121" s="419">
        <f>СЧЁТ!X38</f>
        <v>0</v>
      </c>
      <c r="W121" s="419">
        <f>СЧЁТ!Y38</f>
        <v>0</v>
      </c>
      <c r="X121" s="419">
        <f>СЧЁТ!Z38</f>
        <v>0</v>
      </c>
      <c r="Y121" s="419">
        <f>СЧЁТ!AA38</f>
        <v>0</v>
      </c>
      <c r="Z121" s="419">
        <f>СЧЁТ!AB38</f>
        <v>0</v>
      </c>
      <c r="AA121" s="419">
        <f>СЧЁТ!AC38</f>
        <v>0</v>
      </c>
      <c r="AB121" s="419">
        <f>СЧЁТ!AD38</f>
        <v>0</v>
      </c>
      <c r="AC121" s="419">
        <f>СЧЁТ!AE38</f>
        <v>0</v>
      </c>
      <c r="AD121" s="419">
        <f>СЧЁТ!AF38</f>
        <v>0</v>
      </c>
      <c r="AE121" s="419">
        <f>СЧЁТ!AG38</f>
        <v>0</v>
      </c>
      <c r="AF121" s="419">
        <f>СЧЁТ!AH38</f>
        <v>0</v>
      </c>
      <c r="AG121" s="419">
        <f>СЧЁТ!AI38</f>
        <v>0</v>
      </c>
      <c r="AH121" s="419">
        <f>СЧЁТ!AJ38</f>
        <v>0</v>
      </c>
      <c r="AI121" s="419">
        <f>СЧЁТ!AK38</f>
        <v>0</v>
      </c>
      <c r="AJ121" s="419">
        <f>СЧЁТ!AL38</f>
        <v>0</v>
      </c>
      <c r="AK121" s="419">
        <f>СЧЁТ!AM38</f>
        <v>0</v>
      </c>
      <c r="AL121" s="419">
        <f>СЧЁТ!AN38</f>
        <v>0</v>
      </c>
      <c r="AM121" s="419">
        <f>СЧЁТ!AO38</f>
        <v>0</v>
      </c>
      <c r="AN121" s="419">
        <f>СЧЁТ!AP38</f>
        <v>0</v>
      </c>
      <c r="AO121" s="419">
        <f>СЧЁТ!AQ38</f>
        <v>0</v>
      </c>
      <c r="AP121" s="419">
        <f>СЧЁТ!AR38</f>
        <v>0</v>
      </c>
      <c r="AQ121" s="419">
        <f>СЧЁТ!AS38</f>
        <v>0</v>
      </c>
      <c r="AR121" s="419">
        <f>СЧЁТ!AT38</f>
        <v>0</v>
      </c>
      <c r="AS121" s="419">
        <f>СЧЁТ!AU38</f>
        <v>0</v>
      </c>
      <c r="AT121" s="419">
        <f>СЧЁТ!AV38</f>
        <v>0</v>
      </c>
      <c r="AU121" s="419">
        <f>СЧЁТ!AW38</f>
        <v>0</v>
      </c>
      <c r="AV121" s="419">
        <f>СЧЁТ!AX38</f>
        <v>0</v>
      </c>
      <c r="AW121" s="910" t="s">
        <v>936</v>
      </c>
    </row>
    <row r="122" ht="17.5" customHeight="1" spans="3:49" x14ac:dyDescent="0.25">
      <c r="C122" s="1335">
        <v>55</v>
      </c>
      <c r="D122" s="2474"/>
      <c r="E122" s="1349" t="s">
        <v>1621</v>
      </c>
      <c r="F122" s="26" t="s">
        <v>277</v>
      </c>
      <c r="G122" s="287" t="s">
        <v>928</v>
      </c>
      <c r="H122" s="287"/>
      <c r="I122" s="287"/>
      <c r="J122" s="287"/>
      <c r="K122" s="287"/>
      <c r="L122" s="287"/>
      <c r="M122" s="1368">
        <v>418.4685</v>
      </c>
      <c r="N122" s="419" t="e">
        <f>СЧЁТ!#REF!</f>
        <v>#REF!</v>
      </c>
      <c r="O122" s="419" t="e">
        <f>СЧЁТ!#REF!</f>
        <v>#REF!</v>
      </c>
      <c r="P122" s="419" t="e">
        <f>СЧЁТ!#REF!</f>
        <v>#REF!</v>
      </c>
      <c r="Q122" s="419" t="e">
        <f>СЧЁТ!#REF!</f>
        <v>#REF!</v>
      </c>
      <c r="R122" s="419" t="e">
        <f>СЧЁТ!#REF!</f>
        <v>#REF!</v>
      </c>
      <c r="S122" s="419" t="e">
        <f>СЧЁТ!#REF!</f>
        <v>#REF!</v>
      </c>
      <c r="T122" s="419" t="e">
        <f>СЧЁТ!#REF!</f>
        <v>#REF!</v>
      </c>
      <c r="U122" s="419" t="e">
        <f>СЧЁТ!#REF!</f>
        <v>#REF!</v>
      </c>
      <c r="V122" s="419" t="e">
        <f>СЧЁТ!#REF!</f>
        <v>#REF!</v>
      </c>
      <c r="W122" s="419" t="e">
        <f>СЧЁТ!#REF!</f>
        <v>#REF!</v>
      </c>
      <c r="X122" s="419" t="e">
        <f>СЧЁТ!#REF!</f>
        <v>#REF!</v>
      </c>
      <c r="Y122" s="419" t="e">
        <f>СЧЁТ!#REF!</f>
        <v>#REF!</v>
      </c>
      <c r="Z122" s="419" t="e">
        <f>СЧЁТ!#REF!</f>
        <v>#REF!</v>
      </c>
      <c r="AA122" s="419">
        <f>СЧЁТ!AC65</f>
        <v>0</v>
      </c>
      <c r="AB122" s="419">
        <f>СЧЁТ!AD65</f>
        <v>0</v>
      </c>
      <c r="AC122" s="419">
        <f>СЧЁТ!AE65</f>
        <v>0</v>
      </c>
      <c r="AD122" s="419">
        <f>СЧЁТ!AF65</f>
        <v>0</v>
      </c>
      <c r="AE122" s="419">
        <f>СЧЁТ!AG65</f>
        <v>0</v>
      </c>
      <c r="AF122" s="419">
        <f>СЧЁТ!AH65</f>
        <v>0</v>
      </c>
      <c r="AG122" s="419">
        <f>СЧЁТ!AI65</f>
        <v>0</v>
      </c>
      <c r="AH122" s="419">
        <f>СЧЁТ!AJ65</f>
        <v>0</v>
      </c>
      <c r="AI122" s="419">
        <f>СЧЁТ!AK65</f>
        <v>0</v>
      </c>
      <c r="AJ122" s="419">
        <f>СЧЁТ!AL65</f>
        <v>0</v>
      </c>
      <c r="AK122" s="419">
        <f>СЧЁТ!AM65</f>
        <v>0</v>
      </c>
      <c r="AL122" s="419">
        <f>СЧЁТ!AN65</f>
        <v>0</v>
      </c>
      <c r="AM122" s="419">
        <f>СЧЁТ!AO65</f>
        <v>0</v>
      </c>
      <c r="AN122" s="419">
        <f>СЧЁТ!AP65</f>
        <v>0</v>
      </c>
      <c r="AO122" s="419">
        <f>СЧЁТ!AQ65</f>
        <v>0</v>
      </c>
      <c r="AP122" s="419">
        <f>СЧЁТ!AR65</f>
        <v>0</v>
      </c>
      <c r="AQ122" s="419">
        <f>СЧЁТ!AS65</f>
        <v>0</v>
      </c>
      <c r="AR122" s="419">
        <f>СЧЁТ!AT65</f>
        <v>0</v>
      </c>
      <c r="AS122" s="419">
        <f>СЧЁТ!AU65</f>
        <v>0</v>
      </c>
      <c r="AT122" s="419">
        <f>СЧЁТ!AV65</f>
        <v>0</v>
      </c>
      <c r="AU122" s="419">
        <f>СЧЁТ!AW65</f>
        <v>0</v>
      </c>
      <c r="AV122" s="419">
        <f>СЧЁТ!AX65</f>
        <v>0</v>
      </c>
      <c r="AW122" s="287" t="s">
        <v>1621</v>
      </c>
    </row>
    <row r="123" ht="17.5" customHeight="1" spans="3:49" x14ac:dyDescent="0.25">
      <c r="C123" s="1335">
        <v>56</v>
      </c>
      <c r="D123" s="2474"/>
      <c r="E123" s="1349" t="s">
        <v>24</v>
      </c>
      <c r="F123" s="26" t="s">
        <v>277</v>
      </c>
      <c r="G123" s="287" t="s">
        <v>952</v>
      </c>
      <c r="H123" s="287"/>
      <c r="I123" s="287"/>
      <c r="J123" s="287"/>
      <c r="K123" s="2475">
        <v>392.2955639834661</v>
      </c>
      <c r="L123" s="1726">
        <v>296.96774193548384</v>
      </c>
      <c r="M123" s="1726">
        <v>266.974</v>
      </c>
      <c r="N123" s="419" t="e">
        <f>СЧЁТ!#REF!</f>
        <v>#REF!</v>
      </c>
      <c r="O123" s="419" t="e">
        <f>СЧЁТ!#REF!</f>
        <v>#REF!</v>
      </c>
      <c r="P123" s="419" t="e">
        <f>СЧЁТ!#REF!</f>
        <v>#REF!</v>
      </c>
      <c r="Q123" s="1372" t="e">
        <f>СЧЁТ!#REF!</f>
        <v>#REF!</v>
      </c>
      <c r="R123" s="1372" t="e">
        <f>СЧЁТ!#REF!</f>
        <v>#REF!</v>
      </c>
      <c r="S123" s="1372" t="e">
        <f>СЧЁТ!#REF!</f>
        <v>#REF!</v>
      </c>
      <c r="T123" s="1372" t="e">
        <f>СЧЁТ!#REF!</f>
        <v>#REF!</v>
      </c>
      <c r="U123" s="419" t="e">
        <f>СЧЁТ!#REF!</f>
        <v>#REF!</v>
      </c>
      <c r="V123" s="419" t="e">
        <f>СЧЁТ!#REF!</f>
        <v>#REF!</v>
      </c>
      <c r="W123" s="419" t="e">
        <f>СЧЁТ!#REF!</f>
        <v>#REF!</v>
      </c>
      <c r="X123" s="419" t="e">
        <f>СЧЁТ!#REF!</f>
        <v>#REF!</v>
      </c>
      <c r="Y123" s="419" t="e">
        <f>СЧЁТ!#REF!</f>
        <v>#REF!</v>
      </c>
      <c r="Z123" s="419" t="e">
        <f>СЧЁТ!#REF!</f>
        <v>#REF!</v>
      </c>
      <c r="AA123" s="419">
        <f>СЧЁТ!AC66</f>
        <v>0</v>
      </c>
      <c r="AB123" s="419">
        <f>СЧЁТ!AD66</f>
        <v>0</v>
      </c>
      <c r="AC123" s="419">
        <f>СЧЁТ!AE66</f>
        <v>0</v>
      </c>
      <c r="AD123" s="419">
        <f>СЧЁТ!AF66</f>
        <v>0</v>
      </c>
      <c r="AE123" s="419">
        <f>СЧЁТ!AG66</f>
        <v>0</v>
      </c>
      <c r="AF123" s="419">
        <f>СЧЁТ!AH66</f>
        <v>0</v>
      </c>
      <c r="AG123" s="419">
        <f>СЧЁТ!AI66</f>
        <v>0</v>
      </c>
      <c r="AH123" s="419">
        <f>СЧЁТ!AJ66</f>
        <v>0</v>
      </c>
      <c r="AI123" s="419">
        <f>СЧЁТ!AK66</f>
        <v>0</v>
      </c>
      <c r="AJ123" s="419">
        <f>СЧЁТ!AL66</f>
        <v>0</v>
      </c>
      <c r="AK123" s="419">
        <f>СЧЁТ!AM66</f>
        <v>0</v>
      </c>
      <c r="AL123" s="419">
        <f>СЧЁТ!AN66</f>
        <v>0</v>
      </c>
      <c r="AM123" s="419">
        <f>СЧЁТ!AO66</f>
        <v>0</v>
      </c>
      <c r="AN123" s="419">
        <f>СЧЁТ!AP66</f>
        <v>0</v>
      </c>
      <c r="AO123" s="419">
        <f>СЧЁТ!AQ66</f>
        <v>0</v>
      </c>
      <c r="AP123" s="419">
        <f>СЧЁТ!AR66</f>
        <v>0</v>
      </c>
      <c r="AQ123" s="419">
        <f>СЧЁТ!AS66</f>
        <v>0</v>
      </c>
      <c r="AR123" s="419">
        <f>СЧЁТ!AT66</f>
        <v>0</v>
      </c>
      <c r="AS123" s="419">
        <f>СЧЁТ!AU66</f>
        <v>0</v>
      </c>
      <c r="AT123" s="419">
        <f>СЧЁТ!AV66</f>
        <v>0</v>
      </c>
      <c r="AU123" s="419">
        <f>СЧЁТ!AW66</f>
        <v>0</v>
      </c>
      <c r="AV123" s="419">
        <f>СЧЁТ!AX66</f>
        <v>0</v>
      </c>
      <c r="AW123" s="287" t="s">
        <v>24</v>
      </c>
    </row>
    <row r="124" ht="17.5" customHeight="1" spans="3:49" x14ac:dyDescent="0.25">
      <c r="C124" s="1335">
        <v>57</v>
      </c>
      <c r="D124" s="2474"/>
      <c r="E124" s="1349" t="s">
        <v>116</v>
      </c>
      <c r="F124" s="26" t="s">
        <v>277</v>
      </c>
      <c r="G124" s="287" t="s">
        <v>1622</v>
      </c>
      <c r="H124" s="287"/>
      <c r="I124" s="287"/>
      <c r="J124" s="287"/>
      <c r="K124" s="287"/>
      <c r="L124" s="1352">
        <v>610.838</v>
      </c>
      <c r="M124" s="1368">
        <v>1428.5209000000002</v>
      </c>
      <c r="N124" s="419" t="e">
        <f>СЧЁТ!#REF!</f>
        <v>#REF!</v>
      </c>
      <c r="O124" s="419" t="e">
        <f>СЧЁТ!#REF!</f>
        <v>#REF!</v>
      </c>
      <c r="P124" s="419" t="e">
        <f>СЧЁТ!#REF!</f>
        <v>#REF!</v>
      </c>
      <c r="Q124" s="419" t="e">
        <f>СЧЁТ!#REF!</f>
        <v>#REF!</v>
      </c>
      <c r="R124" s="419" t="e">
        <f>СЧЁТ!#REF!</f>
        <v>#REF!</v>
      </c>
      <c r="S124" s="419" t="e">
        <f>СЧЁТ!#REF!</f>
        <v>#REF!</v>
      </c>
      <c r="T124" s="419" t="e">
        <f>СЧЁТ!#REF!</f>
        <v>#REF!</v>
      </c>
      <c r="U124" s="419" t="e">
        <f>СЧЁТ!#REF!</f>
        <v>#REF!</v>
      </c>
      <c r="V124" s="419" t="e">
        <f>СЧЁТ!#REF!</f>
        <v>#REF!</v>
      </c>
      <c r="W124" s="419" t="e">
        <f>СЧЁТ!#REF!</f>
        <v>#REF!</v>
      </c>
      <c r="X124" s="419" t="e">
        <f>СЧЁТ!#REF!</f>
        <v>#REF!</v>
      </c>
      <c r="Y124" s="419" t="e">
        <f>СЧЁТ!#REF!</f>
        <v>#REF!</v>
      </c>
      <c r="Z124" s="419" t="e">
        <f>СЧЁТ!#REF!</f>
        <v>#REF!</v>
      </c>
      <c r="AA124" s="419">
        <f>СЧЁТ!AC67</f>
        <v>0</v>
      </c>
      <c r="AB124" s="419">
        <f>СЧЁТ!AD67</f>
        <v>0</v>
      </c>
      <c r="AC124" s="419">
        <f>СЧЁТ!AE67</f>
        <v>0</v>
      </c>
      <c r="AD124" s="419">
        <f>СЧЁТ!AF67</f>
        <v>0</v>
      </c>
      <c r="AE124" s="419">
        <f>СЧЁТ!AG67</f>
        <v>0</v>
      </c>
      <c r="AF124" s="419">
        <f>СЧЁТ!AH67</f>
        <v>0</v>
      </c>
      <c r="AG124" s="419">
        <f>СЧЁТ!AI67</f>
        <v>0</v>
      </c>
      <c r="AH124" s="419">
        <f>СЧЁТ!AJ67</f>
        <v>0</v>
      </c>
      <c r="AI124" s="419">
        <f>СЧЁТ!AK67</f>
        <v>0</v>
      </c>
      <c r="AJ124" s="419">
        <f>СЧЁТ!AL67</f>
        <v>0</v>
      </c>
      <c r="AK124" s="419">
        <f>СЧЁТ!AM67</f>
        <v>0</v>
      </c>
      <c r="AL124" s="419">
        <f>СЧЁТ!AN67</f>
        <v>0</v>
      </c>
      <c r="AM124" s="419">
        <f>СЧЁТ!AO67</f>
        <v>0</v>
      </c>
      <c r="AN124" s="419">
        <f>СЧЁТ!AP67</f>
        <v>0</v>
      </c>
      <c r="AO124" s="419">
        <f>СЧЁТ!AQ67</f>
        <v>0</v>
      </c>
      <c r="AP124" s="419">
        <f>СЧЁТ!AR67</f>
        <v>0</v>
      </c>
      <c r="AQ124" s="419">
        <f>СЧЁТ!AS67</f>
        <v>0</v>
      </c>
      <c r="AR124" s="419">
        <f>СЧЁТ!AT67</f>
        <v>0</v>
      </c>
      <c r="AS124" s="419">
        <f>СЧЁТ!AU67</f>
        <v>0</v>
      </c>
      <c r="AT124" s="419">
        <f>СЧЁТ!AV67</f>
        <v>0</v>
      </c>
      <c r="AU124" s="419">
        <f>СЧЁТ!AW67</f>
        <v>0</v>
      </c>
      <c r="AV124" s="419">
        <f>СЧЁТ!AX67</f>
        <v>0</v>
      </c>
      <c r="AW124" s="287" t="s">
        <v>116</v>
      </c>
    </row>
    <row r="125" ht="17.5" customHeight="1" spans="3:49" x14ac:dyDescent="0.25">
      <c r="C125" s="1335">
        <v>58</v>
      </c>
      <c r="D125" s="1387">
        <v>42309</v>
      </c>
      <c r="E125" s="1349" t="s">
        <v>312</v>
      </c>
      <c r="F125" s="26" t="s">
        <v>277</v>
      </c>
      <c r="G125" s="287" t="s">
        <v>1623</v>
      </c>
      <c r="H125" s="287"/>
      <c r="I125" s="287"/>
      <c r="J125" s="287"/>
      <c r="K125" s="287"/>
      <c r="L125" s="287"/>
      <c r="M125" s="1371">
        <v>0</v>
      </c>
      <c r="N125" s="419" t="e">
        <f>СЧЁТ!#REF!</f>
        <v>#REF!</v>
      </c>
      <c r="O125" s="419" t="e">
        <f>СЧЁТ!#REF!</f>
        <v>#REF!</v>
      </c>
      <c r="P125" s="419" t="e">
        <f>СЧЁТ!#REF!</f>
        <v>#REF!</v>
      </c>
      <c r="Q125" s="419" t="e">
        <f>СЧЁТ!#REF!</f>
        <v>#REF!</v>
      </c>
      <c r="R125" s="419" t="e">
        <f>СЧЁТ!#REF!</f>
        <v>#REF!</v>
      </c>
      <c r="S125" s="419">
        <f>СЧЁТ!U77</f>
        <v>0</v>
      </c>
      <c r="T125" s="1372">
        <f>СЧЁТ!V77</f>
        <v>0</v>
      </c>
      <c r="U125" s="1372">
        <f>СЧЁТ!W77</f>
        <v>0</v>
      </c>
      <c r="V125" s="1372">
        <f>СЧЁТ!X77</f>
        <v>0</v>
      </c>
      <c r="W125" s="1372">
        <f>СЧЁТ!Y77</f>
        <v>0</v>
      </c>
      <c r="X125" s="1372">
        <f>СЧЁТ!Z77</f>
        <v>0</v>
      </c>
      <c r="Y125" s="1372">
        <f>СЧЁТ!AA77</f>
        <v>0</v>
      </c>
      <c r="Z125" s="1372">
        <f>СЧЁТ!AB77</f>
        <v>0</v>
      </c>
      <c r="AA125" s="1372">
        <f>СЧЁТ!AC77</f>
        <v>0</v>
      </c>
      <c r="AB125" s="1372">
        <f>СЧЁТ!AD77</f>
        <v>0</v>
      </c>
      <c r="AC125" s="1372">
        <f>СЧЁТ!AE77</f>
        <v>0</v>
      </c>
      <c r="AD125" s="1372">
        <f>СЧЁТ!AF77</f>
        <v>0</v>
      </c>
      <c r="AE125" s="1372">
        <f>СЧЁТ!AG77</f>
        <v>0</v>
      </c>
      <c r="AF125" s="1372">
        <f>СЧЁТ!AH77</f>
        <v>0</v>
      </c>
      <c r="AG125" s="419">
        <f>СЧЁТ!AI77</f>
        <v>0</v>
      </c>
      <c r="AH125" s="419">
        <f>СЧЁТ!AJ77</f>
        <v>0</v>
      </c>
      <c r="AI125" s="419">
        <f>СЧЁТ!AK77</f>
        <v>0</v>
      </c>
      <c r="AJ125" s="419">
        <f>СЧЁТ!AL77</f>
        <v>0</v>
      </c>
      <c r="AK125" s="419">
        <f>СЧЁТ!AM77</f>
        <v>0</v>
      </c>
      <c r="AL125" s="419">
        <f>СЧЁТ!AN77</f>
        <v>0</v>
      </c>
      <c r="AM125" s="419">
        <f>СЧЁТ!AO77</f>
        <v>0</v>
      </c>
      <c r="AN125" s="419">
        <f>СЧЁТ!AP77</f>
        <v>0</v>
      </c>
      <c r="AO125" s="419">
        <f>СЧЁТ!AQ77</f>
        <v>0</v>
      </c>
      <c r="AP125" s="419">
        <f>СЧЁТ!AR77</f>
        <v>0</v>
      </c>
      <c r="AQ125" s="419">
        <f>СЧЁТ!AS77</f>
        <v>0</v>
      </c>
      <c r="AR125" s="419">
        <f>СЧЁТ!AT77</f>
        <v>0</v>
      </c>
      <c r="AS125" s="419">
        <f>СЧЁТ!AU77</f>
        <v>0</v>
      </c>
      <c r="AT125" s="419">
        <f>СЧЁТ!AV77</f>
        <v>0</v>
      </c>
      <c r="AU125" s="419">
        <f>СЧЁТ!AW77</f>
        <v>0</v>
      </c>
      <c r="AV125" s="419">
        <f>СЧЁТ!AX77</f>
        <v>0</v>
      </c>
      <c r="AW125" s="287" t="s">
        <v>312</v>
      </c>
    </row>
    <row r="126" ht="17.5" customHeight="1" spans="3:49" x14ac:dyDescent="0.25">
      <c r="C126" s="1335">
        <v>59</v>
      </c>
      <c r="D126" s="2476">
        <v>42018</v>
      </c>
      <c r="E126" s="1729" t="s">
        <v>1631</v>
      </c>
      <c r="F126" s="692" t="s">
        <v>866</v>
      </c>
      <c r="G126" s="1501" t="s">
        <v>1625</v>
      </c>
      <c r="H126" s="1501"/>
      <c r="I126" s="1501"/>
      <c r="J126" s="1501"/>
      <c r="K126" s="287"/>
      <c r="L126" s="287"/>
      <c r="M126" s="1662">
        <v>0</v>
      </c>
      <c r="N126" s="419" t="e">
        <f>СЧЁТ!#REF!</f>
        <v>#REF!</v>
      </c>
      <c r="O126" s="419" t="e">
        <f>СЧЁТ!#REF!</f>
        <v>#REF!</v>
      </c>
      <c r="P126" s="419" t="e">
        <f>СЧЁТ!#REF!</f>
        <v>#REF!</v>
      </c>
      <c r="Q126" s="419" t="e">
        <f>СЧЁТ!#REF!</f>
        <v>#REF!</v>
      </c>
      <c r="R126" s="419" t="e">
        <f>СЧЁТ!#REF!</f>
        <v>#REF!</v>
      </c>
      <c r="S126" s="419">
        <f>СЧЁТ!U78</f>
        <v>0</v>
      </c>
      <c r="T126" s="419">
        <f>СЧЁТ!V78</f>
        <v>0</v>
      </c>
      <c r="U126" s="419">
        <f>СЧЁТ!W78</f>
        <v>0</v>
      </c>
      <c r="V126" s="419">
        <f>СЧЁТ!X78</f>
        <v>0</v>
      </c>
      <c r="W126" s="419">
        <f>СЧЁТ!Y78</f>
        <v>0</v>
      </c>
      <c r="X126" s="419">
        <f>СЧЁТ!Z78</f>
        <v>0</v>
      </c>
      <c r="Y126" s="419">
        <f>СЧЁТ!AA78</f>
        <v>0</v>
      </c>
      <c r="Z126" s="419">
        <f>СЧЁТ!AB78</f>
        <v>0</v>
      </c>
      <c r="AA126" s="419">
        <f>СЧЁТ!AC78</f>
        <v>0</v>
      </c>
      <c r="AB126" s="419">
        <f>СЧЁТ!AD78</f>
        <v>0</v>
      </c>
      <c r="AC126" s="419">
        <f>СЧЁТ!AE78</f>
        <v>0</v>
      </c>
      <c r="AD126" s="419">
        <f>СЧЁТ!AF78</f>
        <v>0</v>
      </c>
      <c r="AE126" s="419">
        <f>СЧЁТ!AG78</f>
        <v>0</v>
      </c>
      <c r="AF126" s="419">
        <f>СЧЁТ!AH78</f>
        <v>0</v>
      </c>
      <c r="AG126" s="419">
        <f>СЧЁТ!AI78</f>
        <v>0</v>
      </c>
      <c r="AH126" s="419">
        <f>СЧЁТ!AJ78</f>
        <v>0</v>
      </c>
      <c r="AI126" s="419">
        <f>СЧЁТ!AK78</f>
        <v>0</v>
      </c>
      <c r="AJ126" s="419">
        <f>СЧЁТ!AL78</f>
        <v>0</v>
      </c>
      <c r="AK126" s="419">
        <f>СЧЁТ!AM78</f>
        <v>0</v>
      </c>
      <c r="AL126" s="419">
        <f>СЧЁТ!AN78</f>
        <v>0</v>
      </c>
      <c r="AM126" s="419">
        <f>СЧЁТ!AO78</f>
        <v>0</v>
      </c>
      <c r="AN126" s="419">
        <f>СЧЁТ!AP78</f>
        <v>0</v>
      </c>
      <c r="AO126" s="419">
        <f>СЧЁТ!AQ78</f>
        <v>0</v>
      </c>
      <c r="AP126" s="419">
        <f>СЧЁТ!AR78</f>
        <v>0</v>
      </c>
      <c r="AQ126" s="419">
        <f>СЧЁТ!AS78</f>
        <v>0</v>
      </c>
      <c r="AR126" s="419">
        <f>СЧЁТ!AT78</f>
        <v>0</v>
      </c>
      <c r="AS126" s="419">
        <f>СЧЁТ!AU78</f>
        <v>0</v>
      </c>
      <c r="AT126" s="419">
        <f>СЧЁТ!AV78</f>
        <v>0</v>
      </c>
      <c r="AU126" s="419">
        <f>СЧЁТ!AW78</f>
        <v>0</v>
      </c>
      <c r="AV126" s="419" t="str">
        <f>СЧЁТ!BC78</f>
        <v>  млрд руб</v>
      </c>
      <c r="AW126" s="287" t="s">
        <v>1631</v>
      </c>
    </row>
    <row r="127" ht="15.5" customHeight="1" spans="11:49" x14ac:dyDescent="0.25">
      <c r="K127" s="1731">
        <v>1993</v>
      </c>
      <c r="L127" s="1437">
        <v>1994</v>
      </c>
      <c r="M127" s="1436">
        <v>1995</v>
      </c>
      <c r="N127" s="1437">
        <v>1996</v>
      </c>
      <c r="O127" s="1437">
        <v>1997</v>
      </c>
      <c r="P127" s="1437">
        <v>1998</v>
      </c>
      <c r="Q127" s="1437">
        <v>1999</v>
      </c>
      <c r="R127" s="1437">
        <v>2000</v>
      </c>
      <c r="S127" s="1437">
        <v>2001</v>
      </c>
      <c r="T127" s="1437">
        <v>2002</v>
      </c>
      <c r="U127" s="1437">
        <v>2003</v>
      </c>
      <c r="V127" s="1437">
        <v>2004</v>
      </c>
      <c r="W127" s="1437">
        <v>2005</v>
      </c>
      <c r="X127" s="1437">
        <v>2006</v>
      </c>
      <c r="Y127" s="1437">
        <v>2007</v>
      </c>
      <c r="Z127" s="1437">
        <v>2008</v>
      </c>
      <c r="AA127" s="1437">
        <v>2009</v>
      </c>
      <c r="AB127" s="1437">
        <v>2010</v>
      </c>
      <c r="AC127" s="1437">
        <v>2011</v>
      </c>
      <c r="AD127" s="1437">
        <v>2012</v>
      </c>
      <c r="AE127" s="1437">
        <v>2013</v>
      </c>
      <c r="AF127" s="1437">
        <v>2014</v>
      </c>
      <c r="AG127" s="1437">
        <v>2015</v>
      </c>
      <c r="AH127" s="1437">
        <v>2016</v>
      </c>
      <c r="AI127" s="1437">
        <v>2017</v>
      </c>
      <c r="AJ127" s="1437">
        <v>2018</v>
      </c>
      <c r="AK127" s="1437">
        <v>2019</v>
      </c>
      <c r="AL127" s="1437">
        <v>2020</v>
      </c>
      <c r="AM127" s="1437">
        <v>2021</v>
      </c>
      <c r="AN127" s="1437">
        <v>2022</v>
      </c>
      <c r="AO127" s="1437">
        <v>2023</v>
      </c>
      <c r="AP127" s="1437">
        <v>2024</v>
      </c>
      <c r="AQ127" s="1438">
        <v>2025</v>
      </c>
      <c r="AR127" s="1437">
        <v>2026</v>
      </c>
      <c r="AS127" s="1438">
        <v>2027</v>
      </c>
      <c r="AT127" s="1437">
        <v>2028</v>
      </c>
      <c r="AU127" s="1438">
        <v>2029</v>
      </c>
      <c r="AV127" s="1437">
        <v>2030</v>
      </c>
      <c r="AW127" s="287">
        <v>0</v>
      </c>
    </row>
    <row r="129" ht="15" customHeight="1" x14ac:dyDescent="0.25"/>
    <row r="130" ht="18" customHeight="1" spans="3:49" x14ac:dyDescent="0.25">
      <c r="C130" s="1323" t="s">
        <v>520</v>
      </c>
      <c r="D130" s="1324">
        <v>42309</v>
      </c>
      <c r="E130" s="1325" t="s">
        <v>1626</v>
      </c>
      <c r="F130" s="1326"/>
      <c r="G130" s="1326"/>
      <c r="H130" s="1326"/>
      <c r="I130" s="1326"/>
      <c r="J130" s="1326"/>
      <c r="K130" s="1326"/>
      <c r="L130" s="1327"/>
      <c r="M130" s="1714" t="s">
        <v>1004</v>
      </c>
      <c r="N130" s="1329" t="s">
        <v>1565</v>
      </c>
      <c r="O130" s="1329" t="s">
        <v>1006</v>
      </c>
      <c r="P130" s="1329" t="s">
        <v>1007</v>
      </c>
      <c r="Q130" s="1329" t="s">
        <v>1008</v>
      </c>
      <c r="R130" s="1329" t="s">
        <v>1006</v>
      </c>
      <c r="S130" s="1329"/>
      <c r="T130" s="1329"/>
      <c r="U130" s="1329"/>
      <c r="V130" s="1329"/>
      <c r="W130" s="1329"/>
      <c r="X130" s="1329"/>
      <c r="Y130" s="1329"/>
      <c r="Z130" s="1329"/>
      <c r="AA130" s="1329"/>
      <c r="AB130" s="1715" t="s">
        <v>1566</v>
      </c>
      <c r="AC130" s="1330" t="s">
        <v>1567</v>
      </c>
      <c r="AD130" s="1330" t="s">
        <v>1565</v>
      </c>
      <c r="AE130" s="1330" t="s">
        <v>1568</v>
      </c>
      <c r="AF130" s="1330" t="s">
        <v>1569</v>
      </c>
      <c r="AG130" s="1330" t="s">
        <v>1565</v>
      </c>
      <c r="AH130" s="1330" t="s">
        <v>1570</v>
      </c>
      <c r="AI130" s="1330"/>
      <c r="AJ130" s="1330"/>
      <c r="AK130" s="1330"/>
      <c r="AL130" s="1330"/>
      <c r="AM130" s="1330"/>
      <c r="AN130" s="1330"/>
      <c r="AO130" s="1330"/>
      <c r="AP130" s="1330"/>
      <c r="AQ130" s="1330"/>
      <c r="AR130" s="1330"/>
      <c r="AS130" s="1330"/>
      <c r="AT130" s="1330"/>
      <c r="AU130" s="1330"/>
      <c r="AV130" s="1330"/>
      <c r="AW130" s="1332"/>
    </row>
    <row r="131" ht="16.25" customHeight="1" spans="3:49" x14ac:dyDescent="0.25">
      <c r="C131" s="1335"/>
      <c r="D131" s="1336" t="s">
        <v>1011</v>
      </c>
      <c r="E131" s="1716"/>
      <c r="F131" s="1393"/>
      <c r="G131" s="1717" t="s">
        <v>1571</v>
      </c>
      <c r="H131" s="1442"/>
      <c r="I131" s="1442"/>
      <c r="J131" s="1442"/>
      <c r="K131" s="1442"/>
      <c r="L131" s="1100"/>
      <c r="M131" s="1718">
        <v>1995</v>
      </c>
      <c r="N131" s="1437">
        <v>1996</v>
      </c>
      <c r="O131" s="1437">
        <v>1997</v>
      </c>
      <c r="P131" s="1437">
        <v>1998</v>
      </c>
      <c r="Q131" s="1437">
        <v>1999</v>
      </c>
      <c r="R131" s="1437">
        <v>2000</v>
      </c>
      <c r="S131" s="1437">
        <v>2001</v>
      </c>
      <c r="T131" s="1437">
        <v>2002</v>
      </c>
      <c r="U131" s="1437">
        <v>2003</v>
      </c>
      <c r="V131" s="1437">
        <v>2004</v>
      </c>
      <c r="W131" s="1437">
        <v>2005</v>
      </c>
      <c r="X131" s="1437">
        <v>2006</v>
      </c>
      <c r="Y131" s="1437">
        <v>2007</v>
      </c>
      <c r="Z131" s="1437">
        <v>2008</v>
      </c>
      <c r="AA131" s="1437">
        <v>2009</v>
      </c>
      <c r="AB131" s="1437">
        <v>2010</v>
      </c>
      <c r="AC131" s="1437">
        <v>2011</v>
      </c>
      <c r="AD131" s="1437">
        <v>2012</v>
      </c>
      <c r="AE131" s="1437">
        <v>2013</v>
      </c>
      <c r="AF131" s="1437">
        <v>2014</v>
      </c>
      <c r="AG131" s="1437">
        <v>2015</v>
      </c>
      <c r="AH131" s="1437">
        <v>2016</v>
      </c>
      <c r="AI131" s="1437">
        <v>2017</v>
      </c>
      <c r="AJ131" s="1437">
        <v>2018</v>
      </c>
      <c r="AK131" s="1437">
        <v>2019</v>
      </c>
      <c r="AL131" s="1437">
        <v>2020</v>
      </c>
      <c r="AM131" s="1437">
        <v>2021</v>
      </c>
      <c r="AN131" s="1437">
        <v>2022</v>
      </c>
      <c r="AO131" s="1437">
        <v>2023</v>
      </c>
      <c r="AP131" s="1437">
        <v>2024</v>
      </c>
      <c r="AQ131" s="1437">
        <v>2025</v>
      </c>
      <c r="AR131" s="1437">
        <v>2026</v>
      </c>
      <c r="AS131" s="1437">
        <v>2027</v>
      </c>
      <c r="AT131" s="1437">
        <v>2028</v>
      </c>
      <c r="AU131" s="1437">
        <v>2029</v>
      </c>
      <c r="AV131" s="1437">
        <v>2030</v>
      </c>
      <c r="AW131" s="1344"/>
    </row>
    <row r="132" ht="17.5" customHeight="1" spans="3:49" x14ac:dyDescent="0.25">
      <c r="C132" s="1335">
        <v>1</v>
      </c>
      <c r="D132" s="1348">
        <f>ДЕМО!G134</f>
        <v>0</v>
      </c>
      <c r="E132" s="1349" t="s">
        <v>361</v>
      </c>
      <c r="F132" s="26" t="s">
        <v>1015</v>
      </c>
      <c r="G132" s="287" t="s">
        <v>1538</v>
      </c>
      <c r="H132" s="287"/>
      <c r="I132" s="287"/>
      <c r="J132" s="287"/>
      <c r="K132" s="287"/>
      <c r="L132" s="287"/>
      <c r="M132" s="1581"/>
      <c r="N132" s="419">
        <f>N4-N68</f>
        <v>0.00836200000000531</v>
      </c>
      <c r="O132" s="419">
        <f>O4-O68</f>
        <v>-0.028613000000007105</v>
      </c>
      <c r="P132" s="419">
        <f t="shared" ref="P132:AV132" si="0">P4-P68</f>
        <v>-0.0021329999999863958</v>
      </c>
      <c r="Q132" s="419">
        <f t="shared" si="0"/>
        <v>-0.039425999999991745</v>
      </c>
      <c r="R132" s="419">
        <f t="shared" si="0"/>
        <v>-0.5901279999999929</v>
      </c>
      <c r="S132" s="419">
        <f t="shared" si="0"/>
        <v>0.00038900000001262924</v>
      </c>
      <c r="T132" s="419">
        <f t="shared" si="0"/>
        <v>0.003268999999988864</v>
      </c>
      <c r="U132" s="419">
        <f t="shared" si="0"/>
        <v>-0.7636500000000126</v>
      </c>
      <c r="V132" s="419">
        <f t="shared" si="0"/>
        <v>-0.6682050000000004</v>
      </c>
      <c r="W132" s="419">
        <f t="shared" si="0"/>
        <v>-0.6742189999999937</v>
      </c>
      <c r="X132" s="419">
        <f t="shared" si="0"/>
        <v>-0.5535509999999988</v>
      </c>
      <c r="Y132" s="419">
        <f t="shared" si="0"/>
        <v>-0.22096799999999917</v>
      </c>
      <c r="Z132" s="419">
        <f t="shared" si="0"/>
        <v>-0.10883799999999155</v>
      </c>
      <c r="AA132" s="419">
        <f t="shared" si="0"/>
        <v>-0.003978999999986854</v>
      </c>
      <c r="AB132" s="419">
        <f t="shared" si="0"/>
        <v>0.04346400000000017</v>
      </c>
      <c r="AC132" s="419">
        <f t="shared" si="0"/>
        <v>0.034567000000009784</v>
      </c>
      <c r="AD132" s="419">
        <f t="shared" si="0"/>
        <v>-0.05638300000001095</v>
      </c>
      <c r="AE132" s="419">
        <f t="shared" si="0"/>
        <v>0.35294099999998707</v>
      </c>
      <c r="AF132" s="419">
        <f t="shared" si="0"/>
        <v>2.612717285336373</v>
      </c>
      <c r="AG132" s="419">
        <f t="shared" si="0"/>
        <v>0.3413170528560556</v>
      </c>
      <c r="AH132" s="419">
        <f t="shared" si="0"/>
        <v>0.40738669376762005</v>
      </c>
      <c r="AI132" s="419">
        <f t="shared" si="0"/>
        <v>0.5033760492899546</v>
      </c>
      <c r="AJ132" s="419">
        <f t="shared" si="0"/>
        <v>0.7932277822163769</v>
      </c>
      <c r="AK132" s="419">
        <f t="shared" si="0"/>
        <v>1.3032152393481056</v>
      </c>
      <c r="AL132" s="419">
        <f t="shared" si="0"/>
        <v>1.7304944976002616</v>
      </c>
      <c r="AM132" s="419">
        <f t="shared" si="0"/>
        <v>2.1792336703740034</v>
      </c>
      <c r="AN132" s="419">
        <f t="shared" si="0"/>
        <v>2.653756372621274</v>
      </c>
      <c r="AO132" s="419">
        <f t="shared" si="0"/>
        <v>3.173444885948129</v>
      </c>
      <c r="AP132" s="419">
        <f t="shared" si="0"/>
        <v>3.6978070703690094</v>
      </c>
      <c r="AQ132" s="419">
        <f t="shared" si="0"/>
        <v>4.266451467914919</v>
      </c>
      <c r="AR132" s="419">
        <f t="shared" si="0"/>
        <v>4.839067358723327</v>
      </c>
      <c r="AS132" s="419">
        <f t="shared" si="0"/>
        <v>5.415408780484569</v>
      </c>
      <c r="AT132" s="419">
        <f t="shared" si="0"/>
        <v>5.995281721074434</v>
      </c>
      <c r="AU132" s="419">
        <f t="shared" si="0"/>
        <v>6.598533852643499</v>
      </c>
      <c r="AV132" s="419">
        <f t="shared" si="0"/>
        <v>7.2050463017883715</v>
      </c>
      <c r="AW132" s="287" t="str">
        <f t="shared" ref="AW132:AW191" si="1">E132</f>
        <v>N</v>
      </c>
    </row>
    <row r="133" ht="17.5" customHeight="1" spans="3:49" x14ac:dyDescent="0.25">
      <c r="C133" s="1335">
        <v>2</v>
      </c>
      <c r="D133" s="1348">
        <f>D132</f>
        <v>0</v>
      </c>
      <c r="E133" s="1349" t="s">
        <v>1018</v>
      </c>
      <c r="F133" s="26" t="s">
        <v>866</v>
      </c>
      <c r="G133" s="287" t="s">
        <v>1572</v>
      </c>
      <c r="H133" s="287"/>
      <c r="I133" s="287"/>
      <c r="J133" s="287"/>
      <c r="K133" s="287"/>
      <c r="L133" s="287"/>
      <c r="M133" s="1362"/>
      <c r="N133" s="419">
        <f>N5-N69</f>
        <v>0</v>
      </c>
      <c r="O133" s="419">
        <f>O5-O69</f>
        <v>0</v>
      </c>
      <c r="P133" s="419">
        <f t="shared" ref="P133:AV141" si="2">P5-P69</f>
        <v>0</v>
      </c>
      <c r="Q133" s="419">
        <f t="shared" si="2"/>
        <v>0</v>
      </c>
      <c r="R133" s="419">
        <f t="shared" si="2"/>
        <v>0</v>
      </c>
      <c r="S133" s="419">
        <f t="shared" si="2"/>
        <v>0</v>
      </c>
      <c r="T133" s="419">
        <f t="shared" si="2"/>
        <v>0</v>
      </c>
      <c r="U133" s="419">
        <f t="shared" si="2"/>
        <v>0</v>
      </c>
      <c r="V133" s="419">
        <f t="shared" si="2"/>
        <v>0</v>
      </c>
      <c r="W133" s="419">
        <f t="shared" si="2"/>
        <v>0</v>
      </c>
      <c r="X133" s="419">
        <f t="shared" si="2"/>
        <v>0</v>
      </c>
      <c r="Y133" s="419">
        <f t="shared" si="2"/>
        <v>0</v>
      </c>
      <c r="Z133" s="419">
        <f t="shared" si="2"/>
        <v>0</v>
      </c>
      <c r="AA133" s="419">
        <f t="shared" si="2"/>
        <v>0</v>
      </c>
      <c r="AB133" s="419">
        <f t="shared" si="2"/>
        <v>-0.00016070068646334423</v>
      </c>
      <c r="AC133" s="419">
        <f t="shared" si="2"/>
        <v>-0.0001283072417531672</v>
      </c>
      <c r="AD133" s="419">
        <f t="shared" si="2"/>
        <v>0.0009076004760633083</v>
      </c>
      <c r="AE133" s="419">
        <f t="shared" si="2"/>
        <v>0.0033978560099180433</v>
      </c>
      <c r="AF133" s="419">
        <f t="shared" si="2"/>
        <v>0.0052739961438375005</v>
      </c>
      <c r="AG133" s="419">
        <f t="shared" si="2"/>
        <v>0.006677175321431195</v>
      </c>
      <c r="AH133" s="419">
        <f t="shared" si="2"/>
        <v>0.00734088267923827</v>
      </c>
      <c r="AI133" s="419">
        <f t="shared" si="2"/>
        <v>0.011855673488427643</v>
      </c>
      <c r="AJ133" s="419">
        <f t="shared" si="2"/>
        <v>0.010823762119920755</v>
      </c>
      <c r="AK133" s="419">
        <f t="shared" si="2"/>
        <v>0.013070501747022956</v>
      </c>
      <c r="AL133" s="419">
        <f t="shared" si="2"/>
        <v>0.0135705017470229</v>
      </c>
      <c r="AM133" s="419">
        <f t="shared" si="2"/>
        <v>0.014070501747022846</v>
      </c>
      <c r="AN133" s="419">
        <f t="shared" si="2"/>
        <v>0.01457050174702279</v>
      </c>
      <c r="AO133" s="419">
        <f t="shared" si="2"/>
        <v>0.015070501747022735</v>
      </c>
      <c r="AP133" s="419">
        <f t="shared" si="2"/>
        <v>0.01557050174702268</v>
      </c>
      <c r="AQ133" s="419">
        <f t="shared" si="2"/>
        <v>0.016070501747022625</v>
      </c>
      <c r="AR133" s="419">
        <f t="shared" si="2"/>
        <v>0.01657050174702257</v>
      </c>
      <c r="AS133" s="419">
        <f t="shared" si="2"/>
        <v>0.017070501747022515</v>
      </c>
      <c r="AT133" s="419">
        <f t="shared" si="2"/>
        <v>0.01757050174702246</v>
      </c>
      <c r="AU133" s="419">
        <f t="shared" si="2"/>
        <v>0.018070501747022405</v>
      </c>
      <c r="AV133" s="419">
        <f t="shared" si="2"/>
        <v>0.01857050174702235</v>
      </c>
      <c r="AW133" s="287" t="str">
        <f t="shared" si="1"/>
        <v>dA</v>
      </c>
    </row>
    <row r="134" ht="17.5" customHeight="1" spans="3:49" x14ac:dyDescent="0.25">
      <c r="C134" s="1335">
        <v>3</v>
      </c>
      <c r="D134" s="1348">
        <f>НАСТРОЙКА!#REF!</f>
        <v>NaN</v>
      </c>
      <c r="E134" s="1349" t="s">
        <v>1437</v>
      </c>
      <c r="F134" s="26" t="s">
        <v>866</v>
      </c>
      <c r="G134" s="287" t="s">
        <v>2263</v>
      </c>
      <c r="H134" s="287"/>
      <c r="I134" s="287"/>
      <c r="J134" s="287"/>
      <c r="K134" s="287"/>
      <c r="L134" s="287"/>
      <c r="M134" s="1362"/>
      <c r="N134" s="419">
        <f t="shared" ref="N134:N190" si="3">N6-N70</f>
        <v>-69.47275362018566</v>
      </c>
      <c r="O134" s="419">
        <f t="shared" ref="O134:AD134" si="4">O6-O70</f>
        <v>-67.90448789362469</v>
      </c>
      <c r="P134" s="419">
        <f t="shared" si="4"/>
        <v>-67.18419225171031</v>
      </c>
      <c r="Q134" s="419">
        <f t="shared" si="4"/>
        <v>-72.03599800405657</v>
      </c>
      <c r="R134" s="419">
        <f t="shared" si="4"/>
        <v>-72.61050227669101</v>
      </c>
      <c r="S134" s="419">
        <f t="shared" si="4"/>
        <v>-71.3767564596541</v>
      </c>
      <c r="T134" s="419">
        <f t="shared" si="4"/>
        <v>-72.19410459217073</v>
      </c>
      <c r="U134" s="419">
        <f t="shared" si="4"/>
        <v>-72.10746689140224</v>
      </c>
      <c r="V134" s="419">
        <f t="shared" si="4"/>
        <v>-72.81673971462315</v>
      </c>
      <c r="W134" s="419">
        <f t="shared" si="4"/>
        <v>-73.41389499370088</v>
      </c>
      <c r="X134" s="419">
        <f t="shared" si="4"/>
        <v>-74.24327593679928</v>
      </c>
      <c r="Y134" s="419">
        <f t="shared" si="4"/>
        <v>-75.08699325262018</v>
      </c>
      <c r="Z134" s="419">
        <f t="shared" si="4"/>
        <v>-75.48725081564608</v>
      </c>
      <c r="AA134" s="419">
        <f t="shared" si="4"/>
        <v>-75.48847089470648</v>
      </c>
      <c r="AB134" s="419">
        <f t="shared" si="4"/>
        <v>-75.28036691110609</v>
      </c>
      <c r="AC134" s="419">
        <f t="shared" si="4"/>
        <v>-75.58181853163816</v>
      </c>
      <c r="AD134" s="419">
        <f t="shared" si="4"/>
        <v>-75.37357461381303</v>
      </c>
      <c r="AE134" s="419">
        <f t="shared" si="2"/>
        <v>-75.32579438465874</v>
      </c>
      <c r="AF134" s="419">
        <f t="shared" si="2"/>
        <v>-75.23855339577405</v>
      </c>
      <c r="AG134" s="419">
        <f t="shared" si="2"/>
        <v>-76.40799999999999</v>
      </c>
      <c r="AH134" s="419">
        <f t="shared" si="2"/>
        <v>-76.461</v>
      </c>
      <c r="AI134" s="419">
        <f t="shared" si="2"/>
        <v>-75.9365</v>
      </c>
      <c r="AJ134" s="419">
        <f t="shared" si="2"/>
        <v>-76.12875</v>
      </c>
      <c r="AK134" s="419">
        <f t="shared" si="2"/>
        <v>-75.729375</v>
      </c>
      <c r="AL134" s="419">
        <f t="shared" si="2"/>
        <v>-77.58068750000001</v>
      </c>
      <c r="AM134" s="419">
        <f t="shared" si="2"/>
        <v>-77.54904375</v>
      </c>
      <c r="AN134" s="419">
        <f t="shared" si="2"/>
        <v>-77.50672187499998</v>
      </c>
      <c r="AO134" s="419">
        <f t="shared" si="2"/>
        <v>-77.4431609375</v>
      </c>
      <c r="AP134" s="419">
        <f t="shared" si="2"/>
        <v>-77.37958046874998</v>
      </c>
      <c r="AQ134" s="419">
        <f t="shared" si="2"/>
        <v>-77.29479023437499</v>
      </c>
      <c r="AR134" s="419">
        <f t="shared" si="2"/>
        <v>-77.20999511718749</v>
      </c>
      <c r="AS134" s="419">
        <f t="shared" si="2"/>
        <v>-77.12519755859374</v>
      </c>
      <c r="AT134" s="419">
        <f t="shared" si="2"/>
        <v>-77.04039877929686</v>
      </c>
      <c r="AU134" s="419">
        <f t="shared" si="2"/>
        <v>-76.94499938964843</v>
      </c>
      <c r="AV134" s="419">
        <f t="shared" si="2"/>
        <v>-76.8495996948242</v>
      </c>
      <c r="AW134" s="287" t="str">
        <f t="shared" si="1"/>
        <v>dIN</v>
      </c>
    </row>
    <row r="135" ht="17.5" customHeight="1" spans="3:49" x14ac:dyDescent="0.25">
      <c r="C135" s="1335">
        <v>4</v>
      </c>
      <c r="D135" s="1348">
        <f>РЕЗУЛЬТАТЫ!SX18</f>
        <v>0</v>
      </c>
      <c r="E135" s="1349" t="s">
        <v>438</v>
      </c>
      <c r="F135" s="26" t="s">
        <v>1015</v>
      </c>
      <c r="G135" s="287" t="s">
        <v>1574</v>
      </c>
      <c r="H135" s="287"/>
      <c r="I135" s="287"/>
      <c r="J135" s="287"/>
      <c r="K135" s="287"/>
      <c r="L135" s="287"/>
      <c r="M135" s="1371"/>
      <c r="N135" s="419">
        <f t="shared" si="3"/>
        <v>-11.9298</v>
      </c>
      <c r="O135" s="419">
        <f t="shared" ref="O135:O166" si="5">O7-O71</f>
        <v>0</v>
      </c>
      <c r="P135" s="419">
        <f t="shared" si="2"/>
        <v>-56.9411</v>
      </c>
      <c r="Q135" s="419">
        <f t="shared" si="2"/>
        <v>0</v>
      </c>
      <c r="R135" s="419">
        <f t="shared" si="2"/>
        <v>0</v>
      </c>
      <c r="S135" s="419">
        <f t="shared" si="2"/>
        <v>40.0226</v>
      </c>
      <c r="T135" s="419">
        <f t="shared" si="2"/>
        <v>1.707</v>
      </c>
      <c r="U135" s="419">
        <f t="shared" si="2"/>
        <v>107.4624</v>
      </c>
      <c r="V135" s="419">
        <f t="shared" si="2"/>
        <v>96.1435</v>
      </c>
      <c r="W135" s="419">
        <f t="shared" si="2"/>
        <v>126.0953</v>
      </c>
      <c r="X135" s="419">
        <f t="shared" si="2"/>
        <v>17.1794</v>
      </c>
      <c r="Y135" s="419">
        <f t="shared" si="2"/>
        <v>-378.2842</v>
      </c>
      <c r="Z135" s="419">
        <f t="shared" si="2"/>
        <v>605.3455</v>
      </c>
      <c r="AA135" s="419">
        <f t="shared" si="2"/>
        <v>694.862</v>
      </c>
      <c r="AB135" s="419">
        <f t="shared" si="2"/>
        <v>418.459</v>
      </c>
      <c r="AC135" s="419">
        <f t="shared" si="2"/>
        <v>0</v>
      </c>
      <c r="AD135" s="419">
        <f t="shared" si="2"/>
        <v>0</v>
      </c>
      <c r="AE135" s="419">
        <f t="shared" si="2"/>
        <v>0</v>
      </c>
      <c r="AF135" s="419">
        <f t="shared" si="2"/>
        <v>317.8</v>
      </c>
      <c r="AG135" s="419">
        <f t="shared" si="2"/>
        <v>450.2</v>
      </c>
      <c r="AH135" s="419">
        <f t="shared" si="2"/>
        <v>67.02</v>
      </c>
      <c r="AI135" s="419">
        <f t="shared" si="2"/>
        <v>0</v>
      </c>
      <c r="AJ135" s="419">
        <f t="shared" si="2"/>
        <v>0</v>
      </c>
      <c r="AK135" s="419">
        <f t="shared" si="2"/>
        <v>0</v>
      </c>
      <c r="AL135" s="419">
        <f t="shared" si="2"/>
        <v>0</v>
      </c>
      <c r="AM135" s="419">
        <f t="shared" si="2"/>
        <v>0</v>
      </c>
      <c r="AN135" s="419">
        <f t="shared" si="2"/>
        <v>0</v>
      </c>
      <c r="AO135" s="419">
        <f t="shared" si="2"/>
        <v>0</v>
      </c>
      <c r="AP135" s="419">
        <f t="shared" si="2"/>
        <v>0</v>
      </c>
      <c r="AQ135" s="419">
        <f t="shared" si="2"/>
        <v>0</v>
      </c>
      <c r="AR135" s="419">
        <f t="shared" si="2"/>
        <v>0</v>
      </c>
      <c r="AS135" s="419">
        <f t="shared" si="2"/>
        <v>0</v>
      </c>
      <c r="AT135" s="419">
        <f t="shared" si="2"/>
        <v>0</v>
      </c>
      <c r="AU135" s="419">
        <f t="shared" si="2"/>
        <v>0</v>
      </c>
      <c r="AV135" s="419">
        <f t="shared" si="2"/>
        <v>0</v>
      </c>
      <c r="AW135" s="287" t="str">
        <f t="shared" si="1"/>
        <v>TM</v>
      </c>
    </row>
    <row r="136" ht="17.5" customHeight="1" spans="3:49" x14ac:dyDescent="0.25">
      <c r="C136" s="1335">
        <v>5</v>
      </c>
      <c r="D136" s="1348">
        <v>40873</v>
      </c>
      <c r="E136" s="1349" t="s">
        <v>1575</v>
      </c>
      <c r="F136" s="26" t="s">
        <v>277</v>
      </c>
      <c r="G136" s="287" t="s">
        <v>1576</v>
      </c>
      <c r="H136" s="287"/>
      <c r="I136" s="287"/>
      <c r="J136" s="287"/>
      <c r="K136" s="287"/>
      <c r="L136" s="287"/>
      <c r="M136" s="1386"/>
      <c r="N136" s="419" t="e">
        <f t="shared" si="3"/>
        <v>#REF!</v>
      </c>
      <c r="O136" s="419" t="e">
        <f t="shared" si="5"/>
        <v>#REF!</v>
      </c>
      <c r="P136" s="419" t="e">
        <f t="shared" si="2"/>
        <v>#REF!</v>
      </c>
      <c r="Q136" s="419" t="e">
        <f t="shared" si="2"/>
        <v>#REF!</v>
      </c>
      <c r="R136" s="419" t="e">
        <f t="shared" si="2"/>
        <v>#REF!</v>
      </c>
      <c r="S136" s="419" t="e">
        <f t="shared" si="2"/>
        <v>#REF!</v>
      </c>
      <c r="T136" s="419" t="e">
        <f t="shared" si="2"/>
        <v>#REF!</v>
      </c>
      <c r="U136" s="419" t="e">
        <f t="shared" si="2"/>
        <v>#REF!</v>
      </c>
      <c r="V136" s="419" t="e">
        <f t="shared" si="2"/>
        <v>#REF!</v>
      </c>
      <c r="W136" s="419" t="e">
        <f t="shared" si="2"/>
        <v>#REF!</v>
      </c>
      <c r="X136" s="419" t="e">
        <f t="shared" si="2"/>
        <v>#REF!</v>
      </c>
      <c r="Y136" s="419" t="e">
        <f t="shared" si="2"/>
        <v>#REF!</v>
      </c>
      <c r="Z136" s="419" t="e">
        <f t="shared" si="2"/>
        <v>#REF!</v>
      </c>
      <c r="AA136" s="419" t="e">
        <f t="shared" si="2"/>
        <v>#REF!</v>
      </c>
      <c r="AB136" s="419" t="e">
        <f t="shared" si="2"/>
        <v>#REF!</v>
      </c>
      <c r="AC136" s="419" t="e">
        <f t="shared" si="2"/>
        <v>#REF!</v>
      </c>
      <c r="AD136" s="419" t="e">
        <f t="shared" si="2"/>
        <v>#REF!</v>
      </c>
      <c r="AE136" s="419" t="e">
        <f t="shared" si="2"/>
        <v>#REF!</v>
      </c>
      <c r="AF136" s="419" t="e">
        <f t="shared" si="2"/>
        <v>#REF!</v>
      </c>
      <c r="AG136" s="419" t="e">
        <f t="shared" si="2"/>
        <v>#REF!</v>
      </c>
      <c r="AH136" s="419" t="e">
        <f t="shared" si="2"/>
        <v>#REF!</v>
      </c>
      <c r="AI136" s="419" t="e">
        <f t="shared" si="2"/>
        <v>#REF!</v>
      </c>
      <c r="AJ136" s="419" t="e">
        <f t="shared" si="2"/>
        <v>#REF!</v>
      </c>
      <c r="AK136" s="419" t="e">
        <f t="shared" si="2"/>
        <v>#REF!</v>
      </c>
      <c r="AL136" s="419" t="e">
        <f t="shared" si="2"/>
        <v>#REF!</v>
      </c>
      <c r="AM136" s="419" t="e">
        <f t="shared" si="2"/>
        <v>#REF!</v>
      </c>
      <c r="AN136" s="419" t="e">
        <f t="shared" si="2"/>
        <v>#REF!</v>
      </c>
      <c r="AO136" s="419" t="e">
        <f t="shared" si="2"/>
        <v>#REF!</v>
      </c>
      <c r="AP136" s="419" t="e">
        <f t="shared" si="2"/>
        <v>#REF!</v>
      </c>
      <c r="AQ136" s="419" t="e">
        <f t="shared" si="2"/>
        <v>#REF!</v>
      </c>
      <c r="AR136" s="419" t="e">
        <f t="shared" si="2"/>
        <v>#REF!</v>
      </c>
      <c r="AS136" s="419" t="e">
        <f t="shared" si="2"/>
        <v>#REF!</v>
      </c>
      <c r="AT136" s="419" t="e">
        <f t="shared" si="2"/>
        <v>#REF!</v>
      </c>
      <c r="AU136" s="419" t="e">
        <f t="shared" si="2"/>
        <v>#REF!</v>
      </c>
      <c r="AV136" s="419" t="e">
        <f t="shared" si="2"/>
        <v>#REF!</v>
      </c>
      <c r="AW136" s="287" t="str">
        <f t="shared" si="1"/>
        <v>Fо</v>
      </c>
    </row>
    <row r="137" ht="17.5" customHeight="1" spans="3:49" x14ac:dyDescent="0.25">
      <c r="C137" s="1335">
        <v>6</v>
      </c>
      <c r="D137" s="1387">
        <f>НАСТРОЙКА!DD140</f>
        <v>0</v>
      </c>
      <c r="E137" s="1349" t="s">
        <v>989</v>
      </c>
      <c r="F137" s="26" t="s">
        <v>866</v>
      </c>
      <c r="G137" s="287" t="s">
        <v>1577</v>
      </c>
      <c r="H137" s="287"/>
      <c r="I137" s="287"/>
      <c r="J137" s="287"/>
      <c r="K137" s="287"/>
      <c r="L137" s="287"/>
      <c r="M137" s="1362"/>
      <c r="N137" s="419" t="e">
        <f t="shared" si="3"/>
        <v>#REF!</v>
      </c>
      <c r="O137" s="419" t="e">
        <f t="shared" si="5"/>
        <v>#REF!</v>
      </c>
      <c r="P137" s="419" t="e">
        <f t="shared" si="2"/>
        <v>#REF!</v>
      </c>
      <c r="Q137" s="419" t="e">
        <f t="shared" si="2"/>
        <v>#REF!</v>
      </c>
      <c r="R137" s="419" t="e">
        <f t="shared" si="2"/>
        <v>#REF!</v>
      </c>
      <c r="S137" s="419" t="e">
        <f t="shared" si="2"/>
        <v>#REF!</v>
      </c>
      <c r="T137" s="419" t="e">
        <f t="shared" si="2"/>
        <v>#REF!</v>
      </c>
      <c r="U137" s="419" t="e">
        <f t="shared" si="2"/>
        <v>#REF!</v>
      </c>
      <c r="V137" s="419" t="e">
        <f t="shared" si="2"/>
        <v>#REF!</v>
      </c>
      <c r="W137" s="419" t="e">
        <f t="shared" si="2"/>
        <v>#REF!</v>
      </c>
      <c r="X137" s="419" t="e">
        <f t="shared" si="2"/>
        <v>#REF!</v>
      </c>
      <c r="Y137" s="419" t="e">
        <f t="shared" si="2"/>
        <v>#REF!</v>
      </c>
      <c r="Z137" s="419" t="e">
        <f t="shared" si="2"/>
        <v>#REF!</v>
      </c>
      <c r="AA137" s="419" t="e">
        <f t="shared" si="2"/>
        <v>#REF!</v>
      </c>
      <c r="AB137" s="1611" t="e">
        <f t="shared" si="2"/>
        <v>#REF!</v>
      </c>
      <c r="AC137" s="1611" t="e">
        <f t="shared" si="2"/>
        <v>#REF!</v>
      </c>
      <c r="AD137" s="419" t="e">
        <f t="shared" si="2"/>
        <v>#REF!</v>
      </c>
      <c r="AE137" s="419" t="e">
        <f t="shared" si="2"/>
        <v>#REF!</v>
      </c>
      <c r="AF137" s="419" t="e">
        <f t="shared" si="2"/>
        <v>#REF!</v>
      </c>
      <c r="AG137" s="419" t="e">
        <f t="shared" si="2"/>
        <v>#REF!</v>
      </c>
      <c r="AH137" s="419" t="e">
        <f t="shared" si="2"/>
        <v>#REF!</v>
      </c>
      <c r="AI137" s="419" t="e">
        <f t="shared" si="2"/>
        <v>#REF!</v>
      </c>
      <c r="AJ137" s="419" t="e">
        <f t="shared" si="2"/>
        <v>#REF!</v>
      </c>
      <c r="AK137" s="419" t="e">
        <f t="shared" si="2"/>
        <v>#REF!</v>
      </c>
      <c r="AL137" s="419" t="e">
        <f t="shared" si="2"/>
        <v>#REF!</v>
      </c>
      <c r="AM137" s="419" t="e">
        <f t="shared" si="2"/>
        <v>#REF!</v>
      </c>
      <c r="AN137" s="419" t="e">
        <f t="shared" si="2"/>
        <v>#REF!</v>
      </c>
      <c r="AO137" s="419" t="e">
        <f t="shared" si="2"/>
        <v>#REF!</v>
      </c>
      <c r="AP137" s="419" t="e">
        <f t="shared" si="2"/>
        <v>#REF!</v>
      </c>
      <c r="AQ137" s="419" t="e">
        <f t="shared" si="2"/>
        <v>#REF!</v>
      </c>
      <c r="AR137" s="419" t="e">
        <f t="shared" si="2"/>
        <v>#REF!</v>
      </c>
      <c r="AS137" s="419" t="e">
        <f t="shared" si="2"/>
        <v>#REF!</v>
      </c>
      <c r="AT137" s="419" t="e">
        <f t="shared" si="2"/>
        <v>#REF!</v>
      </c>
      <c r="AU137" s="419" t="e">
        <f t="shared" si="2"/>
        <v>#REF!</v>
      </c>
      <c r="AV137" s="419" t="e">
        <f t="shared" si="2"/>
        <v>#REF!</v>
      </c>
      <c r="AW137" s="287" t="str">
        <f t="shared" si="1"/>
        <v>a</v>
      </c>
    </row>
    <row r="138" ht="17.5" customHeight="1" spans="3:49" x14ac:dyDescent="0.25">
      <c r="C138" s="1335">
        <v>7</v>
      </c>
      <c r="D138" s="1387">
        <f>НАСТРОЙКА!DE140</f>
        <v>0</v>
      </c>
      <c r="E138" s="1349" t="s">
        <v>355</v>
      </c>
      <c r="F138" s="26" t="s">
        <v>866</v>
      </c>
      <c r="G138" s="287" t="s">
        <v>1578</v>
      </c>
      <c r="H138" s="287"/>
      <c r="I138" s="287"/>
      <c r="J138" s="287"/>
      <c r="K138" s="287"/>
      <c r="L138" s="287"/>
      <c r="M138" s="1362"/>
      <c r="N138" s="419">
        <f t="shared" si="3"/>
        <v>0</v>
      </c>
      <c r="O138" s="419">
        <f t="shared" si="5"/>
        <v>0</v>
      </c>
      <c r="P138" s="419">
        <f t="shared" si="2"/>
        <v>0</v>
      </c>
      <c r="Q138" s="419">
        <f t="shared" si="2"/>
        <v>0</v>
      </c>
      <c r="R138" s="419">
        <f t="shared" si="2"/>
        <v>0</v>
      </c>
      <c r="S138" s="419">
        <f t="shared" si="2"/>
        <v>0</v>
      </c>
      <c r="T138" s="419">
        <f t="shared" si="2"/>
        <v>0</v>
      </c>
      <c r="U138" s="419">
        <f t="shared" si="2"/>
        <v>0</v>
      </c>
      <c r="V138" s="419">
        <f t="shared" si="2"/>
        <v>0</v>
      </c>
      <c r="W138" s="419">
        <f t="shared" si="2"/>
        <v>0</v>
      </c>
      <c r="X138" s="419">
        <f t="shared" si="2"/>
        <v>0</v>
      </c>
      <c r="Y138" s="419">
        <f t="shared" si="2"/>
        <v>0</v>
      </c>
      <c r="Z138" s="419">
        <f t="shared" si="2"/>
        <v>0</v>
      </c>
      <c r="AA138" s="419">
        <f t="shared" si="2"/>
        <v>0</v>
      </c>
      <c r="AB138" s="419">
        <f t="shared" si="2"/>
        <v>0</v>
      </c>
      <c r="AC138" s="419">
        <f t="shared" si="2"/>
        <v>0</v>
      </c>
      <c r="AD138" s="419">
        <f t="shared" si="2"/>
        <v>0.000735450743583721</v>
      </c>
      <c r="AE138" s="419">
        <f t="shared" si="2"/>
        <v>0.0016244061512814545</v>
      </c>
      <c r="AF138" s="419">
        <f t="shared" si="2"/>
        <v>0.0022898189428430804</v>
      </c>
      <c r="AG138" s="419">
        <f t="shared" si="2"/>
        <v>0.0004949876448228085</v>
      </c>
      <c r="AH138" s="419">
        <f t="shared" si="2"/>
        <v>-0.002039303525911751</v>
      </c>
      <c r="AI138" s="419">
        <f t="shared" si="2"/>
        <v>-0.004656159425197148</v>
      </c>
      <c r="AJ138" s="419">
        <f t="shared" si="2"/>
        <v>-0.004165740740004642</v>
      </c>
      <c r="AK138" s="419">
        <f t="shared" si="2"/>
        <v>-0.003894443956306226</v>
      </c>
      <c r="AL138" s="419">
        <f t="shared" si="2"/>
        <v>-0.0037502768509776185</v>
      </c>
      <c r="AM138" s="419">
        <f t="shared" si="2"/>
        <v>-0.0037205264561819273</v>
      </c>
      <c r="AN138" s="419">
        <f t="shared" si="2"/>
        <v>-0.003793751100865772</v>
      </c>
      <c r="AO138" s="419">
        <f t="shared" si="2"/>
        <v>-0.003959653281081277</v>
      </c>
      <c r="AP138" s="419">
        <f t="shared" si="2"/>
        <v>-0.004208965243275187</v>
      </c>
      <c r="AQ138" s="419">
        <f t="shared" si="2"/>
        <v>-0.004533346009249706</v>
      </c>
      <c r="AR138" s="419">
        <f t="shared" si="2"/>
        <v>-0.00492528869862674</v>
      </c>
      <c r="AS138" s="419">
        <f t="shared" si="2"/>
        <v>-0.005378037119066037</v>
      </c>
      <c r="AT138" s="419">
        <f t="shared" si="2"/>
        <v>-0.00588551069746146</v>
      </c>
      <c r="AU138" s="419">
        <f t="shared" si="2"/>
        <v>-0.006442236918017374</v>
      </c>
      <c r="AV138" s="419">
        <f t="shared" si="2"/>
        <v>-0.007043290516517753</v>
      </c>
      <c r="AW138" s="287" t="str">
        <f t="shared" si="1"/>
        <v>aS</v>
      </c>
    </row>
    <row r="139" ht="17.5" customHeight="1" spans="3:49" x14ac:dyDescent="0.25">
      <c r="C139" s="1335">
        <v>8</v>
      </c>
      <c r="D139" s="1387">
        <f>НАСТРОЙКА!DF140</f>
        <v>0</v>
      </c>
      <c r="E139" s="1349" t="s">
        <v>358</v>
      </c>
      <c r="F139" s="26" t="s">
        <v>866</v>
      </c>
      <c r="G139" s="287" t="s">
        <v>1579</v>
      </c>
      <c r="H139" s="287"/>
      <c r="I139" s="287"/>
      <c r="J139" s="287"/>
      <c r="K139" s="287"/>
      <c r="L139" s="287"/>
      <c r="M139" s="1362"/>
      <c r="N139" s="419">
        <f t="shared" si="3"/>
        <v>0.836844073020201</v>
      </c>
      <c r="O139" s="419">
        <f t="shared" si="5"/>
        <v>0.8163594090303823</v>
      </c>
      <c r="P139" s="419">
        <f t="shared" si="2"/>
        <v>0.7736929530264968</v>
      </c>
      <c r="Q139" s="419">
        <f t="shared" si="2"/>
        <v>0.7992324703997552</v>
      </c>
      <c r="R139" s="419">
        <f t="shared" si="2"/>
        <v>0.7890249852365399</v>
      </c>
      <c r="S139" s="419">
        <f t="shared" si="2"/>
        <v>0.8161992421082742</v>
      </c>
      <c r="T139" s="419">
        <f t="shared" si="2"/>
        <v>0.7872593270002316</v>
      </c>
      <c r="U139" s="419">
        <f t="shared" si="2"/>
        <v>0.7793467088601939</v>
      </c>
      <c r="V139" s="419">
        <f t="shared" si="2"/>
        <v>0.7377047414443738</v>
      </c>
      <c r="W139" s="419">
        <f t="shared" si="2"/>
        <v>0.7237055775597748</v>
      </c>
      <c r="X139" s="419">
        <f t="shared" si="2"/>
        <v>0.6999985592020412</v>
      </c>
      <c r="Y139" s="419">
        <f t="shared" si="2"/>
        <v>0.6722924739809653</v>
      </c>
      <c r="Z139" s="419">
        <f t="shared" si="2"/>
        <v>0.6516928349118202</v>
      </c>
      <c r="AA139" s="419">
        <f t="shared" si="2"/>
        <v>0.7156739416333645</v>
      </c>
      <c r="AB139" s="419">
        <f t="shared" si="2"/>
        <v>0.6835400672134747</v>
      </c>
      <c r="AC139" s="419">
        <f t="shared" si="2"/>
        <v>0.6377222979444293</v>
      </c>
      <c r="AD139" s="419">
        <f t="shared" si="2"/>
        <v>0.6190764003094116</v>
      </c>
      <c r="AE139" s="419">
        <f t="shared" si="2"/>
        <v>0.6149479690730348</v>
      </c>
      <c r="AF139" s="419">
        <f t="shared" si="2"/>
        <v>0.6394736941794447</v>
      </c>
      <c r="AG139" s="419">
        <f t="shared" si="2"/>
        <v>0.7071561916756205</v>
      </c>
      <c r="AH139" s="419">
        <f t="shared" si="2"/>
        <v>0.717258996463471</v>
      </c>
      <c r="AI139" s="419">
        <f t="shared" si="2"/>
        <v>0.687764556046648</v>
      </c>
      <c r="AJ139" s="419">
        <f t="shared" si="2"/>
        <v>0.6873111073899205</v>
      </c>
      <c r="AK139" s="419">
        <f t="shared" si="2"/>
        <v>0.6863111073899205</v>
      </c>
      <c r="AL139" s="419">
        <f t="shared" si="2"/>
        <v>0.6853111073899205</v>
      </c>
      <c r="AM139" s="419">
        <f t="shared" si="2"/>
        <v>0.6843111073899205</v>
      </c>
      <c r="AN139" s="419">
        <f t="shared" si="2"/>
        <v>0.6833111073899205</v>
      </c>
      <c r="AO139" s="419">
        <f t="shared" si="2"/>
        <v>0.6823111073899205</v>
      </c>
      <c r="AP139" s="419">
        <f t="shared" si="2"/>
        <v>0.6813111073899205</v>
      </c>
      <c r="AQ139" s="419">
        <f t="shared" si="2"/>
        <v>0.6803111073899205</v>
      </c>
      <c r="AR139" s="419">
        <f t="shared" si="2"/>
        <v>0.6793111073899205</v>
      </c>
      <c r="AS139" s="419">
        <f t="shared" si="2"/>
        <v>0.6783111073899205</v>
      </c>
      <c r="AT139" s="419">
        <f t="shared" si="2"/>
        <v>0.6773111073899205</v>
      </c>
      <c r="AU139" s="419">
        <f t="shared" si="2"/>
        <v>0.6763111073899205</v>
      </c>
      <c r="AV139" s="419">
        <f t="shared" si="2"/>
        <v>0.6753111073899205</v>
      </c>
      <c r="AW139" s="287" t="str">
        <f t="shared" si="1"/>
        <v>Ra</v>
      </c>
    </row>
    <row r="140" ht="17.5" customHeight="1" spans="3:49" x14ac:dyDescent="0.25">
      <c r="C140" s="1335">
        <v>9</v>
      </c>
      <c r="D140" s="1387"/>
      <c r="E140" s="1349"/>
      <c r="F140" s="26"/>
      <c r="G140" s="287"/>
      <c r="H140" s="287"/>
      <c r="I140" s="287"/>
      <c r="J140" s="287"/>
      <c r="K140" s="287"/>
      <c r="L140" s="287"/>
      <c r="M140" s="1362"/>
      <c r="N140" s="419" t="e">
        <f t="shared" si="3"/>
        <v>#REF!</v>
      </c>
      <c r="O140" s="419" t="e">
        <f t="shared" si="5"/>
        <v>#REF!</v>
      </c>
      <c r="P140" s="419" t="e">
        <f t="shared" si="2"/>
        <v>#REF!</v>
      </c>
      <c r="Q140" s="419" t="e">
        <f t="shared" si="2"/>
        <v>#REF!</v>
      </c>
      <c r="R140" s="419" t="e">
        <f t="shared" si="2"/>
        <v>#REF!</v>
      </c>
      <c r="S140" s="419" t="e">
        <f t="shared" si="2"/>
        <v>#REF!</v>
      </c>
      <c r="T140" s="419" t="e">
        <f t="shared" si="2"/>
        <v>#REF!</v>
      </c>
      <c r="U140" s="419" t="e">
        <f t="shared" si="2"/>
        <v>#REF!</v>
      </c>
      <c r="V140" s="419" t="e">
        <f t="shared" si="2"/>
        <v>#REF!</v>
      </c>
      <c r="W140" s="419" t="e">
        <f t="shared" si="2"/>
        <v>#REF!</v>
      </c>
      <c r="X140" s="419" t="e">
        <f t="shared" si="2"/>
        <v>#REF!</v>
      </c>
      <c r="Y140" s="419" t="e">
        <f t="shared" si="2"/>
        <v>#REF!</v>
      </c>
      <c r="Z140" s="419" t="e">
        <f t="shared" si="2"/>
        <v>#REF!</v>
      </c>
      <c r="AA140" s="419" t="e">
        <f t="shared" si="2"/>
        <v>#REF!</v>
      </c>
      <c r="AB140" s="419" t="e">
        <f t="shared" si="2"/>
        <v>#REF!</v>
      </c>
      <c r="AC140" s="419" t="e">
        <f t="shared" si="2"/>
        <v>#REF!</v>
      </c>
      <c r="AD140" s="419" t="e">
        <f t="shared" si="2"/>
        <v>#REF!</v>
      </c>
      <c r="AE140" s="419" t="e">
        <f t="shared" si="2"/>
        <v>#REF!</v>
      </c>
      <c r="AF140" s="419" t="e">
        <f t="shared" si="2"/>
        <v>#REF!</v>
      </c>
      <c r="AG140" s="419" t="e">
        <f t="shared" si="2"/>
        <v>#REF!</v>
      </c>
      <c r="AH140" s="419" t="e">
        <f t="shared" si="2"/>
        <v>#REF!</v>
      </c>
      <c r="AI140" s="419" t="e">
        <f t="shared" si="2"/>
        <v>#REF!</v>
      </c>
      <c r="AJ140" s="419" t="e">
        <f t="shared" si="2"/>
        <v>#REF!</v>
      </c>
      <c r="AK140" s="419" t="e">
        <f t="shared" si="2"/>
        <v>#REF!</v>
      </c>
      <c r="AL140" s="419" t="e">
        <f t="shared" si="2"/>
        <v>#REF!</v>
      </c>
      <c r="AM140" s="419" t="e">
        <f t="shared" si="2"/>
        <v>#REF!</v>
      </c>
      <c r="AN140" s="419" t="e">
        <f t="shared" si="2"/>
        <v>#REF!</v>
      </c>
      <c r="AO140" s="419" t="e">
        <f t="shared" si="2"/>
        <v>#REF!</v>
      </c>
      <c r="AP140" s="419" t="e">
        <f t="shared" si="2"/>
        <v>#REF!</v>
      </c>
      <c r="AQ140" s="419" t="e">
        <f t="shared" si="2"/>
        <v>#REF!</v>
      </c>
      <c r="AR140" s="419" t="e">
        <f t="shared" si="2"/>
        <v>#REF!</v>
      </c>
      <c r="AS140" s="419" t="e">
        <f t="shared" si="2"/>
        <v>#REF!</v>
      </c>
      <c r="AT140" s="419" t="e">
        <f t="shared" si="2"/>
        <v>#REF!</v>
      </c>
      <c r="AU140" s="419" t="e">
        <f t="shared" si="2"/>
        <v>#REF!</v>
      </c>
      <c r="AV140" s="419" t="e">
        <f t="shared" si="2"/>
        <v>#REF!</v>
      </c>
      <c r="AW140" s="287">
        <f t="shared" si="1"/>
        <v>0</v>
      </c>
    </row>
    <row r="141" ht="17.5" customHeight="1" spans="3:49" x14ac:dyDescent="0.25">
      <c r="C141" s="1335">
        <v>10</v>
      </c>
      <c r="D141" s="1348">
        <f>НАСТРОЙКА!EJ296</f>
        <v>0</v>
      </c>
      <c r="E141" s="1349" t="s">
        <v>596</v>
      </c>
      <c r="F141" s="26" t="s">
        <v>1627</v>
      </c>
      <c r="G141" s="287" t="s">
        <v>1582</v>
      </c>
      <c r="H141" s="287"/>
      <c r="I141" s="287"/>
      <c r="J141" s="287"/>
      <c r="K141" s="287"/>
      <c r="L141" s="287"/>
      <c r="M141" s="1368"/>
      <c r="N141" s="419" t="e">
        <f t="shared" si="3"/>
        <v>#REF!</v>
      </c>
      <c r="O141" s="419" t="e">
        <f t="shared" si="5"/>
        <v>#REF!</v>
      </c>
      <c r="P141" s="419" t="e">
        <f t="shared" si="2"/>
        <v>#REF!</v>
      </c>
      <c r="Q141" s="419" t="e">
        <f t="shared" si="2"/>
        <v>#REF!</v>
      </c>
      <c r="R141" s="419" t="e">
        <f t="shared" si="2"/>
        <v>#REF!</v>
      </c>
      <c r="S141" s="419" t="e">
        <f t="shared" si="2"/>
        <v>#REF!</v>
      </c>
      <c r="T141" s="419" t="e">
        <f t="shared" si="2"/>
        <v>#REF!</v>
      </c>
      <c r="U141" s="419" t="e">
        <f t="shared" si="2"/>
        <v>#REF!</v>
      </c>
      <c r="V141" s="419" t="e">
        <f t="shared" ref="P141:AV148" si="6">V13-V77</f>
        <v>#REF!</v>
      </c>
      <c r="W141" s="419" t="e">
        <f t="shared" si="6"/>
        <v>#REF!</v>
      </c>
      <c r="X141" s="419" t="e">
        <f t="shared" si="6"/>
        <v>#REF!</v>
      </c>
      <c r="Y141" s="419" t="e">
        <f t="shared" si="6"/>
        <v>#REF!</v>
      </c>
      <c r="Z141" s="419" t="e">
        <f t="shared" si="6"/>
        <v>#REF!</v>
      </c>
      <c r="AA141" s="419" t="e">
        <f t="shared" si="6"/>
        <v>#REF!</v>
      </c>
      <c r="AB141" s="419" t="e">
        <f t="shared" si="6"/>
        <v>#REF!</v>
      </c>
      <c r="AC141" s="419" t="e">
        <f t="shared" si="6"/>
        <v>#REF!</v>
      </c>
      <c r="AD141" s="419" t="e">
        <f t="shared" si="6"/>
        <v>#REF!</v>
      </c>
      <c r="AE141" s="419" t="e">
        <f t="shared" si="6"/>
        <v>#REF!</v>
      </c>
      <c r="AF141" s="419" t="e">
        <f t="shared" si="6"/>
        <v>#REF!</v>
      </c>
      <c r="AG141" s="419" t="e">
        <f t="shared" si="6"/>
        <v>#REF!</v>
      </c>
      <c r="AH141" s="419" t="e">
        <f t="shared" si="6"/>
        <v>#REF!</v>
      </c>
      <c r="AI141" s="419" t="e">
        <f t="shared" si="6"/>
        <v>#REF!</v>
      </c>
      <c r="AJ141" s="419" t="e">
        <f t="shared" si="6"/>
        <v>#REF!</v>
      </c>
      <c r="AK141" s="419" t="e">
        <f t="shared" si="6"/>
        <v>#REF!</v>
      </c>
      <c r="AL141" s="419" t="e">
        <f t="shared" si="6"/>
        <v>#REF!</v>
      </c>
      <c r="AM141" s="419" t="e">
        <f t="shared" si="6"/>
        <v>#REF!</v>
      </c>
      <c r="AN141" s="419" t="e">
        <f t="shared" si="6"/>
        <v>#REF!</v>
      </c>
      <c r="AO141" s="419" t="e">
        <f t="shared" si="6"/>
        <v>#REF!</v>
      </c>
      <c r="AP141" s="419" t="e">
        <f t="shared" si="6"/>
        <v>#REF!</v>
      </c>
      <c r="AQ141" s="419" t="e">
        <f t="shared" si="6"/>
        <v>#REF!</v>
      </c>
      <c r="AR141" s="419" t="e">
        <f t="shared" si="6"/>
        <v>#REF!</v>
      </c>
      <c r="AS141" s="419" t="e">
        <f t="shared" si="6"/>
        <v>#REF!</v>
      </c>
      <c r="AT141" s="419" t="e">
        <f t="shared" si="6"/>
        <v>#REF!</v>
      </c>
      <c r="AU141" s="419" t="e">
        <f t="shared" si="6"/>
        <v>#REF!</v>
      </c>
      <c r="AV141" s="419" t="e">
        <f t="shared" si="6"/>
        <v>#REF!</v>
      </c>
      <c r="AW141" s="287" t="str">
        <f t="shared" si="1"/>
        <v>POS</v>
      </c>
    </row>
    <row r="142" ht="17.5" customHeight="1" spans="3:49" x14ac:dyDescent="0.25">
      <c r="C142" s="1335">
        <v>11</v>
      </c>
      <c r="D142" s="1348">
        <f>НАСТРОЙКА!DN181</f>
        <v>0</v>
      </c>
      <c r="E142" s="1349" t="s">
        <v>661</v>
      </c>
      <c r="F142" s="26" t="s">
        <v>919</v>
      </c>
      <c r="G142" s="287" t="s">
        <v>1583</v>
      </c>
      <c r="H142" s="287"/>
      <c r="I142" s="287"/>
      <c r="J142" s="287"/>
      <c r="K142" s="287"/>
      <c r="L142" s="287"/>
      <c r="M142" s="1362"/>
      <c r="N142" s="419" t="e">
        <f t="shared" si="3"/>
        <v>#REF!</v>
      </c>
      <c r="O142" s="419" t="e">
        <f t="shared" si="5"/>
        <v>#REF!</v>
      </c>
      <c r="P142" s="419" t="e">
        <f t="shared" si="6"/>
        <v>#REF!</v>
      </c>
      <c r="Q142" s="419" t="e">
        <f t="shared" si="6"/>
        <v>#REF!</v>
      </c>
      <c r="R142" s="419" t="e">
        <f t="shared" si="6"/>
        <v>#REF!</v>
      </c>
      <c r="S142" s="419" t="e">
        <f t="shared" si="6"/>
        <v>#REF!</v>
      </c>
      <c r="T142" s="419" t="e">
        <f t="shared" si="6"/>
        <v>#REF!</v>
      </c>
      <c r="U142" s="419" t="e">
        <f t="shared" si="6"/>
        <v>#REF!</v>
      </c>
      <c r="V142" s="419" t="e">
        <f t="shared" si="6"/>
        <v>#REF!</v>
      </c>
      <c r="W142" s="419" t="e">
        <f t="shared" si="6"/>
        <v>#REF!</v>
      </c>
      <c r="X142" s="419" t="e">
        <f t="shared" si="6"/>
        <v>#REF!</v>
      </c>
      <c r="Y142" s="419" t="e">
        <f t="shared" si="6"/>
        <v>#REF!</v>
      </c>
      <c r="Z142" s="419" t="e">
        <f t="shared" si="6"/>
        <v>#REF!</v>
      </c>
      <c r="AA142" s="419" t="e">
        <f t="shared" si="6"/>
        <v>#REF!</v>
      </c>
      <c r="AB142" s="419" t="e">
        <f t="shared" si="6"/>
        <v>#REF!</v>
      </c>
      <c r="AC142" s="419" t="e">
        <f t="shared" si="6"/>
        <v>#REF!</v>
      </c>
      <c r="AD142" s="419" t="e">
        <f t="shared" si="6"/>
        <v>#REF!</v>
      </c>
      <c r="AE142" s="419" t="e">
        <f t="shared" si="6"/>
        <v>#REF!</v>
      </c>
      <c r="AF142" s="419" t="e">
        <f t="shared" si="6"/>
        <v>#REF!</v>
      </c>
      <c r="AG142" s="419" t="e">
        <f t="shared" si="6"/>
        <v>#REF!</v>
      </c>
      <c r="AH142" s="419" t="e">
        <f t="shared" si="6"/>
        <v>#REF!</v>
      </c>
      <c r="AI142" s="419" t="e">
        <f t="shared" si="6"/>
        <v>#REF!</v>
      </c>
      <c r="AJ142" s="419" t="e">
        <f t="shared" si="6"/>
        <v>#REF!</v>
      </c>
      <c r="AK142" s="419" t="e">
        <f t="shared" si="6"/>
        <v>#REF!</v>
      </c>
      <c r="AL142" s="419" t="e">
        <f t="shared" si="6"/>
        <v>#REF!</v>
      </c>
      <c r="AM142" s="419" t="e">
        <f t="shared" si="6"/>
        <v>#REF!</v>
      </c>
      <c r="AN142" s="419" t="e">
        <f t="shared" si="6"/>
        <v>#REF!</v>
      </c>
      <c r="AO142" s="419" t="e">
        <f t="shared" si="6"/>
        <v>#REF!</v>
      </c>
      <c r="AP142" s="419" t="e">
        <f t="shared" si="6"/>
        <v>#REF!</v>
      </c>
      <c r="AQ142" s="419" t="e">
        <f t="shared" si="6"/>
        <v>#REF!</v>
      </c>
      <c r="AR142" s="419" t="e">
        <f t="shared" si="6"/>
        <v>#REF!</v>
      </c>
      <c r="AS142" s="419" t="e">
        <f t="shared" si="6"/>
        <v>#REF!</v>
      </c>
      <c r="AT142" s="419" t="e">
        <f t="shared" si="6"/>
        <v>#REF!</v>
      </c>
      <c r="AU142" s="419" t="e">
        <f t="shared" si="6"/>
        <v>#REF!</v>
      </c>
      <c r="AV142" s="419" t="e">
        <f t="shared" si="6"/>
        <v>#REF!</v>
      </c>
      <c r="AW142" s="287" t="str">
        <f t="shared" si="1"/>
        <v>fOS</v>
      </c>
    </row>
    <row r="143" ht="17.5" customHeight="1" spans="3:49" x14ac:dyDescent="0.25">
      <c r="C143" s="1335">
        <v>12</v>
      </c>
      <c r="D143" s="1348">
        <f>НАСТРОЙКА!#REF!</f>
        <v>NaN</v>
      </c>
      <c r="E143" s="1349" t="s">
        <v>381</v>
      </c>
      <c r="F143" s="26" t="s">
        <v>866</v>
      </c>
      <c r="G143" s="287" t="s">
        <v>1584</v>
      </c>
      <c r="H143" s="287"/>
      <c r="I143" s="287"/>
      <c r="J143" s="287"/>
      <c r="K143" s="287"/>
      <c r="L143" s="287"/>
      <c r="M143" s="1371"/>
      <c r="N143" s="419">
        <f t="shared" si="3"/>
        <v>0</v>
      </c>
      <c r="O143" s="419">
        <f t="shared" si="5"/>
        <v>0</v>
      </c>
      <c r="P143" s="419">
        <f t="shared" si="6"/>
        <v>0</v>
      </c>
      <c r="Q143" s="419">
        <f t="shared" si="6"/>
        <v>0</v>
      </c>
      <c r="R143" s="419">
        <f t="shared" si="6"/>
        <v>0</v>
      </c>
      <c r="S143" s="419">
        <f t="shared" si="6"/>
        <v>0</v>
      </c>
      <c r="T143" s="419">
        <f t="shared" si="6"/>
        <v>0</v>
      </c>
      <c r="U143" s="419">
        <f t="shared" si="6"/>
        <v>0</v>
      </c>
      <c r="V143" s="419">
        <f t="shared" si="6"/>
        <v>0</v>
      </c>
      <c r="W143" s="419">
        <f t="shared" si="6"/>
        <v>0</v>
      </c>
      <c r="X143" s="419">
        <f t="shared" si="6"/>
        <v>0</v>
      </c>
      <c r="Y143" s="419">
        <f t="shared" si="6"/>
        <v>0.002533254425953757</v>
      </c>
      <c r="Z143" s="419">
        <f t="shared" si="6"/>
        <v>0.004759478415481411</v>
      </c>
      <c r="AA143" s="419">
        <f t="shared" si="6"/>
        <v>0.005178312516044059</v>
      </c>
      <c r="AB143" s="419">
        <f t="shared" si="6"/>
        <v>0.00796254199141444</v>
      </c>
      <c r="AC143" s="419">
        <f t="shared" si="6"/>
        <v>0.00844825705289054</v>
      </c>
      <c r="AD143" s="419">
        <f t="shared" si="6"/>
        <v>0.011693337626546452</v>
      </c>
      <c r="AE143" s="419">
        <f t="shared" si="6"/>
        <v>0.0626143089208373</v>
      </c>
      <c r="AF143" s="419">
        <f t="shared" si="6"/>
        <v>-0.2656467113243046</v>
      </c>
      <c r="AG143" s="419">
        <f t="shared" si="6"/>
        <v>-0.4192871217979963</v>
      </c>
      <c r="AH143" s="419">
        <f t="shared" si="6"/>
        <v>0.4401733611491956</v>
      </c>
      <c r="AI143" s="419">
        <f t="shared" si="6"/>
        <v>1.8171711181235004</v>
      </c>
      <c r="AJ143" s="419">
        <f t="shared" si="6"/>
        <v>2.752584047957029</v>
      </c>
      <c r="AK143" s="419">
        <f t="shared" si="6"/>
        <v>3.8174124852217766</v>
      </c>
      <c r="AL143" s="419">
        <f t="shared" si="6"/>
        <v>4.2938158997658284</v>
      </c>
      <c r="AM143" s="419">
        <f t="shared" si="6"/>
        <v>4.789521895864983</v>
      </c>
      <c r="AN143" s="419">
        <f t="shared" si="6"/>
        <v>5.028997990658233</v>
      </c>
      <c r="AO143" s="419">
        <f t="shared" si="6"/>
        <v>5.2804478901911445</v>
      </c>
      <c r="AP143" s="419">
        <f t="shared" si="6"/>
        <v>5.544470284700701</v>
      </c>
      <c r="AQ143" s="419">
        <f t="shared" si="6"/>
        <v>5.821693798935733</v>
      </c>
      <c r="AR143" s="419">
        <f t="shared" si="6"/>
        <v>6.112778488882519</v>
      </c>
      <c r="AS143" s="419">
        <f t="shared" si="6"/>
        <v>6.03824362216902</v>
      </c>
      <c r="AT143" s="419">
        <f t="shared" si="6"/>
        <v>5.944775060473539</v>
      </c>
      <c r="AU143" s="419">
        <f t="shared" si="6"/>
        <v>5.830817840981133</v>
      </c>
      <c r="AV143" s="419">
        <f t="shared" si="6"/>
        <v>5.6947149216134605</v>
      </c>
      <c r="AW143" s="287" t="str">
        <f t="shared" si="1"/>
        <v>IPC</v>
      </c>
    </row>
    <row r="144" ht="17.5" customHeight="1" spans="3:49" x14ac:dyDescent="0.25">
      <c r="C144" s="1335">
        <v>13</v>
      </c>
      <c r="D144" s="1387">
        <f>НАСТРОЙКА!AZ255</f>
        <v>0</v>
      </c>
      <c r="E144" s="1349" t="s">
        <v>121</v>
      </c>
      <c r="F144" s="26" t="s">
        <v>866</v>
      </c>
      <c r="G144" s="287" t="s">
        <v>1585</v>
      </c>
      <c r="H144" s="287"/>
      <c r="I144" s="287"/>
      <c r="J144" s="287"/>
      <c r="K144" s="287"/>
      <c r="L144" s="287"/>
      <c r="M144" s="1371"/>
      <c r="N144" s="419">
        <f t="shared" si="3"/>
        <v>0</v>
      </c>
      <c r="O144" s="419">
        <f t="shared" si="5"/>
        <v>0</v>
      </c>
      <c r="P144" s="419">
        <f t="shared" si="6"/>
        <v>0</v>
      </c>
      <c r="Q144" s="419">
        <f t="shared" si="6"/>
        <v>0</v>
      </c>
      <c r="R144" s="419">
        <f t="shared" si="6"/>
        <v>0</v>
      </c>
      <c r="S144" s="419">
        <f t="shared" si="6"/>
        <v>0</v>
      </c>
      <c r="T144" s="419">
        <f t="shared" si="6"/>
        <v>0</v>
      </c>
      <c r="U144" s="419">
        <f t="shared" si="6"/>
        <v>0</v>
      </c>
      <c r="V144" s="419">
        <f t="shared" si="6"/>
        <v>0</v>
      </c>
      <c r="W144" s="419">
        <f t="shared" si="6"/>
        <v>0</v>
      </c>
      <c r="X144" s="419">
        <f t="shared" si="6"/>
        <v>0</v>
      </c>
      <c r="Y144" s="419">
        <f t="shared" si="6"/>
        <v>0.00029999999999996696</v>
      </c>
      <c r="Z144" s="419">
        <f t="shared" si="6"/>
        <v>0.00019999999999997797</v>
      </c>
      <c r="AA144" s="419">
        <f t="shared" si="6"/>
        <v>0</v>
      </c>
      <c r="AB144" s="419">
        <f t="shared" si="6"/>
        <v>0.00019999999999997797</v>
      </c>
      <c r="AC144" s="419">
        <f t="shared" si="6"/>
        <v>0</v>
      </c>
      <c r="AD144" s="419">
        <f t="shared" si="6"/>
        <v>0.00019999999999997797</v>
      </c>
      <c r="AE144" s="419">
        <f t="shared" si="6"/>
        <v>0.0035000000000000586</v>
      </c>
      <c r="AF144" s="419">
        <f t="shared" si="6"/>
        <v>-0.021999999999999797</v>
      </c>
      <c r="AG144" s="419">
        <f t="shared" si="6"/>
        <v>-0.006999999999999895</v>
      </c>
      <c r="AH144" s="419">
        <f t="shared" si="6"/>
        <v>0.04610000000000003</v>
      </c>
      <c r="AI144" s="419">
        <f t="shared" si="6"/>
        <v>0.06490000000000018</v>
      </c>
      <c r="AJ144" s="419">
        <f t="shared" si="6"/>
        <v>0.0374000000000001</v>
      </c>
      <c r="AK144" s="419">
        <f t="shared" si="6"/>
        <v>0.03960000000000008</v>
      </c>
      <c r="AL144" s="419">
        <f t="shared" si="6"/>
        <v>0.010900000000000132</v>
      </c>
      <c r="AM144" s="419">
        <f t="shared" si="6"/>
        <v>0.010000000000000009</v>
      </c>
      <c r="AN144" s="419">
        <f t="shared" si="6"/>
        <v>0</v>
      </c>
      <c r="AO144" s="419">
        <f t="shared" si="6"/>
        <v>0</v>
      </c>
      <c r="AP144" s="419">
        <f t="shared" si="6"/>
        <v>0</v>
      </c>
      <c r="AQ144" s="419">
        <f t="shared" si="6"/>
        <v>0</v>
      </c>
      <c r="AR144" s="419">
        <f t="shared" si="6"/>
        <v>0</v>
      </c>
      <c r="AS144" s="419">
        <f t="shared" si="6"/>
        <v>-0.010000000000000009</v>
      </c>
      <c r="AT144" s="419">
        <f t="shared" si="6"/>
        <v>-0.010000000000000009</v>
      </c>
      <c r="AU144" s="419">
        <f t="shared" si="6"/>
        <v>-0.010000000000000009</v>
      </c>
      <c r="AV144" s="419">
        <f t="shared" si="6"/>
        <v>-0.010000000000000009</v>
      </c>
      <c r="AW144" s="287" t="str">
        <f t="shared" si="1"/>
        <v>ip</v>
      </c>
    </row>
    <row r="145" ht="17.5" customHeight="1" spans="3:49" x14ac:dyDescent="0.25">
      <c r="C145" s="1335">
        <v>14</v>
      </c>
      <c r="D145" s="1348"/>
      <c r="E145" s="1349"/>
      <c r="F145" s="26"/>
      <c r="G145" s="287"/>
      <c r="H145" s="287"/>
      <c r="I145" s="287"/>
      <c r="J145" s="287"/>
      <c r="K145" s="287"/>
      <c r="L145" s="287"/>
      <c r="M145" s="1376"/>
      <c r="N145" s="419">
        <f t="shared" si="3"/>
        <v>0</v>
      </c>
      <c r="O145" s="419">
        <f t="shared" si="5"/>
        <v>0</v>
      </c>
      <c r="P145" s="419">
        <f t="shared" si="6"/>
        <v>0</v>
      </c>
      <c r="Q145" s="419">
        <f t="shared" si="6"/>
        <v>0</v>
      </c>
      <c r="R145" s="419">
        <f t="shared" si="6"/>
        <v>0</v>
      </c>
      <c r="S145" s="419">
        <f t="shared" si="6"/>
        <v>0</v>
      </c>
      <c r="T145" s="419">
        <f t="shared" si="6"/>
        <v>0</v>
      </c>
      <c r="U145" s="419">
        <f t="shared" si="6"/>
        <v>0</v>
      </c>
      <c r="V145" s="419">
        <f t="shared" si="6"/>
        <v>0</v>
      </c>
      <c r="W145" s="419">
        <f t="shared" si="6"/>
        <v>0</v>
      </c>
      <c r="X145" s="419">
        <f t="shared" si="6"/>
        <v>0</v>
      </c>
      <c r="Y145" s="419">
        <f t="shared" si="6"/>
        <v>0</v>
      </c>
      <c r="Z145" s="419">
        <f t="shared" si="6"/>
        <v>0</v>
      </c>
      <c r="AA145" s="419">
        <f t="shared" si="6"/>
        <v>0</v>
      </c>
      <c r="AB145" s="419">
        <f t="shared" si="6"/>
        <v>0</v>
      </c>
      <c r="AC145" s="419">
        <f t="shared" si="6"/>
        <v>0</v>
      </c>
      <c r="AD145" s="419">
        <f t="shared" si="6"/>
        <v>0</v>
      </c>
      <c r="AE145" s="419">
        <f t="shared" si="6"/>
        <v>0</v>
      </c>
      <c r="AF145" s="419">
        <f t="shared" si="6"/>
        <v>0</v>
      </c>
      <c r="AG145" s="419">
        <f t="shared" si="6"/>
        <v>0</v>
      </c>
      <c r="AH145" s="419">
        <f t="shared" si="6"/>
        <v>0</v>
      </c>
      <c r="AI145" s="419">
        <f t="shared" si="6"/>
        <v>0</v>
      </c>
      <c r="AJ145" s="419">
        <f t="shared" si="6"/>
        <v>0</v>
      </c>
      <c r="AK145" s="419">
        <f t="shared" si="6"/>
        <v>0</v>
      </c>
      <c r="AL145" s="419">
        <f t="shared" si="6"/>
        <v>0</v>
      </c>
      <c r="AM145" s="419">
        <f t="shared" si="6"/>
        <v>0</v>
      </c>
      <c r="AN145" s="419">
        <f t="shared" si="6"/>
        <v>0</v>
      </c>
      <c r="AO145" s="419">
        <f t="shared" si="6"/>
        <v>0</v>
      </c>
      <c r="AP145" s="419">
        <f t="shared" si="6"/>
        <v>0</v>
      </c>
      <c r="AQ145" s="419">
        <f t="shared" si="6"/>
        <v>0</v>
      </c>
      <c r="AR145" s="419">
        <f t="shared" si="6"/>
        <v>0</v>
      </c>
      <c r="AS145" s="419">
        <f t="shared" si="6"/>
        <v>0</v>
      </c>
      <c r="AT145" s="419">
        <f t="shared" si="6"/>
        <v>0</v>
      </c>
      <c r="AU145" s="419">
        <f t="shared" si="6"/>
        <v>0</v>
      </c>
      <c r="AV145" s="419">
        <f t="shared" si="6"/>
        <v>0</v>
      </c>
      <c r="AW145" s="287">
        <f t="shared" si="1"/>
        <v>0</v>
      </c>
    </row>
    <row r="146" ht="17.5" customHeight="1" spans="3:49" x14ac:dyDescent="0.25">
      <c r="C146" s="2465">
        <v>15</v>
      </c>
      <c r="D146" s="2466"/>
      <c r="E146" s="1349"/>
      <c r="F146" s="26"/>
      <c r="G146" s="287"/>
      <c r="H146" s="287"/>
      <c r="I146" s="287"/>
      <c r="J146" s="287"/>
      <c r="K146" s="287"/>
      <c r="L146" s="287"/>
      <c r="M146" s="1376"/>
      <c r="N146" s="419">
        <f t="shared" si="3"/>
        <v>-4.6</v>
      </c>
      <c r="O146" s="419">
        <f t="shared" si="5"/>
        <v>-5.5</v>
      </c>
      <c r="P146" s="419">
        <f t="shared" si="6"/>
        <v>-9.7</v>
      </c>
      <c r="Q146" s="419">
        <f t="shared" si="6"/>
        <v>-24.62</v>
      </c>
      <c r="R146" s="419">
        <f t="shared" si="6"/>
        <v>-28.14</v>
      </c>
      <c r="S146" s="419">
        <f t="shared" si="6"/>
        <v>-29.17</v>
      </c>
      <c r="T146" s="419">
        <f t="shared" si="6"/>
        <v>-31.35</v>
      </c>
      <c r="U146" s="419">
        <f t="shared" si="6"/>
        <v>-30.69</v>
      </c>
      <c r="V146" s="419">
        <f t="shared" si="6"/>
        <v>-28.81</v>
      </c>
      <c r="W146" s="419">
        <f t="shared" si="6"/>
        <v>-28.3</v>
      </c>
      <c r="X146" s="419">
        <f t="shared" si="6"/>
        <v>-27.17</v>
      </c>
      <c r="Y146" s="419">
        <f t="shared" si="6"/>
        <v>-25.58</v>
      </c>
      <c r="Z146" s="419">
        <f t="shared" si="6"/>
        <v>-24.86</v>
      </c>
      <c r="AA146" s="419">
        <f t="shared" si="6"/>
        <v>-31.83</v>
      </c>
      <c r="AB146" s="419">
        <f t="shared" si="6"/>
        <v>-30.36</v>
      </c>
      <c r="AC146" s="419">
        <f t="shared" si="6"/>
        <v>-29.39</v>
      </c>
      <c r="AD146" s="419">
        <f t="shared" si="6"/>
        <v>-31.08</v>
      </c>
      <c r="AE146" s="419">
        <f t="shared" si="6"/>
        <v>-31.85</v>
      </c>
      <c r="AF146" s="419">
        <f t="shared" si="6"/>
        <v>-32.73</v>
      </c>
      <c r="AG146" s="419">
        <f t="shared" si="6"/>
        <v>-56.26</v>
      </c>
      <c r="AH146" s="419">
        <f t="shared" si="6"/>
        <v>-72.88</v>
      </c>
      <c r="AI146" s="419">
        <f t="shared" si="6"/>
        <v>-60.66</v>
      </c>
      <c r="AJ146" s="419">
        <f t="shared" si="6"/>
        <v>-57.6</v>
      </c>
      <c r="AK146" s="419">
        <f t="shared" si="6"/>
        <v>-69.47</v>
      </c>
      <c r="AL146" s="419">
        <f t="shared" si="6"/>
        <v>-61.9</v>
      </c>
      <c r="AM146" s="419">
        <f t="shared" si="6"/>
        <v>-73.87</v>
      </c>
      <c r="AN146" s="419">
        <f t="shared" si="6"/>
        <v>-75.17</v>
      </c>
      <c r="AO146" s="419">
        <f t="shared" si="6"/>
        <v>-76.47</v>
      </c>
      <c r="AP146" s="419">
        <f t="shared" si="6"/>
        <v>-77.77</v>
      </c>
      <c r="AQ146" s="419">
        <f t="shared" si="6"/>
        <v>-79.07</v>
      </c>
      <c r="AR146" s="419">
        <f t="shared" si="6"/>
        <v>-80.36999999999999</v>
      </c>
      <c r="AS146" s="419">
        <f t="shared" si="6"/>
        <v>-81.66999999999999</v>
      </c>
      <c r="AT146" s="419">
        <f t="shared" si="6"/>
        <v>-82.96999999999998</v>
      </c>
      <c r="AU146" s="419">
        <f t="shared" si="6"/>
        <v>-84.26999999999998</v>
      </c>
      <c r="AV146" s="419">
        <f t="shared" si="6"/>
        <v>-85.56999999999998</v>
      </c>
      <c r="AW146" s="287">
        <f t="shared" si="1"/>
        <v>0</v>
      </c>
    </row>
    <row r="147" ht="17.5" customHeight="1" spans="3:49" x14ac:dyDescent="0.25">
      <c r="C147" s="1335">
        <v>16</v>
      </c>
      <c r="D147" s="1348">
        <f>НАСТРОЙКА!CJ255</f>
        <v>0</v>
      </c>
      <c r="E147" s="1349" t="s">
        <v>2264</v>
      </c>
      <c r="F147" s="26" t="s">
        <v>866</v>
      </c>
      <c r="G147" s="287" t="s">
        <v>2265</v>
      </c>
      <c r="H147" s="287"/>
      <c r="I147" s="287"/>
      <c r="J147" s="287"/>
      <c r="K147" s="287"/>
      <c r="L147" s="287"/>
      <c r="M147" s="1362"/>
      <c r="N147" s="419">
        <f t="shared" si="3"/>
        <v>-20.24297403551173</v>
      </c>
      <c r="O147" s="419">
        <f t="shared" si="5"/>
        <v>-18.835168051381757</v>
      </c>
      <c r="P147" s="419">
        <f t="shared" si="6"/>
        <v>-12.43797555330274</v>
      </c>
      <c r="Q147" s="419">
        <f t="shared" si="6"/>
        <v>-17.480236139036442</v>
      </c>
      <c r="R147" s="419">
        <f t="shared" si="6"/>
        <v>-28.08056889912671</v>
      </c>
      <c r="S147" s="419">
        <f t="shared" si="6"/>
        <v>-24.17389322558217</v>
      </c>
      <c r="T147" s="419">
        <f t="shared" si="6"/>
        <v>-24.749537328180065</v>
      </c>
      <c r="U147" s="419">
        <f t="shared" si="6"/>
        <v>-28.649356854275144</v>
      </c>
      <c r="V147" s="419">
        <f t="shared" si="6"/>
        <v>-38.052202173165</v>
      </c>
      <c r="W147" s="419">
        <f t="shared" si="6"/>
        <v>-54.16466738640543</v>
      </c>
      <c r="X147" s="419">
        <f t="shared" si="6"/>
        <v>-65.16106430211082</v>
      </c>
      <c r="Y147" s="419">
        <f t="shared" si="6"/>
        <v>-72.45164253920463</v>
      </c>
      <c r="Z147" s="419">
        <f t="shared" si="6"/>
        <v>-97.44825205758075</v>
      </c>
      <c r="AA147" s="419">
        <f t="shared" si="6"/>
        <v>-61.62074235591916</v>
      </c>
      <c r="AB147" s="419">
        <f t="shared" si="6"/>
        <v>-79.33964185664384</v>
      </c>
      <c r="AC147" s="419">
        <f t="shared" si="6"/>
        <v>-110.73791387247641</v>
      </c>
      <c r="AD147" s="419">
        <f t="shared" si="6"/>
        <v>-111.13489749514156</v>
      </c>
      <c r="AE147" s="419">
        <f t="shared" si="6"/>
        <v>-108.52829366135887</v>
      </c>
      <c r="AF147" s="419">
        <f t="shared" si="6"/>
        <v>-98.62807082319623</v>
      </c>
      <c r="AG147" s="419">
        <f t="shared" si="6"/>
        <v>-52.12807082319621</v>
      </c>
      <c r="AH147" s="419">
        <f t="shared" si="6"/>
        <v>-43.73</v>
      </c>
      <c r="AI147" s="419">
        <f t="shared" si="6"/>
        <v>-54.73</v>
      </c>
      <c r="AJ147" s="419">
        <f t="shared" si="6"/>
        <v>-69.73</v>
      </c>
      <c r="AK147" s="419">
        <f t="shared" si="6"/>
        <v>-71.73</v>
      </c>
      <c r="AL147" s="419">
        <f t="shared" si="6"/>
        <v>-39.73</v>
      </c>
      <c r="AM147" s="419">
        <f t="shared" si="6"/>
        <v>-49.73</v>
      </c>
      <c r="AN147" s="419">
        <f t="shared" si="6"/>
        <v>-57.73</v>
      </c>
      <c r="AO147" s="419">
        <f t="shared" si="6"/>
        <v>-64.13000000000001</v>
      </c>
      <c r="AP147" s="419">
        <f t="shared" si="6"/>
        <v>-69.25000000000001</v>
      </c>
      <c r="AQ147" s="419">
        <f t="shared" si="6"/>
        <v>-73.34600000000002</v>
      </c>
      <c r="AR147" s="419">
        <f t="shared" si="6"/>
        <v>-76.62280000000003</v>
      </c>
      <c r="AS147" s="419">
        <f t="shared" si="6"/>
        <v>-79.24424000000003</v>
      </c>
      <c r="AT147" s="419">
        <f t="shared" si="6"/>
        <v>-81.34139200000004</v>
      </c>
      <c r="AU147" s="419">
        <f t="shared" si="6"/>
        <v>-83.01911360000005</v>
      </c>
      <c r="AV147" s="419">
        <f t="shared" si="6"/>
        <v>-84.36129088000007</v>
      </c>
      <c r="AW147" s="287" t="str">
        <f t="shared" si="1"/>
        <v>qX</v>
      </c>
    </row>
    <row r="148" ht="17.5" customHeight="1" spans="3:49" x14ac:dyDescent="0.25">
      <c r="C148" s="1335">
        <v>17</v>
      </c>
      <c r="D148" s="1348">
        <f>НАСТРОЙКА!CX296</f>
        <v>0</v>
      </c>
      <c r="E148" s="1349" t="s">
        <v>631</v>
      </c>
      <c r="F148" s="26" t="s">
        <v>866</v>
      </c>
      <c r="G148" s="287" t="s">
        <v>1588</v>
      </c>
      <c r="H148" s="287"/>
      <c r="I148" s="287"/>
      <c r="J148" s="287"/>
      <c r="K148" s="287"/>
      <c r="L148" s="287"/>
      <c r="M148" s="1371"/>
      <c r="N148" s="419">
        <f t="shared" si="3"/>
        <v>1.3189257552818991</v>
      </c>
      <c r="O148" s="419">
        <f t="shared" si="5"/>
        <v>1.517071107364595</v>
      </c>
      <c r="P148" s="419">
        <f t="shared" si="6"/>
        <v>2.220359861827969</v>
      </c>
      <c r="Q148" s="419">
        <f t="shared" si="6"/>
        <v>4.486177066207388</v>
      </c>
      <c r="R148" s="419">
        <f t="shared" si="6"/>
        <v>4.871703916899405</v>
      </c>
      <c r="S148" s="419">
        <f t="shared" si="6"/>
        <v>6.038978498350464</v>
      </c>
      <c r="T148" s="419">
        <f t="shared" si="6"/>
        <v>6.842708357675727</v>
      </c>
      <c r="U148" s="419">
        <f t="shared" si="6"/>
        <v>7.616104211007145</v>
      </c>
      <c r="V148" s="419">
        <f t="shared" si="6"/>
        <v>8.796445207472214</v>
      </c>
      <c r="W148" s="419">
        <f t="shared" si="6"/>
        <v>9.812333196860434</v>
      </c>
      <c r="X148" s="419">
        <f t="shared" si="6"/>
        <v>10.970771455402732</v>
      </c>
      <c r="Y148" s="419">
        <f t="shared" si="6"/>
        <v>12.708456854617248</v>
      </c>
      <c r="Z148" s="419">
        <f t="shared" si="6"/>
        <v>15.114935165326688</v>
      </c>
      <c r="AA148" s="419">
        <f t="shared" si="6"/>
        <v>18.003816516799947</v>
      </c>
      <c r="AB148" s="419">
        <f t="shared" si="6"/>
        <v>19.959709627252142</v>
      </c>
      <c r="AC148" s="419">
        <f t="shared" si="6"/>
        <v>22.023855590098876</v>
      </c>
      <c r="AD148" s="419">
        <f t="shared" si="6"/>
        <v>23.637963757457737</v>
      </c>
      <c r="AE148" s="419">
        <f t="shared" si="6"/>
        <v>24.880659756969415</v>
      </c>
      <c r="AF148" s="419">
        <f t="shared" si="6"/>
        <v>25.835931037588168</v>
      </c>
      <c r="AG148" s="419">
        <f t="shared" si="6"/>
        <v>30.00836370106063</v>
      </c>
      <c r="AH148" s="419">
        <f t="shared" si="6"/>
        <v>32.878530768054716</v>
      </c>
      <c r="AI148" s="419">
        <f t="shared" si="6"/>
        <v>35.69663965047301</v>
      </c>
      <c r="AJ148" s="419">
        <f t="shared" si="6"/>
        <v>38.44722474207407</v>
      </c>
      <c r="AK148" s="419">
        <f t="shared" si="6"/>
        <v>41.04639233085066</v>
      </c>
      <c r="AL148" s="419">
        <f t="shared" si="6"/>
        <v>43.430125681753246</v>
      </c>
      <c r="AM148" s="419">
        <f t="shared" si="6"/>
        <v>45.9568180787725</v>
      </c>
      <c r="AN148" s="419">
        <f t="shared" si="6"/>
        <v>48.188705691053926</v>
      </c>
      <c r="AO148" s="419">
        <f t="shared" si="6"/>
        <v>50.532164808514906</v>
      </c>
      <c r="AP148" s="419">
        <f t="shared" si="6"/>
        <v>52.99278315658824</v>
      </c>
      <c r="AQ148" s="419">
        <f t="shared" si="6"/>
        <v>55.57642418690882</v>
      </c>
      <c r="AR148" s="419">
        <f t="shared" si="6"/>
        <v>58.289242327651564</v>
      </c>
      <c r="AS148" s="419">
        <f t="shared" si="6"/>
        <v>60.56800798472545</v>
      </c>
      <c r="AT148" s="419">
        <f t="shared" ref="P148:AV156" si="7">AT20-AT84</f>
        <v>62.93792252881724</v>
      </c>
      <c r="AU148" s="419">
        <f t="shared" si="7"/>
        <v>65.4026326111137</v>
      </c>
      <c r="AV148" s="419">
        <f t="shared" si="7"/>
        <v>67.96593047056658</v>
      </c>
      <c r="AW148" s="287" t="str">
        <f t="shared" si="1"/>
        <v>Dk</v>
      </c>
    </row>
    <row r="149" ht="17.5" customHeight="1" spans="3:49" x14ac:dyDescent="0.25">
      <c r="C149" s="1335">
        <v>18</v>
      </c>
      <c r="D149" s="1348">
        <f>НАСТРОЙКА!BX296</f>
        <v>0</v>
      </c>
      <c r="E149" s="1349" t="s">
        <v>387</v>
      </c>
      <c r="F149" s="26" t="s">
        <v>866</v>
      </c>
      <c r="G149" s="287" t="s">
        <v>1036</v>
      </c>
      <c r="H149" s="287"/>
      <c r="I149" s="287"/>
      <c r="J149" s="287"/>
      <c r="K149" s="287"/>
      <c r="L149" s="287"/>
      <c r="M149" s="1527"/>
      <c r="N149" s="419">
        <f t="shared" si="3"/>
        <v>0</v>
      </c>
      <c r="O149" s="419">
        <f t="shared" si="5"/>
        <v>0</v>
      </c>
      <c r="P149" s="419">
        <f t="shared" si="7"/>
        <v>0</v>
      </c>
      <c r="Q149" s="419">
        <f t="shared" si="7"/>
        <v>0</v>
      </c>
      <c r="R149" s="419">
        <f t="shared" si="7"/>
        <v>0</v>
      </c>
      <c r="S149" s="419">
        <f t="shared" si="7"/>
        <v>0</v>
      </c>
      <c r="T149" s="419">
        <f t="shared" si="7"/>
        <v>0</v>
      </c>
      <c r="U149" s="419">
        <f t="shared" si="7"/>
        <v>0</v>
      </c>
      <c r="V149" s="419">
        <f t="shared" si="7"/>
        <v>0</v>
      </c>
      <c r="W149" s="419">
        <f t="shared" si="7"/>
        <v>0</v>
      </c>
      <c r="X149" s="419">
        <f t="shared" si="7"/>
        <v>0</v>
      </c>
      <c r="Y149" s="419">
        <f t="shared" si="7"/>
        <v>0</v>
      </c>
      <c r="Z149" s="419">
        <f t="shared" si="7"/>
        <v>0</v>
      </c>
      <c r="AA149" s="419">
        <f t="shared" si="7"/>
        <v>0</v>
      </c>
      <c r="AB149" s="419">
        <f t="shared" si="7"/>
        <v>0</v>
      </c>
      <c r="AC149" s="419">
        <f t="shared" si="7"/>
        <v>-1.5931637862977333</v>
      </c>
      <c r="AD149" s="419">
        <f t="shared" si="7"/>
        <v>-1.8516211830357534</v>
      </c>
      <c r="AE149" s="419">
        <f t="shared" si="7"/>
        <v>-1.8879178593198311</v>
      </c>
      <c r="AF149" s="419">
        <f t="shared" si="7"/>
        <v>-1.7764137430191234</v>
      </c>
      <c r="AG149" s="419">
        <f t="shared" si="7"/>
        <v>-2.054376998430069</v>
      </c>
      <c r="AH149" s="419">
        <f t="shared" si="7"/>
        <v>-1.5682972080181656</v>
      </c>
      <c r="AI149" s="419">
        <f t="shared" si="7"/>
        <v>-0.19291952601455264</v>
      </c>
      <c r="AJ149" s="419">
        <f t="shared" si="7"/>
        <v>0.9813738180009075</v>
      </c>
      <c r="AK149" s="419">
        <f t="shared" si="7"/>
        <v>1.8979323687262841</v>
      </c>
      <c r="AL149" s="419">
        <f t="shared" si="7"/>
        <v>2.7845919086253197</v>
      </c>
      <c r="AM149" s="419">
        <f t="shared" si="7"/>
        <v>2.6209515347265295</v>
      </c>
      <c r="AN149" s="419">
        <f t="shared" si="7"/>
        <v>2.6944891114628575</v>
      </c>
      <c r="AO149" s="419">
        <f t="shared" si="7"/>
        <v>2.771703567036006</v>
      </c>
      <c r="AP149" s="419">
        <f t="shared" si="7"/>
        <v>2.852778745387802</v>
      </c>
      <c r="AQ149" s="419">
        <f t="shared" si="7"/>
        <v>2.9379076826571904</v>
      </c>
      <c r="AR149" s="419">
        <f t="shared" si="7"/>
        <v>3.027293066790044</v>
      </c>
      <c r="AS149" s="419">
        <f t="shared" si="7"/>
        <v>2.70021929855983</v>
      </c>
      <c r="AT149" s="419">
        <f t="shared" si="7"/>
        <v>2.3399547050552982</v>
      </c>
      <c r="AU149" s="419">
        <f t="shared" si="7"/>
        <v>1.9441662595382567</v>
      </c>
      <c r="AV149" s="419">
        <f t="shared" si="7"/>
        <v>1.5103773445145734</v>
      </c>
      <c r="AW149" s="287" t="str">
        <f t="shared" si="1"/>
        <v>Dd</v>
      </c>
    </row>
    <row r="150" ht="17.5" customHeight="1" spans="3:49" x14ac:dyDescent="0.25">
      <c r="C150" s="1335">
        <v>19</v>
      </c>
      <c r="D150" s="1348">
        <f>НАСТРОЙКА!BX296</f>
        <v>0</v>
      </c>
      <c r="E150" s="1349" t="s">
        <v>636</v>
      </c>
      <c r="F150" s="26" t="s">
        <v>866</v>
      </c>
      <c r="G150" s="287" t="s">
        <v>1038</v>
      </c>
      <c r="H150" s="287"/>
      <c r="I150" s="287"/>
      <c r="J150" s="287"/>
      <c r="K150" s="287"/>
      <c r="L150" s="287"/>
      <c r="M150" s="1527"/>
      <c r="N150" s="419">
        <f t="shared" si="3"/>
        <v>-0.13566755860846236</v>
      </c>
      <c r="O150" s="419">
        <f t="shared" si="5"/>
        <v>-0.262958865742146</v>
      </c>
      <c r="P150" s="419">
        <f t="shared" si="7"/>
        <v>-0.13632778055483175</v>
      </c>
      <c r="Q150" s="419">
        <f t="shared" si="7"/>
        <v>0.18959427897775072</v>
      </c>
      <c r="R150" s="419">
        <f t="shared" si="7"/>
        <v>-0.4104307171657684</v>
      </c>
      <c r="S150" s="419">
        <f t="shared" si="7"/>
        <v>-0.5453517100830219</v>
      </c>
      <c r="T150" s="419">
        <f t="shared" si="7"/>
        <v>-1.1610010388555194</v>
      </c>
      <c r="U150" s="419">
        <f t="shared" si="7"/>
        <v>-1.5051453251271534</v>
      </c>
      <c r="V150" s="419">
        <f t="shared" si="7"/>
        <v>-2.0729793924791426</v>
      </c>
      <c r="W150" s="419">
        <f t="shared" si="7"/>
        <v>-3.3178155975604255</v>
      </c>
      <c r="X150" s="419">
        <f t="shared" si="7"/>
        <v>-5.253695325551851</v>
      </c>
      <c r="Y150" s="419">
        <f t="shared" si="7"/>
        <v>-7.517205348978189</v>
      </c>
      <c r="Z150" s="419">
        <f t="shared" si="7"/>
        <v>-10.31666900354085</v>
      </c>
      <c r="AA150" s="419">
        <f t="shared" si="7"/>
        <v>-4.814430201902898</v>
      </c>
      <c r="AB150" s="419">
        <f t="shared" si="7"/>
        <v>-8.356053610923574</v>
      </c>
      <c r="AC150" s="419">
        <f t="shared" si="7"/>
        <v>-13.698313944678155</v>
      </c>
      <c r="AD150" s="419">
        <f t="shared" si="7"/>
        <v>-16.34453322126682</v>
      </c>
      <c r="AE150" s="419">
        <f t="shared" si="7"/>
        <v>-18.63758621327251</v>
      </c>
      <c r="AF150" s="419">
        <f t="shared" si="7"/>
        <v>-16.962329599836846</v>
      </c>
      <c r="AG150" s="419">
        <f t="shared" si="7"/>
        <v>-19.34474977239534</v>
      </c>
      <c r="AH150" s="419">
        <f t="shared" si="7"/>
        <v>-22.823981525976627</v>
      </c>
      <c r="AI150" s="419">
        <f t="shared" si="7"/>
        <v>-22.257837972905143</v>
      </c>
      <c r="AJ150" s="419">
        <f t="shared" si="7"/>
        <v>-24.133211219177685</v>
      </c>
      <c r="AK150" s="419">
        <f t="shared" si="7"/>
        <v>-23.152630441699362</v>
      </c>
      <c r="AL150" s="419">
        <f t="shared" si="7"/>
        <v>-24.26822766579222</v>
      </c>
      <c r="AM150" s="419">
        <f t="shared" si="7"/>
        <v>-25.474724018411884</v>
      </c>
      <c r="AN150" s="419">
        <f t="shared" si="7"/>
        <v>-27.05268521933248</v>
      </c>
      <c r="AO150" s="419">
        <f t="shared" si="7"/>
        <v>-28.7095444802991</v>
      </c>
      <c r="AP150" s="419">
        <f t="shared" si="7"/>
        <v>-30.449246704314064</v>
      </c>
      <c r="AQ150" s="419">
        <f t="shared" si="7"/>
        <v>-32.275934039529766</v>
      </c>
      <c r="AR150" s="419">
        <f t="shared" si="7"/>
        <v>-34.19395574150626</v>
      </c>
      <c r="AS150" s="419">
        <f t="shared" si="7"/>
        <v>-36.628806950151294</v>
      </c>
      <c r="AT150" s="419">
        <f t="shared" si="7"/>
        <v>-39.20223785609139</v>
      </c>
      <c r="AU150" s="419">
        <f t="shared" si="7"/>
        <v>-41.921850929665766</v>
      </c>
      <c r="AV150" s="419">
        <f t="shared" si="7"/>
        <v>-44.79565570414965</v>
      </c>
      <c r="AW150" s="287" t="str">
        <f t="shared" si="1"/>
        <v>Dg</v>
      </c>
    </row>
    <row r="151" ht="17.5" customHeight="1" spans="3:49" x14ac:dyDescent="0.25">
      <c r="C151" s="1335">
        <v>20</v>
      </c>
      <c r="D151" s="1348">
        <f>НАСТРОЙКА!BX296</f>
        <v>0</v>
      </c>
      <c r="E151" s="1349" t="s">
        <v>638</v>
      </c>
      <c r="F151" s="26" t="s">
        <v>866</v>
      </c>
      <c r="G151" s="287" t="s">
        <v>1589</v>
      </c>
      <c r="H151" s="287"/>
      <c r="I151" s="287"/>
      <c r="J151" s="287"/>
      <c r="K151" s="287"/>
      <c r="L151" s="287"/>
      <c r="M151" s="1527"/>
      <c r="N151" s="419">
        <f t="shared" si="3"/>
        <v>0</v>
      </c>
      <c r="O151" s="419">
        <f t="shared" si="5"/>
        <v>0</v>
      </c>
      <c r="P151" s="419">
        <f t="shared" si="7"/>
        <v>0</v>
      </c>
      <c r="Q151" s="419">
        <f t="shared" si="7"/>
        <v>0</v>
      </c>
      <c r="R151" s="419">
        <f t="shared" si="7"/>
        <v>0</v>
      </c>
      <c r="S151" s="419">
        <f t="shared" si="7"/>
        <v>0</v>
      </c>
      <c r="T151" s="419">
        <f t="shared" si="7"/>
        <v>0</v>
      </c>
      <c r="U151" s="419">
        <f t="shared" si="7"/>
        <v>0</v>
      </c>
      <c r="V151" s="419">
        <f t="shared" si="7"/>
        <v>0</v>
      </c>
      <c r="W151" s="419">
        <f t="shared" si="7"/>
        <v>0</v>
      </c>
      <c r="X151" s="419">
        <f t="shared" si="7"/>
        <v>0</v>
      </c>
      <c r="Y151" s="419">
        <f t="shared" si="7"/>
        <v>0</v>
      </c>
      <c r="Z151" s="419">
        <f t="shared" si="7"/>
        <v>0</v>
      </c>
      <c r="AA151" s="419">
        <f t="shared" si="7"/>
        <v>0</v>
      </c>
      <c r="AB151" s="419">
        <f t="shared" si="7"/>
        <v>0</v>
      </c>
      <c r="AC151" s="419">
        <f t="shared" si="7"/>
        <v>0.5558385173209803</v>
      </c>
      <c r="AD151" s="419">
        <f t="shared" si="7"/>
        <v>0.6082130317666365</v>
      </c>
      <c r="AE151" s="419">
        <f t="shared" si="7"/>
        <v>0.6322633914911577</v>
      </c>
      <c r="AF151" s="419">
        <f t="shared" si="7"/>
        <v>-0.14585478142060637</v>
      </c>
      <c r="AG151" s="419">
        <f t="shared" si="7"/>
        <v>0.4647212431973351</v>
      </c>
      <c r="AH151" s="419">
        <f t="shared" si="7"/>
        <v>0.8704197691407245</v>
      </c>
      <c r="AI151" s="419">
        <f t="shared" si="7"/>
        <v>0.7558007883449989</v>
      </c>
      <c r="AJ151" s="419">
        <f t="shared" si="7"/>
        <v>0.6663657527740057</v>
      </c>
      <c r="AK151" s="419">
        <f t="shared" si="7"/>
        <v>1.5258334433898995</v>
      </c>
      <c r="AL151" s="419">
        <f t="shared" si="7"/>
        <v>2.1509065806696235</v>
      </c>
      <c r="AM151" s="419">
        <f t="shared" si="7"/>
        <v>2.8035434876130445</v>
      </c>
      <c r="AN151" s="419">
        <f t="shared" si="7"/>
        <v>3.1675556619936955</v>
      </c>
      <c r="AO151" s="419">
        <f t="shared" si="7"/>
        <v>3.5497684450933775</v>
      </c>
      <c r="AP151" s="419">
        <f t="shared" si="7"/>
        <v>3.9510918673480475</v>
      </c>
      <c r="AQ151" s="419">
        <f t="shared" si="7"/>
        <v>4.3724814607154485</v>
      </c>
      <c r="AR151" s="419">
        <f t="shared" si="7"/>
        <v>4.814940533751219</v>
      </c>
      <c r="AS151" s="419">
        <f t="shared" si="7"/>
        <v>4.844907882387389</v>
      </c>
      <c r="AT151" s="419">
        <f t="shared" si="7"/>
        <v>4.8589890113333</v>
      </c>
      <c r="AU151" s="419">
        <f t="shared" si="7"/>
        <v>4.855694226119574</v>
      </c>
      <c r="AV151" s="419">
        <f t="shared" si="7"/>
        <v>4.83343153221395</v>
      </c>
      <c r="AW151" s="287" t="str">
        <f t="shared" si="1"/>
        <v>Dnk</v>
      </c>
    </row>
    <row r="152" ht="17.5" customHeight="1" spans="3:49" x14ac:dyDescent="0.25">
      <c r="C152" s="1335">
        <v>21</v>
      </c>
      <c r="D152" s="1348">
        <f>НАСТРОЙКА!AD296</f>
        <v>0</v>
      </c>
      <c r="E152" s="1349" t="s">
        <v>640</v>
      </c>
      <c r="F152" s="26" t="s">
        <v>866</v>
      </c>
      <c r="G152" s="287" t="s">
        <v>1590</v>
      </c>
      <c r="H152" s="287"/>
      <c r="I152" s="287"/>
      <c r="J152" s="287"/>
      <c r="K152" s="287"/>
      <c r="L152" s="287"/>
      <c r="M152" s="1371"/>
      <c r="N152" s="419">
        <f t="shared" si="3"/>
        <v>0.20027004746537158</v>
      </c>
      <c r="O152" s="419">
        <f t="shared" si="5"/>
        <v>0.3436657583578946</v>
      </c>
      <c r="P152" s="419">
        <f t="shared" si="7"/>
        <v>0.86312561883619</v>
      </c>
      <c r="Q152" s="419">
        <f t="shared" si="7"/>
        <v>3.2717512782434754</v>
      </c>
      <c r="R152" s="419">
        <f t="shared" si="7"/>
        <v>5.003488875041071</v>
      </c>
      <c r="S152" s="419">
        <f t="shared" si="7"/>
        <v>4.886777283746651</v>
      </c>
      <c r="T152" s="419">
        <f t="shared" si="7"/>
        <v>5.161631597504037</v>
      </c>
      <c r="U152" s="419">
        <f t="shared" si="7"/>
        <v>5.682219397810089</v>
      </c>
      <c r="V152" s="419">
        <f t="shared" si="7"/>
        <v>6.642051376558926</v>
      </c>
      <c r="W152" s="419">
        <f t="shared" si="7"/>
        <v>8.464735253595782</v>
      </c>
      <c r="X152" s="419">
        <f t="shared" si="7"/>
        <v>9.512402184752709</v>
      </c>
      <c r="Y152" s="419">
        <f t="shared" si="7"/>
        <v>9.893368251788377</v>
      </c>
      <c r="Z152" s="419">
        <f t="shared" si="7"/>
        <v>12.896464767764815</v>
      </c>
      <c r="AA152" s="419">
        <f t="shared" si="7"/>
        <v>11.323243008360425</v>
      </c>
      <c r="AB152" s="419">
        <f t="shared" si="7"/>
        <v>13.323070930251227</v>
      </c>
      <c r="AC152" s="419">
        <f t="shared" si="7"/>
        <v>16.83610953277974</v>
      </c>
      <c r="AD152" s="419">
        <f t="shared" si="7"/>
        <v>18.106566128057608</v>
      </c>
      <c r="AE152" s="419">
        <f t="shared" si="7"/>
        <v>17.855426195361634</v>
      </c>
      <c r="AF152" s="419">
        <f t="shared" si="7"/>
        <v>20.309110667394968</v>
      </c>
      <c r="AG152" s="419">
        <f t="shared" si="7"/>
        <v>19.272063501340355</v>
      </c>
      <c r="AH152" s="419">
        <f t="shared" si="7"/>
        <v>20.83484557540654</v>
      </c>
      <c r="AI152" s="419">
        <f t="shared" si="7"/>
        <v>22.38499474274396</v>
      </c>
      <c r="AJ152" s="419">
        <f t="shared" si="7"/>
        <v>24.561732376054657</v>
      </c>
      <c r="AK152" s="419">
        <f t="shared" si="7"/>
        <v>26.097108409186827</v>
      </c>
      <c r="AL152" s="419">
        <f t="shared" si="7"/>
        <v>27.487987138696678</v>
      </c>
      <c r="AM152" s="419">
        <f t="shared" si="7"/>
        <v>28.935998749505746</v>
      </c>
      <c r="AN152" s="419">
        <f t="shared" si="7"/>
        <v>30.205996793810005</v>
      </c>
      <c r="AO152" s="419">
        <f t="shared" si="7"/>
        <v>31.52387214230183</v>
      </c>
      <c r="AP152" s="419">
        <f t="shared" si="7"/>
        <v>32.89548779009198</v>
      </c>
      <c r="AQ152" s="419">
        <f t="shared" si="7"/>
        <v>34.32628882555169</v>
      </c>
      <c r="AR152" s="419">
        <f t="shared" si="7"/>
        <v>35.82142460780043</v>
      </c>
      <c r="AS152" s="419">
        <f t="shared" si="7"/>
        <v>37.07410588667761</v>
      </c>
      <c r="AT152" s="419">
        <f t="shared" si="7"/>
        <v>38.37285718940065</v>
      </c>
      <c r="AU152" s="419">
        <f t="shared" si="7"/>
        <v>39.720568749975264</v>
      </c>
      <c r="AV152" s="419">
        <f t="shared" si="7"/>
        <v>41.1200249257775</v>
      </c>
      <c r="AW152" s="287" t="str">
        <f t="shared" si="1"/>
        <v>De</v>
      </c>
    </row>
    <row r="153" ht="17.5" customHeight="1" spans="3:49" x14ac:dyDescent="0.25">
      <c r="C153" s="1335">
        <v>22</v>
      </c>
      <c r="D153" s="1348">
        <f>НАСТРОЙКА!AD296</f>
        <v>0</v>
      </c>
      <c r="E153" s="1349" t="s">
        <v>390</v>
      </c>
      <c r="F153" s="26" t="s">
        <v>866</v>
      </c>
      <c r="G153" s="287" t="s">
        <v>1051</v>
      </c>
      <c r="H153" s="287"/>
      <c r="I153" s="287"/>
      <c r="J153" s="287"/>
      <c r="K153" s="287"/>
      <c r="L153" s="287"/>
      <c r="M153" s="1371"/>
      <c r="N153" s="419">
        <f t="shared" si="3"/>
        <v>0.024359452216353272</v>
      </c>
      <c r="O153" s="419">
        <f t="shared" si="5"/>
        <v>0.1513942585308905</v>
      </c>
      <c r="P153" s="419">
        <f t="shared" si="7"/>
        <v>0.3018675028429594</v>
      </c>
      <c r="Q153" s="419">
        <f t="shared" si="7"/>
        <v>0.5106538011030413</v>
      </c>
      <c r="R153" s="419">
        <f t="shared" si="7"/>
        <v>-0.28105940528286943</v>
      </c>
      <c r="S153" s="419">
        <f t="shared" si="7"/>
        <v>-0.07275386803734474</v>
      </c>
      <c r="T153" s="419">
        <f t="shared" si="7"/>
        <v>0.10654907489376164</v>
      </c>
      <c r="U153" s="419">
        <f t="shared" si="7"/>
        <v>-0.3128258029698454</v>
      </c>
      <c r="V153" s="419">
        <f t="shared" si="7"/>
        <v>-1.2142949983021136</v>
      </c>
      <c r="W153" s="419">
        <f t="shared" si="7"/>
        <v>-2.086655307398453</v>
      </c>
      <c r="X153" s="419">
        <f t="shared" si="7"/>
        <v>-2.628296065840077</v>
      </c>
      <c r="Y153" s="419">
        <f t="shared" si="7"/>
        <v>-2.588731340252388</v>
      </c>
      <c r="Z153" s="419">
        <f t="shared" si="7"/>
        <v>-3.742854763201593</v>
      </c>
      <c r="AA153" s="419">
        <f t="shared" si="7"/>
        <v>-2.383589805376605</v>
      </c>
      <c r="AB153" s="419">
        <f t="shared" si="7"/>
        <v>-4.255172834101572</v>
      </c>
      <c r="AC153" s="419">
        <f t="shared" si="7"/>
        <v>-6.497808950636163</v>
      </c>
      <c r="AD153" s="419">
        <f t="shared" si="7"/>
        <v>-6.893908211665279</v>
      </c>
      <c r="AE153" s="419">
        <f t="shared" si="7"/>
        <v>-6.418560949006183</v>
      </c>
      <c r="AF153" s="419">
        <f t="shared" si="7"/>
        <v>-8.577683579252067</v>
      </c>
      <c r="AG153" s="419">
        <f t="shared" si="7"/>
        <v>-12.26965746846527</v>
      </c>
      <c r="AH153" s="419">
        <f t="shared" si="7"/>
        <v>-10.329235886660733</v>
      </c>
      <c r="AI153" s="419">
        <f t="shared" si="7"/>
        <v>-8.593301778549788</v>
      </c>
      <c r="AJ153" s="419">
        <f t="shared" si="7"/>
        <v>-12.915825999641669</v>
      </c>
      <c r="AK153" s="419">
        <f t="shared" si="7"/>
        <v>-11.406865624341023</v>
      </c>
      <c r="AL153" s="419">
        <f t="shared" si="7"/>
        <v>-12.64889236982933</v>
      </c>
      <c r="AM153" s="419">
        <f t="shared" si="7"/>
        <v>-14.065266885660836</v>
      </c>
      <c r="AN153" s="419">
        <f t="shared" si="7"/>
        <v>-15.733267353046198</v>
      </c>
      <c r="AO153" s="419">
        <f t="shared" si="7"/>
        <v>-17.580837023918818</v>
      </c>
      <c r="AP153" s="419">
        <f t="shared" si="7"/>
        <v>-19.62557144941515</v>
      </c>
      <c r="AQ153" s="419">
        <f t="shared" si="7"/>
        <v>-21.886829210052095</v>
      </c>
      <c r="AR153" s="419">
        <f t="shared" si="7"/>
        <v>-24.385910600507916</v>
      </c>
      <c r="AS153" s="419">
        <f t="shared" si="7"/>
        <v>-27.271331705597596</v>
      </c>
      <c r="AT153" s="419">
        <f t="shared" si="7"/>
        <v>-30.455066788805166</v>
      </c>
      <c r="AU153" s="419">
        <f t="shared" si="7"/>
        <v>-33.9662680056868</v>
      </c>
      <c r="AV153" s="419">
        <f t="shared" si="7"/>
        <v>-37.83699184866539</v>
      </c>
      <c r="AW153" s="287" t="str">
        <f t="shared" si="1"/>
        <v>Dm</v>
      </c>
    </row>
    <row r="154" ht="17.5" customHeight="1" spans="3:49" x14ac:dyDescent="0.25">
      <c r="C154" s="1335">
        <v>23</v>
      </c>
      <c r="D154" s="1348">
        <f>НАСТРОЙКА!CX296</f>
        <v>0</v>
      </c>
      <c r="E154" s="1349" t="s">
        <v>644</v>
      </c>
      <c r="F154" s="26" t="s">
        <v>866</v>
      </c>
      <c r="G154" s="287" t="s">
        <v>1591</v>
      </c>
      <c r="H154" s="287"/>
      <c r="I154" s="287"/>
      <c r="J154" s="287"/>
      <c r="K154" s="287"/>
      <c r="L154" s="287"/>
      <c r="M154" s="1371"/>
      <c r="N154" s="419">
        <f t="shared" si="3"/>
        <v>1.7194377618988257</v>
      </c>
      <c r="O154" s="419">
        <f t="shared" si="5"/>
        <v>1.9680277801214476</v>
      </c>
      <c r="P154" s="419">
        <f t="shared" si="7"/>
        <v>2.2270348811115843</v>
      </c>
      <c r="Q154" s="419">
        <f t="shared" si="7"/>
        <v>3.493098424873764</v>
      </c>
      <c r="R154" s="419">
        <f t="shared" si="7"/>
        <v>5.171262749607017</v>
      </c>
      <c r="S154" s="419">
        <f t="shared" si="7"/>
        <v>6.070726846853919</v>
      </c>
      <c r="T154" s="419">
        <f t="shared" si="7"/>
        <v>6.916750986271128</v>
      </c>
      <c r="U154" s="419">
        <f t="shared" si="7"/>
        <v>7.6273689193439225</v>
      </c>
      <c r="V154" s="419">
        <f t="shared" si="7"/>
        <v>8.79041331779647</v>
      </c>
      <c r="W154" s="419">
        <f t="shared" si="7"/>
        <v>10.054085870175701</v>
      </c>
      <c r="X154" s="419">
        <f t="shared" si="7"/>
        <v>11.28478682823815</v>
      </c>
      <c r="Y154" s="419">
        <f t="shared" si="7"/>
        <v>13.059083510568804</v>
      </c>
      <c r="Z154" s="419">
        <f t="shared" si="7"/>
        <v>15.593657080025292</v>
      </c>
      <c r="AA154" s="419">
        <f t="shared" si="7"/>
        <v>16.373566297801105</v>
      </c>
      <c r="AB154" s="419">
        <f t="shared" si="7"/>
        <v>17.674409856030426</v>
      </c>
      <c r="AC154" s="419">
        <f t="shared" si="7"/>
        <v>19.234650102023785</v>
      </c>
      <c r="AD154" s="419">
        <f t="shared" si="7"/>
        <v>20.54018400828119</v>
      </c>
      <c r="AE154" s="419">
        <f t="shared" si="7"/>
        <v>21.776163164959733</v>
      </c>
      <c r="AF154" s="419">
        <f t="shared" si="7"/>
        <v>22.509390886207097</v>
      </c>
      <c r="AG154" s="419">
        <f t="shared" si="7"/>
        <v>25.752095588703153</v>
      </c>
      <c r="AH154" s="419">
        <f t="shared" si="7"/>
        <v>28.05023514757347</v>
      </c>
      <c r="AI154" s="419">
        <f t="shared" si="7"/>
        <v>30.325393310855084</v>
      </c>
      <c r="AJ154" s="419">
        <f t="shared" si="7"/>
        <v>32.52976877572349</v>
      </c>
      <c r="AK154" s="419">
        <f t="shared" si="7"/>
        <v>34.61290359002413</v>
      </c>
      <c r="AL154" s="419">
        <f t="shared" si="7"/>
        <v>36.52343580542558</v>
      </c>
      <c r="AM154" s="419">
        <f t="shared" si="7"/>
        <v>38.548599953751115</v>
      </c>
      <c r="AN154" s="419">
        <f t="shared" si="7"/>
        <v>40.33749495143867</v>
      </c>
      <c r="AO154" s="419">
        <f t="shared" si="7"/>
        <v>42.21583469901061</v>
      </c>
      <c r="AP154" s="419">
        <f t="shared" si="7"/>
        <v>44.18809143396114</v>
      </c>
      <c r="AQ154" s="419">
        <f t="shared" si="7"/>
        <v>46.258961005659195</v>
      </c>
      <c r="AR154" s="419">
        <f t="shared" si="7"/>
        <v>48.43337405594215</v>
      </c>
      <c r="AS154" s="419">
        <f t="shared" si="7"/>
        <v>50.25988101817984</v>
      </c>
      <c r="AT154" s="419">
        <f t="shared" si="7"/>
        <v>52.159448258907034</v>
      </c>
      <c r="AU154" s="419">
        <f t="shared" si="7"/>
        <v>54.13499818926332</v>
      </c>
      <c r="AV154" s="419">
        <f t="shared" si="7"/>
        <v>56.189570116833856</v>
      </c>
      <c r="AW154" s="287" t="str">
        <f t="shared" si="1"/>
        <v>Dn</v>
      </c>
    </row>
    <row r="155" ht="17.5" customHeight="1" spans="3:49" x14ac:dyDescent="0.25">
      <c r="C155" s="1335">
        <v>24</v>
      </c>
      <c r="D155" s="1348">
        <f>НАСТРОЙКА!BA296</f>
        <v>0</v>
      </c>
      <c r="E155" s="1349" t="s">
        <v>646</v>
      </c>
      <c r="F155" s="26" t="s">
        <v>866</v>
      </c>
      <c r="G155" s="287" t="s">
        <v>1047</v>
      </c>
      <c r="H155" s="287"/>
      <c r="I155" s="287"/>
      <c r="J155" s="287"/>
      <c r="K155" s="287"/>
      <c r="L155" s="287"/>
      <c r="M155" s="1371"/>
      <c r="N155" s="419">
        <f t="shared" si="3"/>
        <v>0.7467257253728408</v>
      </c>
      <c r="O155" s="419">
        <f t="shared" si="5"/>
        <v>0.5485541093610151</v>
      </c>
      <c r="P155" s="419">
        <f t="shared" si="7"/>
        <v>0.45659009759161195</v>
      </c>
      <c r="Q155" s="419">
        <f t="shared" si="7"/>
        <v>-0.7919341018514889</v>
      </c>
      <c r="R155" s="419">
        <f t="shared" si="7"/>
        <v>-1.8765109125595276</v>
      </c>
      <c r="S155" s="419">
        <f t="shared" si="7"/>
        <v>-2.2860485661611616</v>
      </c>
      <c r="T155" s="419">
        <f t="shared" si="7"/>
        <v>-2.3939477964783356</v>
      </c>
      <c r="U155" s="419">
        <f t="shared" si="7"/>
        <v>-2.0847308066575385</v>
      </c>
      <c r="V155" s="419">
        <f t="shared" si="7"/>
        <v>-2.517561101691623</v>
      </c>
      <c r="W155" s="419">
        <f t="shared" si="7"/>
        <v>-2.7296461120554554</v>
      </c>
      <c r="X155" s="419">
        <f t="shared" si="7"/>
        <v>-3.098590111700153</v>
      </c>
      <c r="Y155" s="419">
        <f t="shared" si="7"/>
        <v>-2.9618428405012054</v>
      </c>
      <c r="Z155" s="419">
        <f t="shared" si="7"/>
        <v>-3.5788187033481407</v>
      </c>
      <c r="AA155" s="419">
        <f t="shared" si="7"/>
        <v>-3.502736822947737</v>
      </c>
      <c r="AB155" s="419">
        <f t="shared" si="7"/>
        <v>-3.526102704476971</v>
      </c>
      <c r="AC155" s="419">
        <f t="shared" si="7"/>
        <v>-3.4675962383017698</v>
      </c>
      <c r="AD155" s="419">
        <f t="shared" si="7"/>
        <v>-3.5660995449520705</v>
      </c>
      <c r="AE155" s="419">
        <f t="shared" si="7"/>
        <v>-3.8230665888510273</v>
      </c>
      <c r="AF155" s="419">
        <f t="shared" si="7"/>
        <v>-3.87867979493911</v>
      </c>
      <c r="AG155" s="419">
        <f t="shared" si="7"/>
        <v>-5.275167412209349</v>
      </c>
      <c r="AH155" s="419">
        <f t="shared" si="7"/>
        <v>-4.972858117629038</v>
      </c>
      <c r="AI155" s="419">
        <f t="shared" si="7"/>
        <v>-4.076017885085452</v>
      </c>
      <c r="AJ155" s="419">
        <f t="shared" si="7"/>
        <v>-3.7131526403150588</v>
      </c>
      <c r="AK155" s="419">
        <f t="shared" si="7"/>
        <v>-3.05896162943149</v>
      </c>
      <c r="AL155" s="419">
        <f t="shared" si="7"/>
        <v>-2.8990765839169015</v>
      </c>
      <c r="AM155" s="419">
        <f t="shared" si="7"/>
        <v>-3.6102152120018864</v>
      </c>
      <c r="AN155" s="419">
        <f t="shared" si="7"/>
        <v>-4.196925972601981</v>
      </c>
      <c r="AO155" s="419">
        <f t="shared" si="7"/>
        <v>-4.812972271232084</v>
      </c>
      <c r="AP155" s="419">
        <f t="shared" si="7"/>
        <v>-5.459820884793686</v>
      </c>
      <c r="AQ155" s="419">
        <f t="shared" si="7"/>
        <v>-6.139011929033373</v>
      </c>
      <c r="AR155" s="419">
        <f t="shared" si="7"/>
        <v>-6.852162525485042</v>
      </c>
      <c r="AS155" s="419">
        <f t="shared" si="7"/>
        <v>-7.981144442916921</v>
      </c>
      <c r="AT155" s="419">
        <f t="shared" si="7"/>
        <v>-9.181782407866706</v>
      </c>
      <c r="AU155" s="419">
        <f t="shared" si="7"/>
        <v>-10.458267500776124</v>
      </c>
      <c r="AV155" s="419">
        <f t="shared" si="7"/>
        <v>-11.815024687231663</v>
      </c>
      <c r="AW155" s="287" t="str">
        <f t="shared" si="1"/>
        <v>Df</v>
      </c>
    </row>
    <row r="156" ht="17.5" customHeight="1" spans="3:49" x14ac:dyDescent="0.25">
      <c r="C156" s="1335">
        <v>25</v>
      </c>
      <c r="D156" s="1348">
        <f>НАСТРОЙКА!BA296</f>
        <v>0</v>
      </c>
      <c r="E156" s="1349" t="s">
        <v>648</v>
      </c>
      <c r="F156" s="26" t="s">
        <v>866</v>
      </c>
      <c r="G156" s="287" t="s">
        <v>1268</v>
      </c>
      <c r="H156" s="287"/>
      <c r="I156" s="287"/>
      <c r="J156" s="287"/>
      <c r="K156" s="287"/>
      <c r="L156" s="287"/>
      <c r="M156" s="1371"/>
      <c r="N156" s="419">
        <f t="shared" si="3"/>
        <v>-0.7707667557258595</v>
      </c>
      <c r="O156" s="419">
        <f t="shared" si="5"/>
        <v>-0.10128942074022174</v>
      </c>
      <c r="P156" s="419">
        <f t="shared" si="7"/>
        <v>-0.010878745118966915</v>
      </c>
      <c r="Q156" s="419">
        <f t="shared" si="7"/>
        <v>0.7881777344804832</v>
      </c>
      <c r="R156" s="419">
        <f t="shared" si="7"/>
        <v>0.6500534423060023</v>
      </c>
      <c r="S156" s="419">
        <f t="shared" si="7"/>
        <v>0.6113463355298396</v>
      </c>
      <c r="T156" s="419">
        <f t="shared" si="7"/>
        <v>1.36157917203695</v>
      </c>
      <c r="U156" s="419">
        <f t="shared" si="7"/>
        <v>0.35827829180388626</v>
      </c>
      <c r="V156" s="419">
        <f t="shared" si="7"/>
        <v>-0.5367136118308524</v>
      </c>
      <c r="W156" s="419">
        <f t="shared" si="7"/>
        <v>0.39440974876684276</v>
      </c>
      <c r="X156" s="419">
        <f t="shared" si="7"/>
        <v>-0.8522896545565146</v>
      </c>
      <c r="Y156" s="419">
        <f t="shared" si="7"/>
        <v>-2.155439390259975</v>
      </c>
      <c r="Z156" s="419">
        <f t="shared" si="7"/>
        <v>-2.70128066748992</v>
      </c>
      <c r="AA156" s="419">
        <f t="shared" si="7"/>
        <v>-2.2038811616510774</v>
      </c>
      <c r="AB156" s="419">
        <f t="shared" si="7"/>
        <v>-2.871858434778005</v>
      </c>
      <c r="AC156" s="419">
        <f t="shared" si="7"/>
        <v>-3.4840557788422597</v>
      </c>
      <c r="AD156" s="419">
        <f t="shared" si="7"/>
        <v>-3.7295863040243376</v>
      </c>
      <c r="AE156" s="419">
        <f t="shared" si="7"/>
        <v>-3.794519107713482</v>
      </c>
      <c r="AF156" s="419">
        <f t="shared" si="7"/>
        <v>-3.89212103972449</v>
      </c>
      <c r="AG156" s="419">
        <f t="shared" si="7"/>
        <v>-3.059821029430708</v>
      </c>
      <c r="AH156" s="419">
        <f t="shared" si="7"/>
        <v>-3.130904249939121</v>
      </c>
      <c r="AI156" s="419">
        <f t="shared" si="7"/>
        <v>-1.7347748934925598</v>
      </c>
      <c r="AJ156" s="419">
        <f t="shared" si="7"/>
        <v>-0.30864114214224614</v>
      </c>
      <c r="AK156" s="419">
        <f t="shared" ref="P156:AV164" si="8">AK28-AK92</f>
        <v>-0.1588455824739441</v>
      </c>
      <c r="AL156" s="419">
        <f t="shared" si="8"/>
        <v>0.20145312094625112</v>
      </c>
      <c r="AM156" s="419">
        <f t="shared" si="8"/>
        <v>0.5731209781044235</v>
      </c>
      <c r="AN156" s="419">
        <f t="shared" si="8"/>
        <v>0.6823570270096475</v>
      </c>
      <c r="AO156" s="419">
        <f t="shared" si="8"/>
        <v>0.7970548783601288</v>
      </c>
      <c r="AP156" s="419">
        <f t="shared" si="8"/>
        <v>0.9174876222781343</v>
      </c>
      <c r="AQ156" s="419">
        <f t="shared" si="8"/>
        <v>1.0439420033920328</v>
      </c>
      <c r="AR156" s="419">
        <f t="shared" si="8"/>
        <v>1.1767191035616378</v>
      </c>
      <c r="AS156" s="419">
        <f t="shared" si="8"/>
        <v>0.9359612675820941</v>
      </c>
      <c r="AT156" s="419">
        <f t="shared" si="8"/>
        <v>0.6679585881572621</v>
      </c>
      <c r="AU156" s="419">
        <f t="shared" si="8"/>
        <v>0.3707405450490455</v>
      </c>
      <c r="AV156" s="419">
        <f t="shared" si="8"/>
        <v>0.04221376088477058</v>
      </c>
      <c r="AW156" s="287" t="str">
        <f t="shared" si="1"/>
        <v>Dww</v>
      </c>
    </row>
    <row r="157" ht="17.5" customHeight="1" spans="3:49" x14ac:dyDescent="0.25">
      <c r="C157" s="1335">
        <v>26</v>
      </c>
      <c r="D157" s="1387">
        <f>НАСТРОЙКА!#REF!</f>
        <v>NaN</v>
      </c>
      <c r="E157" s="1349" t="s">
        <v>547</v>
      </c>
      <c r="F157" s="26" t="s">
        <v>866</v>
      </c>
      <c r="G157" s="287" t="s">
        <v>1592</v>
      </c>
      <c r="H157" s="287"/>
      <c r="I157" s="287"/>
      <c r="J157" s="287"/>
      <c r="K157" s="287"/>
      <c r="L157" s="287"/>
      <c r="M157" s="1362"/>
      <c r="N157" s="419" t="e">
        <f t="shared" si="3"/>
        <v>#VALUE!</v>
      </c>
      <c r="O157" s="419">
        <f t="shared" si="5"/>
        <v>0.2805860769173302</v>
      </c>
      <c r="P157" s="419">
        <f t="shared" si="8"/>
        <v>0.26044927261758316</v>
      </c>
      <c r="Q157" s="419">
        <f t="shared" si="8"/>
        <v>-0.7695145708430995</v>
      </c>
      <c r="R157" s="419">
        <f t="shared" si="8"/>
        <v>-0.7524113133722263</v>
      </c>
      <c r="S157" s="419">
        <f t="shared" si="8"/>
        <v>-0.748764234238976</v>
      </c>
      <c r="T157" s="419">
        <f t="shared" si="8"/>
        <v>-0.7326675758320957</v>
      </c>
      <c r="U157" s="419">
        <f t="shared" si="8"/>
        <v>-0.7084957092768847</v>
      </c>
      <c r="V157" s="419">
        <f t="shared" si="8"/>
        <v>-0.556318694402703</v>
      </c>
      <c r="W157" s="419">
        <f t="shared" si="8"/>
        <v>-0.36671263438596025</v>
      </c>
      <c r="X157" s="419">
        <f t="shared" si="8"/>
        <v>-0.327916701375494</v>
      </c>
      <c r="Y157" s="419">
        <f t="shared" si="8"/>
        <v>-0.31406852285353654</v>
      </c>
      <c r="Z157" s="419">
        <f t="shared" si="8"/>
        <v>-0.2885245301567596</v>
      </c>
      <c r="AA157" s="419">
        <f t="shared" si="8"/>
        <v>-0.2922011993178245</v>
      </c>
      <c r="AB157" s="419">
        <f t="shared" si="8"/>
        <v>-0.24003351937075562</v>
      </c>
      <c r="AC157" s="419">
        <f t="shared" si="8"/>
        <v>-0.17712102890555592</v>
      </c>
      <c r="AD157" s="419">
        <f t="shared" si="8"/>
        <v>-0.16145450423440305</v>
      </c>
      <c r="AE157" s="419">
        <f t="shared" si="8"/>
        <v>-0.14279047697328084</v>
      </c>
      <c r="AF157" s="419">
        <f t="shared" si="8"/>
        <v>-0.16580053293138897</v>
      </c>
      <c r="AG157" s="419">
        <f t="shared" si="8"/>
        <v>-0.19750804369051728</v>
      </c>
      <c r="AH157" s="419">
        <f t="shared" si="8"/>
        <v>-0.22368312412742242</v>
      </c>
      <c r="AI157" s="419">
        <f t="shared" si="8"/>
        <v>-0.2268015397480595</v>
      </c>
      <c r="AJ157" s="419">
        <f t="shared" si="8"/>
        <v>-0.25500760903672215</v>
      </c>
      <c r="AK157" s="419">
        <f t="shared" si="8"/>
        <v>-0.28180337486095164</v>
      </c>
      <c r="AL157" s="419">
        <f t="shared" si="8"/>
        <v>-0.3072593523939696</v>
      </c>
      <c r="AM157" s="419">
        <f t="shared" si="8"/>
        <v>-0.3314425310503367</v>
      </c>
      <c r="AN157" s="419">
        <f t="shared" si="8"/>
        <v>-0.35441655077388545</v>
      </c>
      <c r="AO157" s="419">
        <f t="shared" si="8"/>
        <v>-0.3762418695112567</v>
      </c>
      <c r="AP157" s="419">
        <f t="shared" si="8"/>
        <v>-0.3969759223117594</v>
      </c>
      <c r="AQ157" s="419">
        <f t="shared" si="8"/>
        <v>-0.41667327247223696</v>
      </c>
      <c r="AR157" s="419">
        <f t="shared" si="8"/>
        <v>-0.4353857551246907</v>
      </c>
      <c r="AS157" s="419">
        <f t="shared" si="8"/>
        <v>-0.4531626136445217</v>
      </c>
      <c r="AT157" s="419">
        <f t="shared" si="8"/>
        <v>-0.47005062923836116</v>
      </c>
      <c r="AU157" s="419">
        <f t="shared" si="8"/>
        <v>-0.4860942440525087</v>
      </c>
      <c r="AV157" s="419">
        <f t="shared" si="8"/>
        <v>-0.5013356781259488</v>
      </c>
      <c r="AW157" s="287" t="str">
        <f t="shared" si="1"/>
        <v>bS</v>
      </c>
    </row>
    <row r="158" ht="17.5" customHeight="1" spans="3:49" x14ac:dyDescent="0.25">
      <c r="C158" s="1335">
        <v>27</v>
      </c>
      <c r="D158" s="1348">
        <f>НАСТРОЙКА!#REF!</f>
        <v>NaN</v>
      </c>
      <c r="E158" s="1349" t="s">
        <v>601</v>
      </c>
      <c r="F158" s="26" t="s">
        <v>866</v>
      </c>
      <c r="G158" s="287" t="s">
        <v>1593</v>
      </c>
      <c r="H158" s="287"/>
      <c r="I158" s="287"/>
      <c r="J158" s="287"/>
      <c r="K158" s="287"/>
      <c r="L158" s="287"/>
      <c r="M158" s="1376"/>
      <c r="N158" s="419">
        <f t="shared" si="3"/>
        <v>0.14823138731331675</v>
      </c>
      <c r="O158" s="419">
        <f t="shared" si="5"/>
        <v>0.2348401516973564</v>
      </c>
      <c r="P158" s="419">
        <f t="shared" si="8"/>
        <v>0.3107546096080852</v>
      </c>
      <c r="Q158" s="419">
        <f t="shared" si="8"/>
        <v>0.2463914020513266</v>
      </c>
      <c r="R158" s="419">
        <f t="shared" si="8"/>
        <v>-0.0995741263672143</v>
      </c>
      <c r="S158" s="419">
        <f t="shared" si="8"/>
        <v>-0.304975387651403</v>
      </c>
      <c r="T158" s="419">
        <f t="shared" si="8"/>
        <v>-0.4736148554216789</v>
      </c>
      <c r="U158" s="419">
        <f t="shared" si="8"/>
        <v>-0.6544859945293016</v>
      </c>
      <c r="V158" s="419">
        <f t="shared" si="8"/>
        <v>-0.846929423327291</v>
      </c>
      <c r="W158" s="419">
        <f t="shared" si="8"/>
        <v>-1.005162906543137</v>
      </c>
      <c r="X158" s="419">
        <f t="shared" si="8"/>
        <v>-1.2469791979908784</v>
      </c>
      <c r="Y158" s="419">
        <f t="shared" si="8"/>
        <v>-1.5543071421946382</v>
      </c>
      <c r="Z158" s="419">
        <f t="shared" si="8"/>
        <v>-1.7603841525522637</v>
      </c>
      <c r="AA158" s="419">
        <f t="shared" si="8"/>
        <v>-0.9794093443717418</v>
      </c>
      <c r="AB158" s="419">
        <f t="shared" si="8"/>
        <v>-1.336426038348113</v>
      </c>
      <c r="AC158" s="419">
        <f t="shared" si="8"/>
        <v>-1.8420880568449798</v>
      </c>
      <c r="AD158" s="419">
        <f t="shared" si="8"/>
        <v>-1.957481162334938</v>
      </c>
      <c r="AE158" s="419">
        <f t="shared" si="8"/>
        <v>-1.9563223574206483</v>
      </c>
      <c r="AF158" s="419">
        <f t="shared" si="8"/>
        <v>-1.7347601757349471</v>
      </c>
      <c r="AG158" s="419">
        <f t="shared" si="8"/>
        <v>-1.389915544776496</v>
      </c>
      <c r="AH158" s="419">
        <f t="shared" si="8"/>
        <v>-1.3898908831914865</v>
      </c>
      <c r="AI158" s="419">
        <f t="shared" si="8"/>
        <v>-1.6836761816577963</v>
      </c>
      <c r="AJ158" s="419">
        <f t="shared" si="8"/>
        <v>-1.774135880033122</v>
      </c>
      <c r="AK158" s="419">
        <f t="shared" si="8"/>
        <v>-1.8297622640693714</v>
      </c>
      <c r="AL158" s="419">
        <f t="shared" si="8"/>
        <v>-1.8642185464999645</v>
      </c>
      <c r="AM158" s="419">
        <f t="shared" si="8"/>
        <v>-1.885756677565395</v>
      </c>
      <c r="AN158" s="419">
        <f t="shared" si="8"/>
        <v>-1.8993710454903128</v>
      </c>
      <c r="AO158" s="419">
        <f t="shared" si="8"/>
        <v>-1.9080928576737914</v>
      </c>
      <c r="AP158" s="419">
        <f t="shared" si="8"/>
        <v>-1.913768498126701</v>
      </c>
      <c r="AQ158" s="419">
        <f t="shared" si="8"/>
        <v>-1.9175279249127044</v>
      </c>
      <c r="AR158" s="419">
        <f t="shared" si="8"/>
        <v>-1.9200668149957125</v>
      </c>
      <c r="AS158" s="419">
        <f t="shared" si="8"/>
        <v>-1.9218167362546423</v>
      </c>
      <c r="AT158" s="419">
        <f t="shared" si="8"/>
        <v>-1.9230479587773002</v>
      </c>
      <c r="AU158" s="419">
        <f t="shared" si="8"/>
        <v>-1.923931708104735</v>
      </c>
      <c r="AV158" s="419">
        <f t="shared" si="8"/>
        <v>-1.9245779703522676</v>
      </c>
      <c r="AW158" s="287" t="str">
        <f t="shared" si="1"/>
        <v>nS</v>
      </c>
    </row>
    <row r="159" ht="17.5" customHeight="1" spans="3:49" x14ac:dyDescent="0.25">
      <c r="C159" s="1335">
        <v>28</v>
      </c>
      <c r="D159" s="1348">
        <f>НАСТРОЙКА!#REF!</f>
        <v>NaN</v>
      </c>
      <c r="E159" s="1349" t="s">
        <v>480</v>
      </c>
      <c r="F159" s="26" t="s">
        <v>866</v>
      </c>
      <c r="G159" s="287" t="s">
        <v>1594</v>
      </c>
      <c r="H159" s="287"/>
      <c r="I159" s="287"/>
      <c r="J159" s="287"/>
      <c r="K159" s="287"/>
      <c r="L159" s="287"/>
      <c r="M159" s="1362"/>
      <c r="N159" s="419">
        <f t="shared" si="3"/>
        <v>-5300.646721757584</v>
      </c>
      <c r="O159" s="419">
        <f t="shared" si="5"/>
        <v>-5279.441635747484</v>
      </c>
      <c r="P159" s="419">
        <f t="shared" si="8"/>
        <v>-5263.598888382477</v>
      </c>
      <c r="Q159" s="419">
        <f t="shared" si="8"/>
        <v>-5274.120396892261</v>
      </c>
      <c r="R159" s="419">
        <f t="shared" si="8"/>
        <v>-5300.484557651495</v>
      </c>
      <c r="S159" s="419">
        <f t="shared" si="8"/>
        <v>-5348.186989013327</v>
      </c>
      <c r="T159" s="419">
        <f t="shared" si="8"/>
        <v>-5401.672629995061</v>
      </c>
      <c r="U159" s="419">
        <f t="shared" si="8"/>
        <v>-5471.89281922305</v>
      </c>
      <c r="V159" s="419">
        <f t="shared" si="8"/>
        <v>-5559.4389227465745</v>
      </c>
      <c r="W159" s="419">
        <f t="shared" si="8"/>
        <v>-5665.059664013946</v>
      </c>
      <c r="X159" s="419">
        <f t="shared" si="8"/>
        <v>-5801.021389960234</v>
      </c>
      <c r="Y159" s="419">
        <f t="shared" si="8"/>
        <v>-5980.858455764453</v>
      </c>
      <c r="Z159" s="419">
        <f t="shared" si="8"/>
        <v>-6196.169691236558</v>
      </c>
      <c r="AA159" s="419">
        <f t="shared" si="8"/>
        <v>-6394.461907029428</v>
      </c>
      <c r="AB159" s="419">
        <f t="shared" si="8"/>
        <v>-6586.294611642494</v>
      </c>
      <c r="AC159" s="419">
        <f t="shared" si="8"/>
        <v>-6849.741404640614</v>
      </c>
      <c r="AD159" s="419">
        <f t="shared" si="8"/>
        <v>-7144.2836871495465</v>
      </c>
      <c r="AE159" s="419">
        <f t="shared" si="8"/>
        <v>-7437.207909580053</v>
      </c>
      <c r="AF159" s="419">
        <f t="shared" si="8"/>
        <v>-7712.385335423171</v>
      </c>
      <c r="AG159" s="419">
        <f t="shared" si="8"/>
        <v>-7959.181372864388</v>
      </c>
      <c r="AH159" s="419">
        <f t="shared" si="8"/>
        <v>-8269.597868323586</v>
      </c>
      <c r="AI159" s="419">
        <f t="shared" si="8"/>
        <v>-8583.843400058693</v>
      </c>
      <c r="AJ159" s="419">
        <f t="shared" si="8"/>
        <v>-8944.36534717205</v>
      </c>
      <c r="AK159" s="419">
        <f t="shared" si="8"/>
        <v>-9315.39988631196</v>
      </c>
      <c r="AL159" s="419">
        <f t="shared" si="8"/>
        <v>-9701.481705565968</v>
      </c>
      <c r="AM159" s="419">
        <f t="shared" si="8"/>
        <v>-10100.36435481007</v>
      </c>
      <c r="AN159" s="419">
        <f t="shared" si="8"/>
        <v>-10526.152986184989</v>
      </c>
      <c r="AO159" s="419">
        <f t="shared" si="8"/>
        <v>-10976.045577862345</v>
      </c>
      <c r="AP159" s="419">
        <f t="shared" si="8"/>
        <v>-11450.291768171184</v>
      </c>
      <c r="AQ159" s="419">
        <f t="shared" si="8"/>
        <v>-11948.294901228563</v>
      </c>
      <c r="AR159" s="419">
        <f t="shared" si="8"/>
        <v>-12470.411404863364</v>
      </c>
      <c r="AS159" s="419">
        <f t="shared" si="8"/>
        <v>-13017.059398713976</v>
      </c>
      <c r="AT159" s="419">
        <f t="shared" si="8"/>
        <v>-13588.690272582191</v>
      </c>
      <c r="AU159" s="419">
        <f t="shared" si="8"/>
        <v>-14185.754944233573</v>
      </c>
      <c r="AV159" s="419">
        <f t="shared" si="8"/>
        <v>-14808.743215683711</v>
      </c>
      <c r="AW159" s="287" t="str">
        <f t="shared" si="1"/>
        <v>n1</v>
      </c>
    </row>
    <row r="160" ht="17.5" customHeight="1" spans="3:49" x14ac:dyDescent="0.25">
      <c r="C160" s="1335">
        <v>29</v>
      </c>
      <c r="D160" s="1348">
        <f>НАСТРОЙКА!#REF!</f>
        <v>NaN</v>
      </c>
      <c r="E160" s="1349" t="s">
        <v>483</v>
      </c>
      <c r="F160" s="26" t="s">
        <v>866</v>
      </c>
      <c r="G160" s="287" t="s">
        <v>2272</v>
      </c>
      <c r="H160" s="287"/>
      <c r="I160" s="287"/>
      <c r="J160" s="287"/>
      <c r="K160" s="287"/>
      <c r="L160" s="287"/>
      <c r="M160" s="1362"/>
      <c r="N160" s="419">
        <f t="shared" si="3"/>
        <v>0.06744382725080347</v>
      </c>
      <c r="O160" s="419">
        <f t="shared" si="5"/>
        <v>0.07337842274391265</v>
      </c>
      <c r="P160" s="419">
        <f t="shared" si="8"/>
        <v>0.08044425149690274</v>
      </c>
      <c r="Q160" s="419">
        <f t="shared" si="8"/>
        <v>0.0792547653553883</v>
      </c>
      <c r="R160" s="419">
        <f t="shared" si="8"/>
        <v>0.08725766032131918</v>
      </c>
      <c r="S160" s="419">
        <f t="shared" si="8"/>
        <v>0.0775390856929812</v>
      </c>
      <c r="T160" s="419">
        <f t="shared" si="8"/>
        <v>0.08544188057752926</v>
      </c>
      <c r="U160" s="419">
        <f t="shared" si="8"/>
        <v>0.07993808753736403</v>
      </c>
      <c r="V160" s="419">
        <f t="shared" si="8"/>
        <v>0.08644196204397055</v>
      </c>
      <c r="W160" s="419">
        <f t="shared" si="8"/>
        <v>0.10195514871018198</v>
      </c>
      <c r="X160" s="419">
        <f t="shared" si="8"/>
        <v>0.10383564125667144</v>
      </c>
      <c r="Y160" s="419">
        <f t="shared" si="8"/>
        <v>0.09757961920258694</v>
      </c>
      <c r="Z160" s="419">
        <f t="shared" si="8"/>
        <v>0.10182322919675864</v>
      </c>
      <c r="AA160" s="419">
        <f t="shared" si="8"/>
        <v>0.08511143557685862</v>
      </c>
      <c r="AB160" s="419">
        <f t="shared" si="8"/>
        <v>0.08949031890021944</v>
      </c>
      <c r="AC160" s="419">
        <f t="shared" si="8"/>
        <v>0.09861525262512504</v>
      </c>
      <c r="AD160" s="419">
        <f t="shared" si="8"/>
        <v>0.08050492200947852</v>
      </c>
      <c r="AE160" s="419">
        <f t="shared" si="8"/>
        <v>0.07653978520752305</v>
      </c>
      <c r="AF160" s="419">
        <f t="shared" si="8"/>
        <v>0.07831033771171315</v>
      </c>
      <c r="AG160" s="419">
        <f t="shared" si="8"/>
        <v>0.09861525262512504</v>
      </c>
      <c r="AH160" s="419">
        <f t="shared" si="8"/>
        <v>0.08050492200947852</v>
      </c>
      <c r="AI160" s="419">
        <f t="shared" si="8"/>
        <v>0.07653978520752305</v>
      </c>
      <c r="AJ160" s="419">
        <f t="shared" si="8"/>
        <v>0.07831033771171315</v>
      </c>
      <c r="AK160" s="419">
        <f t="shared" si="8"/>
        <v>0.09861525262512504</v>
      </c>
      <c r="AL160" s="419">
        <f t="shared" si="8"/>
        <v>0.08050492200947852</v>
      </c>
      <c r="AM160" s="419">
        <f t="shared" si="8"/>
        <v>0.07653978520752305</v>
      </c>
      <c r="AN160" s="419">
        <f t="shared" si="8"/>
        <v>0.07831033771171315</v>
      </c>
      <c r="AO160" s="419">
        <f t="shared" si="8"/>
        <v>0.09861525262512504</v>
      </c>
      <c r="AP160" s="419">
        <f t="shared" si="8"/>
        <v>0.08050492200947852</v>
      </c>
      <c r="AQ160" s="419">
        <f t="shared" si="8"/>
        <v>0.07653978520752305</v>
      </c>
      <c r="AR160" s="419">
        <f t="shared" si="8"/>
        <v>0.07831033771171315</v>
      </c>
      <c r="AS160" s="419">
        <f t="shared" si="8"/>
        <v>0.09861525262512504</v>
      </c>
      <c r="AT160" s="419">
        <f t="shared" si="8"/>
        <v>0.08050492200947852</v>
      </c>
      <c r="AU160" s="419">
        <f t="shared" si="8"/>
        <v>0.07653978520752305</v>
      </c>
      <c r="AV160" s="419">
        <f t="shared" si="8"/>
        <v>0.07831033771171315</v>
      </c>
      <c r="AW160" s="287" t="str">
        <f t="shared" si="1"/>
        <v>n2</v>
      </c>
    </row>
    <row r="161" ht="17.5" customHeight="1" spans="3:49" x14ac:dyDescent="0.25">
      <c r="C161" s="1335">
        <v>30</v>
      </c>
      <c r="D161" s="1348">
        <f>НАСТРОЙКА!FR255</f>
        <v>0</v>
      </c>
      <c r="E161" s="1349" t="s">
        <v>407</v>
      </c>
      <c r="F161" s="26" t="s">
        <v>866</v>
      </c>
      <c r="G161" s="287" t="s">
        <v>1597</v>
      </c>
      <c r="H161" s="287"/>
      <c r="I161" s="287"/>
      <c r="J161" s="287"/>
      <c r="K161" s="287"/>
      <c r="L161" s="287"/>
      <c r="M161" s="1362"/>
      <c r="N161" s="419">
        <f t="shared" si="3"/>
        <v>0.37225193107546045</v>
      </c>
      <c r="O161" s="419">
        <f t="shared" si="5"/>
        <v>0.24807644576818072</v>
      </c>
      <c r="P161" s="419">
        <f t="shared" si="8"/>
        <v>0.21669287800494275</v>
      </c>
      <c r="Q161" s="419">
        <f t="shared" si="8"/>
        <v>0.13888277985484934</v>
      </c>
      <c r="R161" s="419">
        <f t="shared" si="8"/>
        <v>0.13467532467532461</v>
      </c>
      <c r="S161" s="419">
        <f t="shared" si="8"/>
        <v>0.1748676424789786</v>
      </c>
      <c r="T161" s="419">
        <f t="shared" si="8"/>
        <v>0.26325026325026357</v>
      </c>
      <c r="U161" s="419">
        <f t="shared" si="8"/>
        <v>0.27620492079541636</v>
      </c>
      <c r="V161" s="419">
        <f t="shared" si="8"/>
        <v>0.3388633956936112</v>
      </c>
      <c r="W161" s="419">
        <f t="shared" si="8"/>
        <v>0.3491033956505148</v>
      </c>
      <c r="X161" s="419">
        <f t="shared" si="8"/>
        <v>0.33180952380952383</v>
      </c>
      <c r="Y161" s="419">
        <f t="shared" si="8"/>
        <v>0.3436601017924315</v>
      </c>
      <c r="Z161" s="419">
        <f t="shared" si="8"/>
        <v>0.32403661911858617</v>
      </c>
      <c r="AA161" s="419">
        <f t="shared" si="8"/>
        <v>0.34166136218968773</v>
      </c>
      <c r="AB161" s="419">
        <f t="shared" si="8"/>
        <v>0.378</v>
      </c>
      <c r="AC161" s="419">
        <f t="shared" si="8"/>
        <v>0.38</v>
      </c>
      <c r="AD161" s="419">
        <f t="shared" si="8"/>
        <v>0.368</v>
      </c>
      <c r="AE161" s="419">
        <f t="shared" si="8"/>
        <v>0.3584</v>
      </c>
      <c r="AF161" s="419">
        <f t="shared" si="8"/>
        <v>0.35072</v>
      </c>
      <c r="AG161" s="419">
        <f t="shared" si="8"/>
        <v>0.34457599999999994</v>
      </c>
      <c r="AH161" s="419">
        <f t="shared" si="8"/>
        <v>0.33966079999999993</v>
      </c>
      <c r="AI161" s="419">
        <f t="shared" si="8"/>
        <v>0.3357286399999999</v>
      </c>
      <c r="AJ161" s="419">
        <f t="shared" si="8"/>
        <v>0.3325829119999999</v>
      </c>
      <c r="AK161" s="419">
        <f t="shared" si="8"/>
        <v>0.3300663295999999</v>
      </c>
      <c r="AL161" s="419">
        <f t="shared" si="8"/>
        <v>0.32805306367999987</v>
      </c>
      <c r="AM161" s="419">
        <f t="shared" si="8"/>
        <v>0.3264424509439999</v>
      </c>
      <c r="AN161" s="419">
        <f t="shared" si="8"/>
        <v>0.32515396075519987</v>
      </c>
      <c r="AO161" s="419">
        <f t="shared" si="8"/>
        <v>0.32412316860415985</v>
      </c>
      <c r="AP161" s="419">
        <f t="shared" si="8"/>
        <v>0.3232985348833278</v>
      </c>
      <c r="AQ161" s="419">
        <f t="shared" si="8"/>
        <v>0.3232985348833278</v>
      </c>
      <c r="AR161" s="419">
        <f t="shared" si="8"/>
        <v>0.3232985348833278</v>
      </c>
      <c r="AS161" s="419">
        <f t="shared" si="8"/>
        <v>0.3232985348833278</v>
      </c>
      <c r="AT161" s="419">
        <f t="shared" si="8"/>
        <v>0.3232985348833278</v>
      </c>
      <c r="AU161" s="419">
        <f t="shared" si="8"/>
        <v>0.3232985348833278</v>
      </c>
      <c r="AV161" s="419">
        <f t="shared" si="8"/>
        <v>0.3232985348833278</v>
      </c>
      <c r="AW161" s="287" t="str">
        <f t="shared" si="1"/>
        <v>qR</v>
      </c>
    </row>
    <row r="162" ht="17.5" customHeight="1" spans="3:49" x14ac:dyDescent="0.25">
      <c r="C162" s="2465">
        <v>31</v>
      </c>
      <c r="D162" s="1348"/>
      <c r="E162" s="1349" t="s">
        <v>427</v>
      </c>
      <c r="F162" s="26" t="s">
        <v>277</v>
      </c>
      <c r="G162" s="287" t="s">
        <v>1598</v>
      </c>
      <c r="H162" s="287"/>
      <c r="I162" s="287"/>
      <c r="J162" s="287"/>
      <c r="K162" s="287"/>
      <c r="L162" s="287"/>
      <c r="M162" s="1368"/>
      <c r="N162" s="419" t="e">
        <f t="shared" si="3"/>
        <v>#REF!</v>
      </c>
      <c r="O162" s="419" t="e">
        <f t="shared" si="5"/>
        <v>#REF!</v>
      </c>
      <c r="P162" s="419" t="e">
        <f t="shared" si="8"/>
        <v>#REF!</v>
      </c>
      <c r="Q162" s="419" t="e">
        <f t="shared" si="8"/>
        <v>#REF!</v>
      </c>
      <c r="R162" s="419" t="e">
        <f t="shared" si="8"/>
        <v>#REF!</v>
      </c>
      <c r="S162" s="419" t="e">
        <f t="shared" si="8"/>
        <v>#REF!</v>
      </c>
      <c r="T162" s="419" t="e">
        <f t="shared" si="8"/>
        <v>#REF!</v>
      </c>
      <c r="U162" s="419" t="e">
        <f t="shared" si="8"/>
        <v>#REF!</v>
      </c>
      <c r="V162" s="419" t="e">
        <f t="shared" si="8"/>
        <v>#REF!</v>
      </c>
      <c r="W162" s="419" t="e">
        <f t="shared" si="8"/>
        <v>#REF!</v>
      </c>
      <c r="X162" s="419" t="e">
        <f t="shared" si="8"/>
        <v>#REF!</v>
      </c>
      <c r="Y162" s="419" t="e">
        <f t="shared" si="8"/>
        <v>#REF!</v>
      </c>
      <c r="Z162" s="419" t="e">
        <f t="shared" si="8"/>
        <v>#REF!</v>
      </c>
      <c r="AA162" s="419" t="e">
        <f t="shared" si="8"/>
        <v>#REF!</v>
      </c>
      <c r="AB162" s="419" t="e">
        <f t="shared" si="8"/>
        <v>#REF!</v>
      </c>
      <c r="AC162" s="419" t="e">
        <f t="shared" si="8"/>
        <v>#REF!</v>
      </c>
      <c r="AD162" s="419" t="e">
        <f t="shared" si="8"/>
        <v>#REF!</v>
      </c>
      <c r="AE162" s="419" t="e">
        <f t="shared" si="8"/>
        <v>#REF!</v>
      </c>
      <c r="AF162" s="419" t="e">
        <f t="shared" si="8"/>
        <v>#REF!</v>
      </c>
      <c r="AG162" s="419" t="e">
        <f t="shared" si="8"/>
        <v>#REF!</v>
      </c>
      <c r="AH162" s="419" t="e">
        <f t="shared" si="8"/>
        <v>#REF!</v>
      </c>
      <c r="AI162" s="419" t="e">
        <f t="shared" si="8"/>
        <v>#REF!</v>
      </c>
      <c r="AJ162" s="419" t="e">
        <f t="shared" si="8"/>
        <v>#REF!</v>
      </c>
      <c r="AK162" s="419" t="e">
        <f t="shared" si="8"/>
        <v>#REF!</v>
      </c>
      <c r="AL162" s="419" t="e">
        <f t="shared" si="8"/>
        <v>#REF!</v>
      </c>
      <c r="AM162" s="419" t="e">
        <f t="shared" si="8"/>
        <v>#REF!</v>
      </c>
      <c r="AN162" s="419" t="e">
        <f t="shared" si="8"/>
        <v>#REF!</v>
      </c>
      <c r="AO162" s="419" t="e">
        <f t="shared" si="8"/>
        <v>#REF!</v>
      </c>
      <c r="AP162" s="419" t="e">
        <f t="shared" si="8"/>
        <v>#REF!</v>
      </c>
      <c r="AQ162" s="419" t="e">
        <f t="shared" si="8"/>
        <v>#REF!</v>
      </c>
      <c r="AR162" s="419" t="e">
        <f t="shared" si="8"/>
        <v>#REF!</v>
      </c>
      <c r="AS162" s="419" t="e">
        <f t="shared" si="8"/>
        <v>#REF!</v>
      </c>
      <c r="AT162" s="419" t="e">
        <f t="shared" si="8"/>
        <v>#REF!</v>
      </c>
      <c r="AU162" s="419" t="e">
        <f t="shared" si="8"/>
        <v>#REF!</v>
      </c>
      <c r="AV162" s="419" t="e">
        <f t="shared" si="8"/>
        <v>#REF!</v>
      </c>
      <c r="AW162" s="287" t="str">
        <f t="shared" si="1"/>
        <v>RBJ</v>
      </c>
    </row>
    <row r="163" ht="17.5" customHeight="1" spans="3:49" x14ac:dyDescent="0.25">
      <c r="C163" s="2465">
        <v>32</v>
      </c>
      <c r="D163" s="1348">
        <v>40558</v>
      </c>
      <c r="E163" s="1349" t="s">
        <v>424</v>
      </c>
      <c r="F163" s="26" t="s">
        <v>277</v>
      </c>
      <c r="G163" s="287" t="s">
        <v>1599</v>
      </c>
      <c r="H163" s="287"/>
      <c r="I163" s="287"/>
      <c r="J163" s="287"/>
      <c r="K163" s="287"/>
      <c r="L163" s="287"/>
      <c r="M163" s="1368"/>
      <c r="N163" s="419" t="e">
        <f t="shared" si="3"/>
        <v>#REF!</v>
      </c>
      <c r="O163" s="419" t="e">
        <f t="shared" si="5"/>
        <v>#REF!</v>
      </c>
      <c r="P163" s="419" t="e">
        <f t="shared" si="8"/>
        <v>#REF!</v>
      </c>
      <c r="Q163" s="419" t="e">
        <f t="shared" si="8"/>
        <v>#REF!</v>
      </c>
      <c r="R163" s="419" t="e">
        <f t="shared" si="8"/>
        <v>#REF!</v>
      </c>
      <c r="S163" s="419" t="e">
        <f t="shared" si="8"/>
        <v>#REF!</v>
      </c>
      <c r="T163" s="419" t="e">
        <f t="shared" si="8"/>
        <v>#REF!</v>
      </c>
      <c r="U163" s="419" t="e">
        <f t="shared" si="8"/>
        <v>#REF!</v>
      </c>
      <c r="V163" s="419" t="e">
        <f t="shared" si="8"/>
        <v>#REF!</v>
      </c>
      <c r="W163" s="419" t="e">
        <f t="shared" si="8"/>
        <v>#REF!</v>
      </c>
      <c r="X163" s="419" t="e">
        <f t="shared" si="8"/>
        <v>#REF!</v>
      </c>
      <c r="Y163" s="419" t="e">
        <f t="shared" si="8"/>
        <v>#REF!</v>
      </c>
      <c r="Z163" s="419" t="e">
        <f t="shared" si="8"/>
        <v>#REF!</v>
      </c>
      <c r="AA163" s="419" t="e">
        <f t="shared" si="8"/>
        <v>#REF!</v>
      </c>
      <c r="AB163" s="419" t="e">
        <f t="shared" si="8"/>
        <v>#REF!</v>
      </c>
      <c r="AC163" s="419" t="e">
        <f t="shared" si="8"/>
        <v>#REF!</v>
      </c>
      <c r="AD163" s="419" t="e">
        <f t="shared" si="8"/>
        <v>#REF!</v>
      </c>
      <c r="AE163" s="419" t="e">
        <f t="shared" si="8"/>
        <v>#REF!</v>
      </c>
      <c r="AF163" s="419" t="e">
        <f t="shared" si="8"/>
        <v>#REF!</v>
      </c>
      <c r="AG163" s="419" t="e">
        <f t="shared" si="8"/>
        <v>#REF!</v>
      </c>
      <c r="AH163" s="419" t="e">
        <f t="shared" si="8"/>
        <v>#REF!</v>
      </c>
      <c r="AI163" s="419" t="e">
        <f t="shared" si="8"/>
        <v>#REF!</v>
      </c>
      <c r="AJ163" s="419" t="e">
        <f t="shared" si="8"/>
        <v>#REF!</v>
      </c>
      <c r="AK163" s="419" t="e">
        <f t="shared" si="8"/>
        <v>#REF!</v>
      </c>
      <c r="AL163" s="419" t="e">
        <f t="shared" si="8"/>
        <v>#REF!</v>
      </c>
      <c r="AM163" s="419" t="e">
        <f t="shared" si="8"/>
        <v>#REF!</v>
      </c>
      <c r="AN163" s="419" t="e">
        <f t="shared" si="8"/>
        <v>#REF!</v>
      </c>
      <c r="AO163" s="419" t="e">
        <f t="shared" si="8"/>
        <v>#REF!</v>
      </c>
      <c r="AP163" s="419" t="e">
        <f t="shared" si="8"/>
        <v>#REF!</v>
      </c>
      <c r="AQ163" s="419" t="e">
        <f t="shared" si="8"/>
        <v>#REF!</v>
      </c>
      <c r="AR163" s="419" t="e">
        <f t="shared" si="8"/>
        <v>#REF!</v>
      </c>
      <c r="AS163" s="419" t="e">
        <f t="shared" si="8"/>
        <v>#REF!</v>
      </c>
      <c r="AT163" s="419" t="e">
        <f t="shared" si="8"/>
        <v>#REF!</v>
      </c>
      <c r="AU163" s="419" t="e">
        <f t="shared" si="8"/>
        <v>#REF!</v>
      </c>
      <c r="AV163" s="419" t="e">
        <f t="shared" si="8"/>
        <v>#REF!</v>
      </c>
      <c r="AW163" s="287" t="str">
        <f t="shared" si="1"/>
        <v>WPR</v>
      </c>
    </row>
    <row r="164" ht="17.5" customHeight="1" spans="3:49" x14ac:dyDescent="0.25">
      <c r="C164" s="2465">
        <v>33</v>
      </c>
      <c r="D164" s="1348">
        <v>40558</v>
      </c>
      <c r="E164" s="1349" t="s">
        <v>1076</v>
      </c>
      <c r="F164" s="26" t="s">
        <v>277</v>
      </c>
      <c r="G164" s="287" t="s">
        <v>1258</v>
      </c>
      <c r="H164" s="287"/>
      <c r="I164" s="287"/>
      <c r="J164" s="287"/>
      <c r="K164" s="287"/>
      <c r="L164" s="287"/>
      <c r="M164" s="1371"/>
      <c r="N164" s="419" t="e">
        <f t="shared" si="3"/>
        <v>#REF!</v>
      </c>
      <c r="O164" s="419" t="e">
        <f t="shared" si="5"/>
        <v>#REF!</v>
      </c>
      <c r="P164" s="419" t="e">
        <f t="shared" si="8"/>
        <v>#REF!</v>
      </c>
      <c r="Q164" s="419" t="e">
        <f t="shared" si="8"/>
        <v>#REF!</v>
      </c>
      <c r="R164" s="419" t="e">
        <f t="shared" si="8"/>
        <v>#REF!</v>
      </c>
      <c r="S164" s="419" t="e">
        <f t="shared" si="8"/>
        <v>#REF!</v>
      </c>
      <c r="T164" s="419" t="e">
        <f t="shared" si="8"/>
        <v>#REF!</v>
      </c>
      <c r="U164" s="419" t="e">
        <f t="shared" si="8"/>
        <v>#REF!</v>
      </c>
      <c r="V164" s="419" t="e">
        <f t="shared" si="8"/>
        <v>#REF!</v>
      </c>
      <c r="W164" s="419" t="e">
        <f t="shared" si="8"/>
        <v>#REF!</v>
      </c>
      <c r="X164" s="419" t="e">
        <f t="shared" si="8"/>
        <v>#REF!</v>
      </c>
      <c r="Y164" s="419" t="e">
        <f t="shared" si="8"/>
        <v>#REF!</v>
      </c>
      <c r="Z164" s="419" t="e">
        <f t="shared" si="8"/>
        <v>#REF!</v>
      </c>
      <c r="AA164" s="419" t="e">
        <f t="shared" si="8"/>
        <v>#REF!</v>
      </c>
      <c r="AB164" s="419" t="e">
        <f t="shared" ref="P164:AV172" si="9">AB36-AB100</f>
        <v>#REF!</v>
      </c>
      <c r="AC164" s="419" t="e">
        <f t="shared" si="9"/>
        <v>#REF!</v>
      </c>
      <c r="AD164" s="419" t="e">
        <f t="shared" si="9"/>
        <v>#REF!</v>
      </c>
      <c r="AE164" s="419" t="e">
        <f t="shared" si="9"/>
        <v>#REF!</v>
      </c>
      <c r="AF164" s="419" t="e">
        <f t="shared" si="9"/>
        <v>#REF!</v>
      </c>
      <c r="AG164" s="419" t="e">
        <f t="shared" si="9"/>
        <v>#REF!</v>
      </c>
      <c r="AH164" s="419" t="e">
        <f t="shared" si="9"/>
        <v>#REF!</v>
      </c>
      <c r="AI164" s="419" t="e">
        <f t="shared" si="9"/>
        <v>#REF!</v>
      </c>
      <c r="AJ164" s="419" t="e">
        <f t="shared" si="9"/>
        <v>#REF!</v>
      </c>
      <c r="AK164" s="419" t="e">
        <f t="shared" si="9"/>
        <v>#REF!</v>
      </c>
      <c r="AL164" s="419" t="e">
        <f t="shared" si="9"/>
        <v>#REF!</v>
      </c>
      <c r="AM164" s="419" t="e">
        <f t="shared" si="9"/>
        <v>#REF!</v>
      </c>
      <c r="AN164" s="419" t="e">
        <f t="shared" si="9"/>
        <v>#REF!</v>
      </c>
      <c r="AO164" s="419" t="e">
        <f t="shared" si="9"/>
        <v>#REF!</v>
      </c>
      <c r="AP164" s="419" t="e">
        <f t="shared" si="9"/>
        <v>#REF!</v>
      </c>
      <c r="AQ164" s="419" t="e">
        <f t="shared" si="9"/>
        <v>#REF!</v>
      </c>
      <c r="AR164" s="419" t="e">
        <f t="shared" si="9"/>
        <v>#REF!</v>
      </c>
      <c r="AS164" s="419" t="e">
        <f t="shared" si="9"/>
        <v>#REF!</v>
      </c>
      <c r="AT164" s="419" t="e">
        <f t="shared" si="9"/>
        <v>#REF!</v>
      </c>
      <c r="AU164" s="419" t="e">
        <f t="shared" si="9"/>
        <v>#REF!</v>
      </c>
      <c r="AV164" s="419" t="e">
        <f t="shared" si="9"/>
        <v>#REF!</v>
      </c>
      <c r="AW164" s="287" t="str">
        <f t="shared" si="1"/>
        <v>DH</v>
      </c>
    </row>
    <row r="165" ht="17.5" customHeight="1" spans="3:49" x14ac:dyDescent="0.25">
      <c r="C165" s="2465">
        <v>34</v>
      </c>
      <c r="D165" s="1348">
        <v>40558</v>
      </c>
      <c r="E165" s="1349" t="s">
        <v>281</v>
      </c>
      <c r="F165" s="26" t="s">
        <v>277</v>
      </c>
      <c r="G165" s="287" t="s">
        <v>1600</v>
      </c>
      <c r="H165" s="287"/>
      <c r="I165" s="287"/>
      <c r="J165" s="287"/>
      <c r="K165" s="287"/>
      <c r="L165" s="287"/>
      <c r="M165" s="1368"/>
      <c r="N165" s="419">
        <f t="shared" si="3"/>
        <v>0</v>
      </c>
      <c r="O165" s="419">
        <f t="shared" si="5"/>
        <v>0</v>
      </c>
      <c r="P165" s="419">
        <f t="shared" si="9"/>
        <v>0</v>
      </c>
      <c r="Q165" s="419">
        <f t="shared" si="9"/>
        <v>0</v>
      </c>
      <c r="R165" s="419">
        <f t="shared" si="9"/>
        <v>0</v>
      </c>
      <c r="S165" s="419">
        <f t="shared" si="9"/>
        <v>0</v>
      </c>
      <c r="T165" s="419">
        <f t="shared" si="9"/>
        <v>0</v>
      </c>
      <c r="U165" s="419">
        <f t="shared" si="9"/>
        <v>0</v>
      </c>
      <c r="V165" s="419">
        <f t="shared" si="9"/>
        <v>0</v>
      </c>
      <c r="W165" s="419">
        <f t="shared" si="9"/>
        <v>0</v>
      </c>
      <c r="X165" s="419">
        <f t="shared" si="9"/>
        <v>0</v>
      </c>
      <c r="Y165" s="419">
        <f t="shared" si="9"/>
        <v>0</v>
      </c>
      <c r="Z165" s="419">
        <f t="shared" si="9"/>
        <v>0</v>
      </c>
      <c r="AA165" s="419">
        <f t="shared" si="9"/>
        <v>0</v>
      </c>
      <c r="AB165" s="419">
        <f t="shared" si="9"/>
        <v>0</v>
      </c>
      <c r="AC165" s="419">
        <f t="shared" si="9"/>
        <v>0</v>
      </c>
      <c r="AD165" s="419">
        <f t="shared" si="9"/>
        <v>0</v>
      </c>
      <c r="AE165" s="419">
        <f t="shared" si="9"/>
        <v>0</v>
      </c>
      <c r="AF165" s="419">
        <f t="shared" si="9"/>
        <v>0</v>
      </c>
      <c r="AG165" s="419">
        <f t="shared" si="9"/>
        <v>0</v>
      </c>
      <c r="AH165" s="419">
        <f t="shared" si="9"/>
        <v>0</v>
      </c>
      <c r="AI165" s="419">
        <f t="shared" si="9"/>
        <v>0</v>
      </c>
      <c r="AJ165" s="419">
        <f t="shared" si="9"/>
        <v>0</v>
      </c>
      <c r="AK165" s="419">
        <f t="shared" si="9"/>
        <v>0</v>
      </c>
      <c r="AL165" s="419">
        <f t="shared" si="9"/>
        <v>0</v>
      </c>
      <c r="AM165" s="419">
        <f t="shared" si="9"/>
        <v>0</v>
      </c>
      <c r="AN165" s="419">
        <f t="shared" si="9"/>
        <v>0</v>
      </c>
      <c r="AO165" s="419">
        <f t="shared" si="9"/>
        <v>0</v>
      </c>
      <c r="AP165" s="419">
        <f t="shared" si="9"/>
        <v>0</v>
      </c>
      <c r="AQ165" s="419">
        <f t="shared" si="9"/>
        <v>0</v>
      </c>
      <c r="AR165" s="419">
        <f t="shared" si="9"/>
        <v>0</v>
      </c>
      <c r="AS165" s="419">
        <f t="shared" si="9"/>
        <v>0</v>
      </c>
      <c r="AT165" s="419">
        <f t="shared" si="9"/>
        <v>0</v>
      </c>
      <c r="AU165" s="419">
        <f t="shared" si="9"/>
        <v>0</v>
      </c>
      <c r="AV165" s="419">
        <f t="shared" si="9"/>
        <v>0</v>
      </c>
      <c r="AW165" s="287" t="str">
        <f t="shared" si="1"/>
        <v>XO</v>
      </c>
    </row>
    <row r="166" ht="17.5" customHeight="1" spans="3:49" x14ac:dyDescent="0.25">
      <c r="C166" s="2465">
        <v>35</v>
      </c>
      <c r="D166" s="1348">
        <v>40558</v>
      </c>
      <c r="E166" s="1349" t="s">
        <v>316</v>
      </c>
      <c r="F166" s="26" t="s">
        <v>277</v>
      </c>
      <c r="G166" s="287" t="s">
        <v>1601</v>
      </c>
      <c r="H166" s="287"/>
      <c r="I166" s="287"/>
      <c r="J166" s="287"/>
      <c r="K166" s="287"/>
      <c r="L166" s="287"/>
      <c r="M166" s="1368"/>
      <c r="N166" s="419">
        <f t="shared" si="3"/>
        <v>0</v>
      </c>
      <c r="O166" s="419">
        <f t="shared" si="5"/>
        <v>0</v>
      </c>
      <c r="P166" s="419">
        <f t="shared" si="9"/>
        <v>0</v>
      </c>
      <c r="Q166" s="419">
        <f t="shared" si="9"/>
        <v>0</v>
      </c>
      <c r="R166" s="419">
        <f t="shared" si="9"/>
        <v>0</v>
      </c>
      <c r="S166" s="419">
        <f t="shared" si="9"/>
        <v>0</v>
      </c>
      <c r="T166" s="419">
        <f t="shared" si="9"/>
        <v>0</v>
      </c>
      <c r="U166" s="419">
        <f t="shared" si="9"/>
        <v>0</v>
      </c>
      <c r="V166" s="419">
        <f t="shared" si="9"/>
        <v>0</v>
      </c>
      <c r="W166" s="419">
        <f t="shared" si="9"/>
        <v>0</v>
      </c>
      <c r="X166" s="419">
        <f t="shared" si="9"/>
        <v>0</v>
      </c>
      <c r="Y166" s="419">
        <f t="shared" si="9"/>
        <v>0</v>
      </c>
      <c r="Z166" s="419">
        <f t="shared" si="9"/>
        <v>0</v>
      </c>
      <c r="AA166" s="419">
        <f t="shared" si="9"/>
        <v>0</v>
      </c>
      <c r="AB166" s="419">
        <f t="shared" si="9"/>
        <v>0</v>
      </c>
      <c r="AC166" s="419">
        <f t="shared" si="9"/>
        <v>0</v>
      </c>
      <c r="AD166" s="419">
        <f t="shared" si="9"/>
        <v>0</v>
      </c>
      <c r="AE166" s="419">
        <f t="shared" si="9"/>
        <v>0</v>
      </c>
      <c r="AF166" s="419">
        <f t="shared" si="9"/>
        <v>0</v>
      </c>
      <c r="AG166" s="419">
        <f t="shared" si="9"/>
        <v>0</v>
      </c>
      <c r="AH166" s="419">
        <f t="shared" si="9"/>
        <v>0</v>
      </c>
      <c r="AI166" s="419">
        <f t="shared" si="9"/>
        <v>0</v>
      </c>
      <c r="AJ166" s="419">
        <f t="shared" si="9"/>
        <v>0</v>
      </c>
      <c r="AK166" s="419">
        <f t="shared" si="9"/>
        <v>0</v>
      </c>
      <c r="AL166" s="419">
        <f t="shared" si="9"/>
        <v>0</v>
      </c>
      <c r="AM166" s="419">
        <f t="shared" si="9"/>
        <v>0</v>
      </c>
      <c r="AN166" s="419">
        <f t="shared" si="9"/>
        <v>0</v>
      </c>
      <c r="AO166" s="419">
        <f t="shared" si="9"/>
        <v>0</v>
      </c>
      <c r="AP166" s="419">
        <f t="shared" si="9"/>
        <v>0</v>
      </c>
      <c r="AQ166" s="419">
        <f t="shared" si="9"/>
        <v>0</v>
      </c>
      <c r="AR166" s="419">
        <f t="shared" si="9"/>
        <v>0</v>
      </c>
      <c r="AS166" s="419">
        <f t="shared" si="9"/>
        <v>0</v>
      </c>
      <c r="AT166" s="419">
        <f t="shared" si="9"/>
        <v>0</v>
      </c>
      <c r="AU166" s="419">
        <f t="shared" si="9"/>
        <v>0</v>
      </c>
      <c r="AV166" s="419">
        <f t="shared" si="9"/>
        <v>0</v>
      </c>
      <c r="AW166" s="287" t="str">
        <f t="shared" si="1"/>
        <v>CN1</v>
      </c>
    </row>
    <row r="167" ht="17.5" customHeight="1" spans="3:49" x14ac:dyDescent="0.25">
      <c r="C167" s="2465">
        <v>36</v>
      </c>
      <c r="D167" s="1348">
        <v>40558</v>
      </c>
      <c r="E167" s="1349" t="s">
        <v>1602</v>
      </c>
      <c r="F167" s="26" t="s">
        <v>277</v>
      </c>
      <c r="G167" s="287" t="s">
        <v>1603</v>
      </c>
      <c r="H167" s="287"/>
      <c r="I167" s="287"/>
      <c r="J167" s="287"/>
      <c r="K167" s="287"/>
      <c r="L167" s="287"/>
      <c r="M167" s="1371"/>
      <c r="N167" s="419">
        <f t="shared" si="3"/>
        <v>-0.5075047014598465</v>
      </c>
      <c r="O167" s="419">
        <f t="shared" ref="O167:O190" si="10">O39-O103</f>
        <v>-0.5166764731729763</v>
      </c>
      <c r="P167" s="419">
        <f t="shared" si="9"/>
        <v>-0.4918013771726725</v>
      </c>
      <c r="Q167" s="419">
        <f t="shared" si="9"/>
        <v>-0.5192872824837201</v>
      </c>
      <c r="R167" s="419">
        <f t="shared" si="9"/>
        <v>-0.5652739174499402</v>
      </c>
      <c r="S167" s="419">
        <f t="shared" si="9"/>
        <v>-0.587683190688788</v>
      </c>
      <c r="T167" s="419">
        <f t="shared" si="9"/>
        <v>-0.6074665852268265</v>
      </c>
      <c r="U167" s="419">
        <f t="shared" si="9"/>
        <v>-0.6452458496585047</v>
      </c>
      <c r="V167" s="419">
        <f t="shared" si="9"/>
        <v>-0.6858912575110089</v>
      </c>
      <c r="W167" s="419">
        <f t="shared" si="9"/>
        <v>-0.7114691454260414</v>
      </c>
      <c r="X167" s="419">
        <f t="shared" si="9"/>
        <v>-0.7566307611024992</v>
      </c>
      <c r="Y167" s="419">
        <f t="shared" si="9"/>
        <v>-0.7984619477007946</v>
      </c>
      <c r="Z167" s="419">
        <f t="shared" si="9"/>
        <v>-0.8092519740210756</v>
      </c>
      <c r="AA167" s="419">
        <f t="shared" si="9"/>
        <v>-0.7261311317282132</v>
      </c>
      <c r="AB167" s="419">
        <f t="shared" si="9"/>
        <v>-0.7402307653540036</v>
      </c>
      <c r="AC167" s="419">
        <f t="shared" si="9"/>
        <v>-0.7423660464079095</v>
      </c>
      <c r="AD167" s="419">
        <f t="shared" si="9"/>
        <v>-0.7395190050027017</v>
      </c>
      <c r="AE167" s="419">
        <f t="shared" si="9"/>
        <v>-0.7253111470775779</v>
      </c>
      <c r="AF167" s="419">
        <f t="shared" si="9"/>
        <v>-0.7050276145170672</v>
      </c>
      <c r="AG167" s="419">
        <f t="shared" si="9"/>
        <v>-0.6742851313259158</v>
      </c>
      <c r="AH167" s="419">
        <f t="shared" si="9"/>
        <v>-0.6567628035628748</v>
      </c>
      <c r="AI167" s="419">
        <f t="shared" si="9"/>
        <v>-0.6485374505317406</v>
      </c>
      <c r="AJ167" s="419">
        <f t="shared" si="9"/>
        <v>-0.6379567051775759</v>
      </c>
      <c r="AK167" s="419">
        <f t="shared" si="9"/>
        <v>0</v>
      </c>
      <c r="AL167" s="419">
        <f t="shared" si="9"/>
        <v>0</v>
      </c>
      <c r="AM167" s="419">
        <f t="shared" si="9"/>
        <v>0</v>
      </c>
      <c r="AN167" s="419">
        <f t="shared" si="9"/>
        <v>0</v>
      </c>
      <c r="AO167" s="419">
        <f t="shared" si="9"/>
        <v>0</v>
      </c>
      <c r="AP167" s="419">
        <f t="shared" si="9"/>
        <v>0</v>
      </c>
      <c r="AQ167" s="419">
        <f t="shared" si="9"/>
        <v>0</v>
      </c>
      <c r="AR167" s="419">
        <f t="shared" si="9"/>
        <v>0</v>
      </c>
      <c r="AS167" s="419">
        <f t="shared" si="9"/>
        <v>0</v>
      </c>
      <c r="AT167" s="419">
        <f t="shared" si="9"/>
        <v>0</v>
      </c>
      <c r="AU167" s="419">
        <f t="shared" si="9"/>
        <v>0</v>
      </c>
      <c r="AV167" s="419">
        <f t="shared" si="9"/>
        <v>0</v>
      </c>
      <c r="AW167" s="287" t="str">
        <f t="shared" si="1"/>
        <v>Xo</v>
      </c>
    </row>
    <row r="168" ht="17.5" customHeight="1" spans="3:49" x14ac:dyDescent="0.25">
      <c r="C168" s="1335">
        <v>37</v>
      </c>
      <c r="D168" s="1348">
        <f>НАСТРОЙКА!#REF!</f>
        <v>NaN</v>
      </c>
      <c r="E168" s="1349" t="s">
        <v>1604</v>
      </c>
      <c r="F168" s="26" t="s">
        <v>866</v>
      </c>
      <c r="G168" s="287" t="s">
        <v>1605</v>
      </c>
      <c r="H168" s="287"/>
      <c r="I168" s="287"/>
      <c r="J168" s="287"/>
      <c r="K168" s="287"/>
      <c r="L168" s="287"/>
      <c r="M168" s="1362"/>
      <c r="N168" s="419">
        <f t="shared" si="3"/>
        <v>0.8349948317766432</v>
      </c>
      <c r="O168" s="419">
        <f t="shared" si="10"/>
        <v>0.7797346454621669</v>
      </c>
      <c r="P168" s="419">
        <f t="shared" si="9"/>
        <v>0.8379107870406609</v>
      </c>
      <c r="Q168" s="419">
        <f t="shared" si="9"/>
        <v>0.893036625876421</v>
      </c>
      <c r="R168" s="419">
        <f t="shared" si="9"/>
        <v>0.9971953991179309</v>
      </c>
      <c r="S168" s="419">
        <f t="shared" si="9"/>
        <v>1.0693134213844868</v>
      </c>
      <c r="T168" s="419">
        <f t="shared" si="9"/>
        <v>1.0958197641540484</v>
      </c>
      <c r="U168" s="419">
        <f t="shared" si="9"/>
        <v>1.113197103872673</v>
      </c>
      <c r="V168" s="419">
        <f t="shared" si="9"/>
        <v>1.1056351693502098</v>
      </c>
      <c r="W168" s="419">
        <f t="shared" si="9"/>
        <v>1.1045459834675206</v>
      </c>
      <c r="X168" s="419">
        <f t="shared" si="9"/>
        <v>1.1147466941063877</v>
      </c>
      <c r="Y168" s="419">
        <f t="shared" si="9"/>
        <v>1.127636565800327</v>
      </c>
      <c r="Z168" s="419">
        <f t="shared" si="9"/>
        <v>1.1444304358295734</v>
      </c>
      <c r="AA168" s="419">
        <f t="shared" si="9"/>
        <v>1.179845532637899</v>
      </c>
      <c r="AB168" s="419">
        <f t="shared" si="9"/>
        <v>1.0781457205437925</v>
      </c>
      <c r="AC168" s="419">
        <f t="shared" si="9"/>
        <v>1.2954205891742936</v>
      </c>
      <c r="AD168" s="419">
        <f t="shared" si="9"/>
        <v>1.3104358474452877</v>
      </c>
      <c r="AE168" s="419">
        <f t="shared" si="9"/>
        <v>1.2873835370755577</v>
      </c>
      <c r="AF168" s="419">
        <f t="shared" si="9"/>
        <v>1.2643312267058278</v>
      </c>
      <c r="AG168" s="419">
        <f t="shared" si="9"/>
        <v>1.2412789163360978</v>
      </c>
      <c r="AH168" s="419">
        <f t="shared" si="9"/>
        <v>1.2182266059663678</v>
      </c>
      <c r="AI168" s="419">
        <f t="shared" si="9"/>
        <v>1.1951742955966378</v>
      </c>
      <c r="AJ168" s="419">
        <f t="shared" si="9"/>
        <v>1.1721219852269078</v>
      </c>
      <c r="AK168" s="419">
        <f t="shared" si="9"/>
        <v>1.1490696748571778</v>
      </c>
      <c r="AL168" s="419">
        <f t="shared" si="9"/>
        <v>1.1260173644874478</v>
      </c>
      <c r="AM168" s="419">
        <f t="shared" si="9"/>
        <v>1.1029650541177178</v>
      </c>
      <c r="AN168" s="419">
        <f t="shared" si="9"/>
        <v>1.0799127437479878</v>
      </c>
      <c r="AO168" s="419">
        <f t="shared" si="9"/>
        <v>1.0568604333782579</v>
      </c>
      <c r="AP168" s="419">
        <f t="shared" si="9"/>
        <v>1.0338081230085279</v>
      </c>
      <c r="AQ168" s="419">
        <f t="shared" si="9"/>
        <v>1.0107558126387979</v>
      </c>
      <c r="AR168" s="419">
        <f t="shared" si="9"/>
        <v>0.9877035022690679</v>
      </c>
      <c r="AS168" s="419">
        <f t="shared" si="9"/>
        <v>0.9646511918993379</v>
      </c>
      <c r="AT168" s="419">
        <f t="shared" si="9"/>
        <v>0.9415988815296079</v>
      </c>
      <c r="AU168" s="419">
        <f t="shared" si="9"/>
        <v>0.9185465711598779</v>
      </c>
      <c r="AV168" s="419">
        <f t="shared" si="9"/>
        <v>0.8954942607901479</v>
      </c>
      <c r="AW168" s="287" t="str">
        <f t="shared" si="1"/>
        <v>vS</v>
      </c>
    </row>
    <row r="169" ht="17.5" customHeight="1" spans="3:49" x14ac:dyDescent="0.25">
      <c r="C169" s="1335">
        <v>38</v>
      </c>
      <c r="D169" s="1348">
        <f>НАСТРОЙКА!#REF!</f>
        <v>NaN</v>
      </c>
      <c r="E169" s="1349" t="s">
        <v>540</v>
      </c>
      <c r="F169" s="26" t="s">
        <v>866</v>
      </c>
      <c r="G169" s="287" t="s">
        <v>1606</v>
      </c>
      <c r="H169" s="287"/>
      <c r="I169" s="287"/>
      <c r="J169" s="287"/>
      <c r="K169" s="287"/>
      <c r="L169" s="287"/>
      <c r="M169" s="1362"/>
      <c r="N169" s="419">
        <f t="shared" si="3"/>
        <v>-1995.966438790049</v>
      </c>
      <c r="O169" s="419">
        <f t="shared" si="10"/>
        <v>-1996.9661996508958</v>
      </c>
      <c r="P169" s="419">
        <f t="shared" si="9"/>
        <v>-1997.964480145005</v>
      </c>
      <c r="Q169" s="419">
        <f t="shared" si="9"/>
        <v>-1998.9624547727963</v>
      </c>
      <c r="R169" s="419">
        <f t="shared" si="9"/>
        <v>-1999.9628663863134</v>
      </c>
      <c r="S169" s="419">
        <f t="shared" si="9"/>
        <v>-2000.9541523714693</v>
      </c>
      <c r="T169" s="419">
        <f t="shared" si="9"/>
        <v>-2001.9564286940392</v>
      </c>
      <c r="U169" s="419">
        <f t="shared" si="9"/>
        <v>-2002.9535411544732</v>
      </c>
      <c r="V169" s="419">
        <f t="shared" si="9"/>
        <v>-2003.95037809546</v>
      </c>
      <c r="W169" s="419">
        <f t="shared" si="9"/>
        <v>-2004.9473067775205</v>
      </c>
      <c r="X169" s="419">
        <f t="shared" si="9"/>
        <v>-2005.9423161616303</v>
      </c>
      <c r="Y169" s="419">
        <f t="shared" si="9"/>
        <v>-2006.933601595069</v>
      </c>
      <c r="Z169" s="419">
        <f t="shared" si="9"/>
        <v>-2007.9328680228446</v>
      </c>
      <c r="AA169" s="419">
        <f t="shared" si="9"/>
        <v>-2008.9358322032665</v>
      </c>
      <c r="AB169" s="419">
        <f t="shared" si="9"/>
        <v>-2009.9429644165223</v>
      </c>
      <c r="AC169" s="419">
        <f t="shared" si="9"/>
        <v>-2010.9310589324457</v>
      </c>
      <c r="AD169" s="419">
        <f t="shared" si="9"/>
        <v>-2011.9290832586871</v>
      </c>
      <c r="AE169" s="419">
        <f t="shared" si="9"/>
        <v>-2012.930668960142</v>
      </c>
      <c r="AF169" s="419">
        <f t="shared" si="9"/>
        <v>-2013.9320143709335</v>
      </c>
      <c r="AG169" s="419">
        <f t="shared" si="9"/>
        <v>-2014.9320143709335</v>
      </c>
      <c r="AH169" s="419">
        <f t="shared" si="9"/>
        <v>-2015.9339517624737</v>
      </c>
      <c r="AI169" s="419">
        <f t="shared" si="9"/>
        <v>-2016.934640612799</v>
      </c>
      <c r="AJ169" s="419">
        <f t="shared" si="9"/>
        <v>-2017.9351916930593</v>
      </c>
      <c r="AK169" s="419">
        <f t="shared" si="9"/>
        <v>-2018.9356325572676</v>
      </c>
      <c r="AL169" s="419">
        <f t="shared" si="9"/>
        <v>-2019.935985248634</v>
      </c>
      <c r="AM169" s="419">
        <f t="shared" si="9"/>
        <v>-2020.9362674017275</v>
      </c>
      <c r="AN169" s="419">
        <f t="shared" si="9"/>
        <v>-2021.9364931242021</v>
      </c>
      <c r="AO169" s="419">
        <f t="shared" si="9"/>
        <v>-2022.9366737021817</v>
      </c>
      <c r="AP169" s="419">
        <f t="shared" si="9"/>
        <v>-2023.9368181645655</v>
      </c>
      <c r="AQ169" s="419">
        <f t="shared" si="9"/>
        <v>-2024.9369337344724</v>
      </c>
      <c r="AR169" s="419">
        <f t="shared" si="9"/>
        <v>-2025.9370261903982</v>
      </c>
      <c r="AS169" s="419">
        <f t="shared" si="9"/>
        <v>-2026.9371001551385</v>
      </c>
      <c r="AT169" s="419">
        <f t="shared" si="9"/>
        <v>-2027.937159326931</v>
      </c>
      <c r="AU169" s="419">
        <f t="shared" si="9"/>
        <v>-2028.9372066643648</v>
      </c>
      <c r="AV169" s="419">
        <f t="shared" si="9"/>
        <v>-2029.937244534312</v>
      </c>
      <c r="AW169" s="287" t="str">
        <f t="shared" si="1"/>
        <v>kWB</v>
      </c>
    </row>
    <row r="170" ht="17.5" customHeight="1" spans="3:49" x14ac:dyDescent="0.25">
      <c r="C170" s="1335">
        <v>39</v>
      </c>
      <c r="D170" s="1348">
        <f>НАСТРОЙКА!#REF!</f>
        <v>NaN</v>
      </c>
      <c r="E170" s="1349" t="s">
        <v>459</v>
      </c>
      <c r="F170" s="26" t="s">
        <v>866</v>
      </c>
      <c r="G170" s="287" t="s">
        <v>1607</v>
      </c>
      <c r="H170" s="287"/>
      <c r="I170" s="287"/>
      <c r="J170" s="287"/>
      <c r="K170" s="287"/>
      <c r="L170" s="287"/>
      <c r="M170" s="1362"/>
      <c r="N170" s="1611" t="e">
        <f t="shared" si="3"/>
        <v>#REF!</v>
      </c>
      <c r="O170" s="1611" t="e">
        <f t="shared" si="10"/>
        <v>#REF!</v>
      </c>
      <c r="P170" s="1611" t="e">
        <f t="shared" si="9"/>
        <v>#REF!</v>
      </c>
      <c r="Q170" s="1611" t="e">
        <f t="shared" si="9"/>
        <v>#REF!</v>
      </c>
      <c r="R170" s="1611">
        <f t="shared" si="9"/>
        <v>0.5624698229682159</v>
      </c>
      <c r="S170" s="1611">
        <f t="shared" si="9"/>
        <v>0.6075711333388443</v>
      </c>
      <c r="T170" s="1611">
        <f t="shared" si="9"/>
        <v>0.5675837302398972</v>
      </c>
      <c r="U170" s="1611">
        <f t="shared" si="9"/>
        <v>0.5968293525687911</v>
      </c>
      <c r="V170" s="1611">
        <f t="shared" si="9"/>
        <v>0.6188437158703985</v>
      </c>
      <c r="W170" s="1611">
        <f t="shared" si="9"/>
        <v>0.5345451279946046</v>
      </c>
      <c r="X170" s="1611" t="e">
        <f t="shared" si="9"/>
        <v>#REF!</v>
      </c>
      <c r="Y170" s="1611">
        <f t="shared" si="9"/>
        <v>0.5054202818665039</v>
      </c>
      <c r="Z170" s="1611">
        <f t="shared" si="9"/>
        <v>0.5260117005775101</v>
      </c>
      <c r="AA170" s="1611">
        <f t="shared" si="9"/>
        <v>0.5026513711732707</v>
      </c>
      <c r="AB170" s="1611">
        <f t="shared" si="9"/>
        <v>0.4922217554933671</v>
      </c>
      <c r="AC170" s="1611">
        <f t="shared" si="9"/>
        <v>0.5052744741080092</v>
      </c>
      <c r="AD170" s="419">
        <f t="shared" si="9"/>
        <v>0.511490405677736</v>
      </c>
      <c r="AE170" s="419">
        <f t="shared" si="9"/>
        <v>0.5148175826087644</v>
      </c>
      <c r="AF170" s="419">
        <f t="shared" si="9"/>
        <v>0.5045797565020373</v>
      </c>
      <c r="AG170" s="419">
        <f t="shared" si="9"/>
        <v>0.5045797565020373</v>
      </c>
      <c r="AH170" s="419">
        <f t="shared" si="9"/>
        <v>0.5045797565020373</v>
      </c>
      <c r="AI170" s="419">
        <f t="shared" si="9"/>
        <v>0.5045797565020373</v>
      </c>
      <c r="AJ170" s="419">
        <f t="shared" si="9"/>
        <v>0.5045797565020373</v>
      </c>
      <c r="AK170" s="419">
        <f t="shared" si="9"/>
        <v>0.5045797565020373</v>
      </c>
      <c r="AL170" s="419">
        <f t="shared" si="9"/>
        <v>0.5045797565020373</v>
      </c>
      <c r="AM170" s="419">
        <f t="shared" si="9"/>
        <v>0.5045797565020373</v>
      </c>
      <c r="AN170" s="419">
        <f t="shared" si="9"/>
        <v>0.5045797565020373</v>
      </c>
      <c r="AO170" s="419">
        <f t="shared" si="9"/>
        <v>0.5045797565020373</v>
      </c>
      <c r="AP170" s="419">
        <f t="shared" si="9"/>
        <v>0.5045797565020373</v>
      </c>
      <c r="AQ170" s="419">
        <f t="shared" si="9"/>
        <v>0.5045797565020373</v>
      </c>
      <c r="AR170" s="419">
        <f t="shared" si="9"/>
        <v>0.5045797565020373</v>
      </c>
      <c r="AS170" s="419">
        <f t="shared" si="9"/>
        <v>0.5045797565020373</v>
      </c>
      <c r="AT170" s="419">
        <f t="shared" si="9"/>
        <v>0.5045797565020373</v>
      </c>
      <c r="AU170" s="419">
        <f t="shared" si="9"/>
        <v>0.5045797565020373</v>
      </c>
      <c r="AV170" s="419">
        <f t="shared" si="9"/>
        <v>0.5045797565020373</v>
      </c>
      <c r="AW170" s="287" t="str">
        <f t="shared" si="1"/>
        <v>h1</v>
      </c>
    </row>
    <row r="171" ht="17.5" customHeight="1" spans="3:49" x14ac:dyDescent="0.25">
      <c r="C171" s="1335">
        <v>40</v>
      </c>
      <c r="D171" s="1348">
        <f>НАСТРОЙКА!#REF!</f>
        <v>NaN</v>
      </c>
      <c r="E171" s="1349" t="s">
        <v>462</v>
      </c>
      <c r="F171" s="26" t="s">
        <v>866</v>
      </c>
      <c r="G171" s="287" t="s">
        <v>2273</v>
      </c>
      <c r="H171" s="287"/>
      <c r="I171" s="287"/>
      <c r="J171" s="287"/>
      <c r="K171" s="287"/>
      <c r="L171" s="287"/>
      <c r="M171" s="1362"/>
      <c r="N171" s="419" t="e">
        <f t="shared" si="3"/>
        <v>#REF!</v>
      </c>
      <c r="O171" s="419" t="e">
        <f t="shared" si="10"/>
        <v>#REF!</v>
      </c>
      <c r="P171" s="419" t="e">
        <f t="shared" si="9"/>
        <v>#REF!</v>
      </c>
      <c r="Q171" s="419" t="e">
        <f t="shared" si="9"/>
        <v>#REF!</v>
      </c>
      <c r="R171" s="419" t="e">
        <f t="shared" si="9"/>
        <v>#REF!</v>
      </c>
      <c r="S171" s="419" t="e">
        <f t="shared" si="9"/>
        <v>#REF!</v>
      </c>
      <c r="T171" s="419">
        <f t="shared" si="9"/>
        <v>0</v>
      </c>
      <c r="U171" s="419">
        <f t="shared" si="9"/>
        <v>0</v>
      </c>
      <c r="V171" s="419">
        <f t="shared" si="9"/>
        <v>0</v>
      </c>
      <c r="W171" s="419">
        <f t="shared" si="9"/>
        <v>0</v>
      </c>
      <c r="X171" s="419" t="e">
        <f t="shared" si="9"/>
        <v>#REF!</v>
      </c>
      <c r="Y171" s="419">
        <f t="shared" si="9"/>
        <v>0</v>
      </c>
      <c r="Z171" s="419">
        <f t="shared" si="9"/>
        <v>0</v>
      </c>
      <c r="AA171" s="419">
        <f t="shared" si="9"/>
        <v>0</v>
      </c>
      <c r="AB171" s="419">
        <f t="shared" si="9"/>
        <v>0</v>
      </c>
      <c r="AC171" s="419">
        <f t="shared" si="9"/>
        <v>0</v>
      </c>
      <c r="AD171" s="419">
        <f t="shared" si="9"/>
        <v>0</v>
      </c>
      <c r="AE171" s="419">
        <f t="shared" si="9"/>
        <v>0</v>
      </c>
      <c r="AF171" s="419">
        <f t="shared" si="9"/>
        <v>0</v>
      </c>
      <c r="AG171" s="419">
        <f t="shared" si="9"/>
        <v>0</v>
      </c>
      <c r="AH171" s="419">
        <f t="shared" si="9"/>
        <v>0</v>
      </c>
      <c r="AI171" s="419">
        <f t="shared" si="9"/>
        <v>0</v>
      </c>
      <c r="AJ171" s="419">
        <f t="shared" si="9"/>
        <v>0</v>
      </c>
      <c r="AK171" s="419">
        <f t="shared" si="9"/>
        <v>0</v>
      </c>
      <c r="AL171" s="419">
        <f t="shared" si="9"/>
        <v>0</v>
      </c>
      <c r="AM171" s="419">
        <f t="shared" si="9"/>
        <v>0</v>
      </c>
      <c r="AN171" s="419">
        <f t="shared" si="9"/>
        <v>0</v>
      </c>
      <c r="AO171" s="419">
        <f t="shared" si="9"/>
        <v>0</v>
      </c>
      <c r="AP171" s="419">
        <f t="shared" si="9"/>
        <v>0</v>
      </c>
      <c r="AQ171" s="419">
        <f t="shared" si="9"/>
        <v>0</v>
      </c>
      <c r="AR171" s="419">
        <f t="shared" si="9"/>
        <v>0</v>
      </c>
      <c r="AS171" s="419">
        <f t="shared" si="9"/>
        <v>0</v>
      </c>
      <c r="AT171" s="419">
        <f t="shared" si="9"/>
        <v>0</v>
      </c>
      <c r="AU171" s="419">
        <f t="shared" si="9"/>
        <v>0</v>
      </c>
      <c r="AV171" s="419">
        <f t="shared" si="9"/>
        <v>0</v>
      </c>
      <c r="AW171" s="287" t="str">
        <f t="shared" si="1"/>
        <v>h2</v>
      </c>
    </row>
    <row r="172" ht="17.5" customHeight="1" spans="3:49" x14ac:dyDescent="0.25">
      <c r="C172" s="1335">
        <v>41</v>
      </c>
      <c r="D172" s="1348">
        <f>НАСТРОЙКА!#REF!</f>
        <v>NaN</v>
      </c>
      <c r="E172" s="1349" t="s">
        <v>465</v>
      </c>
      <c r="F172" s="26" t="s">
        <v>866</v>
      </c>
      <c r="G172" s="287" t="s">
        <v>2266</v>
      </c>
      <c r="H172" s="287"/>
      <c r="I172" s="287"/>
      <c r="J172" s="287"/>
      <c r="K172" s="287"/>
      <c r="L172" s="287"/>
      <c r="M172" s="1362"/>
      <c r="N172" s="419" t="e">
        <f t="shared" si="3"/>
        <v>#REF!</v>
      </c>
      <c r="O172" s="419" t="e">
        <f t="shared" si="10"/>
        <v>#REF!</v>
      </c>
      <c r="P172" s="419" t="e">
        <f t="shared" si="9"/>
        <v>#REF!</v>
      </c>
      <c r="Q172" s="419" t="e">
        <f t="shared" si="9"/>
        <v>#REF!</v>
      </c>
      <c r="R172" s="419" t="e">
        <f t="shared" si="9"/>
        <v>#REF!</v>
      </c>
      <c r="S172" s="419" t="e">
        <f t="shared" ref="P172:AV179" si="11">S44-S108</f>
        <v>#REF!</v>
      </c>
      <c r="T172" s="419" t="e">
        <f t="shared" si="11"/>
        <v>#REF!</v>
      </c>
      <c r="U172" s="419" t="e">
        <f t="shared" si="11"/>
        <v>#REF!</v>
      </c>
      <c r="V172" s="419" t="e">
        <f t="shared" si="11"/>
        <v>#REF!</v>
      </c>
      <c r="W172" s="419" t="e">
        <f t="shared" si="11"/>
        <v>#REF!</v>
      </c>
      <c r="X172" s="419" t="e">
        <f t="shared" si="11"/>
        <v>#REF!</v>
      </c>
      <c r="Y172" s="419" t="e">
        <f t="shared" si="11"/>
        <v>#REF!</v>
      </c>
      <c r="Z172" s="419" t="e">
        <f t="shared" si="11"/>
        <v>#REF!</v>
      </c>
      <c r="AA172" s="419">
        <f t="shared" si="11"/>
        <v>0.21351414024282442</v>
      </c>
      <c r="AB172" s="419">
        <f t="shared" si="11"/>
        <v>0.20520339865598441</v>
      </c>
      <c r="AC172" s="419">
        <f t="shared" si="11"/>
        <v>0.1409021032969884</v>
      </c>
      <c r="AD172" s="419">
        <f t="shared" si="11"/>
        <v>0.13962673029629044</v>
      </c>
      <c r="AE172" s="419">
        <f t="shared" si="11"/>
        <v>0.15683614316944677</v>
      </c>
      <c r="AF172" s="419">
        <f t="shared" si="11"/>
        <v>0.1509776434605301</v>
      </c>
      <c r="AG172" s="419">
        <f t="shared" si="11"/>
        <v>0.1509776434605301</v>
      </c>
      <c r="AH172" s="419">
        <f t="shared" si="11"/>
        <v>0.1509776434605301</v>
      </c>
      <c r="AI172" s="419">
        <f t="shared" si="11"/>
        <v>0.1509776434605301</v>
      </c>
      <c r="AJ172" s="419">
        <f t="shared" si="11"/>
        <v>0.1509776434605301</v>
      </c>
      <c r="AK172" s="419">
        <f t="shared" si="11"/>
        <v>0.1509776434605301</v>
      </c>
      <c r="AL172" s="419">
        <f t="shared" si="11"/>
        <v>0.1509776434605301</v>
      </c>
      <c r="AM172" s="419">
        <f t="shared" si="11"/>
        <v>0.1509776434605301</v>
      </c>
      <c r="AN172" s="419">
        <f t="shared" si="11"/>
        <v>0.1509776434605301</v>
      </c>
      <c r="AO172" s="419">
        <f t="shared" si="11"/>
        <v>0.1509776434605301</v>
      </c>
      <c r="AP172" s="419">
        <f t="shared" si="11"/>
        <v>0.1509776434605301</v>
      </c>
      <c r="AQ172" s="419">
        <f t="shared" si="11"/>
        <v>0.1509776434605301</v>
      </c>
      <c r="AR172" s="419">
        <f t="shared" si="11"/>
        <v>0.1509776434605301</v>
      </c>
      <c r="AS172" s="419">
        <f t="shared" si="11"/>
        <v>0.1509776434605301</v>
      </c>
      <c r="AT172" s="419">
        <f t="shared" si="11"/>
        <v>0.1509776434605301</v>
      </c>
      <c r="AU172" s="419">
        <f t="shared" si="11"/>
        <v>0.1509776434605301</v>
      </c>
      <c r="AV172" s="419">
        <f t="shared" si="11"/>
        <v>0.1509776434605301</v>
      </c>
      <c r="AW172" s="287" t="str">
        <f t="shared" si="1"/>
        <v>h3</v>
      </c>
    </row>
    <row r="173" ht="17.5" customHeight="1" spans="3:49" x14ac:dyDescent="0.25">
      <c r="C173" s="1335">
        <v>42</v>
      </c>
      <c r="D173" s="1348">
        <f>НАСТРОЙКА!#REF!</f>
        <v>NaN</v>
      </c>
      <c r="E173" s="1349" t="s">
        <v>468</v>
      </c>
      <c r="F173" s="26" t="s">
        <v>866</v>
      </c>
      <c r="G173" s="287" t="s">
        <v>1610</v>
      </c>
      <c r="H173" s="287"/>
      <c r="I173" s="287"/>
      <c r="J173" s="287"/>
      <c r="K173" s="287"/>
      <c r="L173" s="287"/>
      <c r="M173" s="1362"/>
      <c r="N173" s="419" t="e">
        <f t="shared" si="3"/>
        <v>#REF!</v>
      </c>
      <c r="O173" s="419" t="e">
        <f t="shared" si="10"/>
        <v>#REF!</v>
      </c>
      <c r="P173" s="419" t="e">
        <f t="shared" si="11"/>
        <v>#REF!</v>
      </c>
      <c r="Q173" s="419" t="e">
        <f t="shared" si="11"/>
        <v>#REF!</v>
      </c>
      <c r="R173" s="419" t="e">
        <f t="shared" si="11"/>
        <v>#REF!</v>
      </c>
      <c r="S173" s="419">
        <f t="shared" si="11"/>
        <v>0.8107929512937024</v>
      </c>
      <c r="T173" s="419">
        <f t="shared" si="11"/>
        <v>0.7918544429805299</v>
      </c>
      <c r="U173" s="419">
        <f t="shared" si="11"/>
        <v>0.7344982304364923</v>
      </c>
      <c r="V173" s="419">
        <f t="shared" si="11"/>
        <v>0.7687913140129188</v>
      </c>
      <c r="W173" s="419">
        <f t="shared" si="11"/>
        <v>0.7708848541862653</v>
      </c>
      <c r="X173" s="419">
        <f t="shared" si="11"/>
        <v>0.7504145956356528</v>
      </c>
      <c r="Y173" s="419">
        <f t="shared" si="11"/>
        <v>0.7522576918565094</v>
      </c>
      <c r="Z173" s="419">
        <f t="shared" si="11"/>
        <v>0.7909584336872127</v>
      </c>
      <c r="AA173" s="419">
        <f t="shared" si="11"/>
        <v>0.7312844672880913</v>
      </c>
      <c r="AB173" s="419">
        <f t="shared" si="11"/>
        <v>0.7267341060917033</v>
      </c>
      <c r="AC173" s="419">
        <f t="shared" si="11"/>
        <v>0.7627914341897462</v>
      </c>
      <c r="AD173" s="419">
        <f t="shared" si="11"/>
        <v>0.7773356054530874</v>
      </c>
      <c r="AE173" s="419">
        <f t="shared" si="11"/>
        <v>0.7765267637178052</v>
      </c>
      <c r="AF173" s="419">
        <f t="shared" si="11"/>
        <v>0.7940956158663883</v>
      </c>
      <c r="AG173" s="419">
        <f t="shared" si="11"/>
        <v>0.772</v>
      </c>
      <c r="AH173" s="419">
        <f t="shared" si="11"/>
        <v>0.764</v>
      </c>
      <c r="AI173" s="419">
        <f t="shared" si="11"/>
        <v>0.7576</v>
      </c>
      <c r="AJ173" s="419">
        <f t="shared" si="11"/>
        <v>0.75248</v>
      </c>
      <c r="AK173" s="419">
        <f t="shared" si="11"/>
        <v>0.748384</v>
      </c>
      <c r="AL173" s="419">
        <f t="shared" si="11"/>
        <v>0.7451072000000001</v>
      </c>
      <c r="AM173" s="419">
        <f t="shared" si="11"/>
        <v>0.7424857600000001</v>
      </c>
      <c r="AN173" s="419">
        <f t="shared" si="11"/>
        <v>0.7403886080000002</v>
      </c>
      <c r="AO173" s="419">
        <f t="shared" si="11"/>
        <v>0.7387108864000003</v>
      </c>
      <c r="AP173" s="419">
        <f t="shared" si="11"/>
        <v>0.7373687091200003</v>
      </c>
      <c r="AQ173" s="419">
        <f t="shared" si="11"/>
        <v>0.7362949672960003</v>
      </c>
      <c r="AR173" s="419">
        <f t="shared" si="11"/>
        <v>0.7354359738368003</v>
      </c>
      <c r="AS173" s="419">
        <f t="shared" si="11"/>
        <v>0.7347487790694402</v>
      </c>
      <c r="AT173" s="419">
        <f t="shared" si="11"/>
        <v>0.7341990232555522</v>
      </c>
      <c r="AU173" s="419">
        <f t="shared" si="11"/>
        <v>0.7337592186044417</v>
      </c>
      <c r="AV173" s="419">
        <f t="shared" si="11"/>
        <v>0.7334073748835533</v>
      </c>
      <c r="AW173" s="287" t="str">
        <f t="shared" si="1"/>
        <v>h4</v>
      </c>
    </row>
    <row r="174" ht="17.5" customHeight="1" spans="3:49" x14ac:dyDescent="0.25">
      <c r="C174" s="2465">
        <v>43</v>
      </c>
      <c r="D174" s="1348"/>
      <c r="E174" s="1349" t="s">
        <v>471</v>
      </c>
      <c r="F174" s="26" t="s">
        <v>866</v>
      </c>
      <c r="G174" s="287" t="s">
        <v>1611</v>
      </c>
      <c r="H174" s="287"/>
      <c r="I174" s="287"/>
      <c r="J174" s="287"/>
      <c r="K174" s="287"/>
      <c r="L174" s="287"/>
      <c r="M174" s="1362"/>
      <c r="N174" s="419" t="e">
        <f t="shared" si="3"/>
        <v>#REF!</v>
      </c>
      <c r="O174" s="419" t="e">
        <f t="shared" si="10"/>
        <v>#REF!</v>
      </c>
      <c r="P174" s="419" t="e">
        <f t="shared" si="11"/>
        <v>#VALUE!</v>
      </c>
      <c r="Q174" s="419">
        <f t="shared" si="11"/>
        <v>0</v>
      </c>
      <c r="R174" s="419" t="e">
        <f t="shared" si="11"/>
        <v>#REF!</v>
      </c>
      <c r="S174" s="419" t="e">
        <f t="shared" si="11"/>
        <v>#REF!</v>
      </c>
      <c r="T174" s="419" t="e">
        <f t="shared" si="11"/>
        <v>#REF!</v>
      </c>
      <c r="U174" s="419">
        <f t="shared" si="11"/>
        <v>0</v>
      </c>
      <c r="V174" s="419">
        <f t="shared" si="11"/>
        <v>0</v>
      </c>
      <c r="W174" s="419">
        <f t="shared" si="11"/>
        <v>0</v>
      </c>
      <c r="X174" s="419">
        <f t="shared" si="11"/>
        <v>0</v>
      </c>
      <c r="Y174" s="419">
        <f t="shared" si="11"/>
        <v>0</v>
      </c>
      <c r="Z174" s="419">
        <f t="shared" si="11"/>
        <v>0</v>
      </c>
      <c r="AA174" s="419">
        <f t="shared" si="11"/>
        <v>0</v>
      </c>
      <c r="AB174" s="419">
        <f t="shared" si="11"/>
        <v>0</v>
      </c>
      <c r="AC174" s="419">
        <f t="shared" si="11"/>
        <v>0</v>
      </c>
      <c r="AD174" s="419">
        <f t="shared" si="11"/>
        <v>0</v>
      </c>
      <c r="AE174" s="419">
        <f t="shared" si="11"/>
        <v>0</v>
      </c>
      <c r="AF174" s="419">
        <f t="shared" si="11"/>
        <v>0</v>
      </c>
      <c r="AG174" s="419">
        <f t="shared" si="11"/>
        <v>0</v>
      </c>
      <c r="AH174" s="419">
        <f t="shared" si="11"/>
        <v>0</v>
      </c>
      <c r="AI174" s="419">
        <f t="shared" si="11"/>
        <v>0</v>
      </c>
      <c r="AJ174" s="419">
        <f t="shared" si="11"/>
        <v>0</v>
      </c>
      <c r="AK174" s="419">
        <f t="shared" si="11"/>
        <v>0</v>
      </c>
      <c r="AL174" s="419">
        <f t="shared" si="11"/>
        <v>0</v>
      </c>
      <c r="AM174" s="419">
        <f t="shared" si="11"/>
        <v>0</v>
      </c>
      <c r="AN174" s="419">
        <f t="shared" si="11"/>
        <v>0</v>
      </c>
      <c r="AO174" s="419">
        <f t="shared" si="11"/>
        <v>0</v>
      </c>
      <c r="AP174" s="419">
        <f t="shared" si="11"/>
        <v>0</v>
      </c>
      <c r="AQ174" s="419">
        <f t="shared" si="11"/>
        <v>0</v>
      </c>
      <c r="AR174" s="419">
        <f t="shared" si="11"/>
        <v>0</v>
      </c>
      <c r="AS174" s="419">
        <f t="shared" si="11"/>
        <v>0</v>
      </c>
      <c r="AT174" s="419">
        <f t="shared" si="11"/>
        <v>0</v>
      </c>
      <c r="AU174" s="419">
        <f t="shared" si="11"/>
        <v>0</v>
      </c>
      <c r="AV174" s="419">
        <f t="shared" si="11"/>
        <v>0</v>
      </c>
      <c r="AW174" s="287" t="str">
        <f t="shared" si="1"/>
        <v>h5</v>
      </c>
    </row>
    <row r="175" ht="17.5" customHeight="1" spans="3:49" x14ac:dyDescent="0.25">
      <c r="C175" s="2465">
        <v>44</v>
      </c>
      <c r="D175" s="1348">
        <f>НАСТРОЙКА!#REF!</f>
        <v>NaN</v>
      </c>
      <c r="E175" s="1349" t="s">
        <v>474</v>
      </c>
      <c r="F175" s="26" t="s">
        <v>866</v>
      </c>
      <c r="G175" s="287" t="s">
        <v>2274</v>
      </c>
      <c r="H175" s="287"/>
      <c r="I175" s="287"/>
      <c r="J175" s="287"/>
      <c r="K175" s="287"/>
      <c r="L175" s="287"/>
      <c r="M175" s="1362"/>
      <c r="N175" s="419">
        <f t="shared" si="3"/>
        <v>0</v>
      </c>
      <c r="O175" s="419">
        <f t="shared" si="10"/>
        <v>0</v>
      </c>
      <c r="P175" s="419" t="e">
        <f t="shared" si="11"/>
        <v>#VALUE!</v>
      </c>
      <c r="Q175" s="419">
        <f t="shared" si="11"/>
        <v>0</v>
      </c>
      <c r="R175" s="419">
        <f t="shared" si="11"/>
        <v>0</v>
      </c>
      <c r="S175" s="419" t="e">
        <f t="shared" si="11"/>
        <v>#REF!</v>
      </c>
      <c r="T175" s="419" t="e">
        <f t="shared" si="11"/>
        <v>#REF!</v>
      </c>
      <c r="U175" s="419">
        <f t="shared" si="11"/>
        <v>0</v>
      </c>
      <c r="V175" s="419">
        <f t="shared" si="11"/>
        <v>0</v>
      </c>
      <c r="W175" s="419">
        <f t="shared" si="11"/>
        <v>0</v>
      </c>
      <c r="X175" s="419">
        <f t="shared" si="11"/>
        <v>0</v>
      </c>
      <c r="Y175" s="419">
        <f t="shared" si="11"/>
        <v>0</v>
      </c>
      <c r="Z175" s="419">
        <f t="shared" si="11"/>
        <v>0</v>
      </c>
      <c r="AA175" s="419">
        <f t="shared" si="11"/>
        <v>0</v>
      </c>
      <c r="AB175" s="419">
        <f t="shared" si="11"/>
        <v>0</v>
      </c>
      <c r="AC175" s="419">
        <f t="shared" si="11"/>
        <v>0</v>
      </c>
      <c r="AD175" s="419">
        <f t="shared" si="11"/>
        <v>0</v>
      </c>
      <c r="AE175" s="419">
        <f t="shared" si="11"/>
        <v>0</v>
      </c>
      <c r="AF175" s="419">
        <f t="shared" si="11"/>
        <v>0</v>
      </c>
      <c r="AG175" s="419">
        <f t="shared" si="11"/>
        <v>0</v>
      </c>
      <c r="AH175" s="419">
        <f t="shared" si="11"/>
        <v>0</v>
      </c>
      <c r="AI175" s="419">
        <f t="shared" si="11"/>
        <v>0</v>
      </c>
      <c r="AJ175" s="419">
        <f t="shared" si="11"/>
        <v>0</v>
      </c>
      <c r="AK175" s="419">
        <f t="shared" si="11"/>
        <v>0</v>
      </c>
      <c r="AL175" s="419">
        <f t="shared" si="11"/>
        <v>0</v>
      </c>
      <c r="AM175" s="419">
        <f t="shared" si="11"/>
        <v>0</v>
      </c>
      <c r="AN175" s="419">
        <f t="shared" si="11"/>
        <v>0</v>
      </c>
      <c r="AO175" s="419">
        <f t="shared" si="11"/>
        <v>0</v>
      </c>
      <c r="AP175" s="419">
        <f t="shared" si="11"/>
        <v>0</v>
      </c>
      <c r="AQ175" s="419">
        <f t="shared" si="11"/>
        <v>0</v>
      </c>
      <c r="AR175" s="419">
        <f t="shared" si="11"/>
        <v>0</v>
      </c>
      <c r="AS175" s="419">
        <f t="shared" si="11"/>
        <v>0</v>
      </c>
      <c r="AT175" s="419">
        <f t="shared" si="11"/>
        <v>0</v>
      </c>
      <c r="AU175" s="419">
        <f t="shared" si="11"/>
        <v>0</v>
      </c>
      <c r="AV175" s="419">
        <f t="shared" si="11"/>
        <v>0</v>
      </c>
      <c r="AW175" s="287" t="str">
        <f t="shared" si="1"/>
        <v>h6</v>
      </c>
    </row>
    <row r="176" ht="17.5" customHeight="1" spans="3:49" x14ac:dyDescent="0.25">
      <c r="C176" s="2465">
        <v>45</v>
      </c>
      <c r="D176" s="1348">
        <f>НАСТРОЙКА!#REF!</f>
        <v>NaN</v>
      </c>
      <c r="E176" s="1349" t="s">
        <v>477</v>
      </c>
      <c r="F176" s="26" t="s">
        <v>866</v>
      </c>
      <c r="G176" s="287" t="s">
        <v>2275</v>
      </c>
      <c r="H176" s="287"/>
      <c r="I176" s="287"/>
      <c r="J176" s="287"/>
      <c r="K176" s="287"/>
      <c r="L176" s="287"/>
      <c r="M176" s="1362"/>
      <c r="N176" s="419" t="e">
        <f t="shared" si="3"/>
        <v>#REF!</v>
      </c>
      <c r="O176" s="419" t="e">
        <f t="shared" si="10"/>
        <v>#REF!</v>
      </c>
      <c r="P176" s="419">
        <f t="shared" si="11"/>
        <v>0</v>
      </c>
      <c r="Q176" s="419">
        <f t="shared" si="11"/>
        <v>0</v>
      </c>
      <c r="R176" s="419" t="e">
        <f t="shared" si="11"/>
        <v>#REF!</v>
      </c>
      <c r="S176" s="419">
        <f t="shared" si="11"/>
        <v>0</v>
      </c>
      <c r="T176" s="419">
        <f t="shared" si="11"/>
        <v>0</v>
      </c>
      <c r="U176" s="419">
        <f t="shared" si="11"/>
        <v>0</v>
      </c>
      <c r="V176" s="419">
        <f t="shared" si="11"/>
        <v>0</v>
      </c>
      <c r="W176" s="419">
        <f t="shared" si="11"/>
        <v>0</v>
      </c>
      <c r="X176" s="419">
        <f t="shared" si="11"/>
        <v>0</v>
      </c>
      <c r="Y176" s="419">
        <f t="shared" si="11"/>
        <v>0</v>
      </c>
      <c r="Z176" s="419">
        <f t="shared" si="11"/>
        <v>0</v>
      </c>
      <c r="AA176" s="419">
        <f t="shared" si="11"/>
        <v>0</v>
      </c>
      <c r="AB176" s="419">
        <f t="shared" si="11"/>
        <v>0</v>
      </c>
      <c r="AC176" s="419">
        <f t="shared" si="11"/>
        <v>0</v>
      </c>
      <c r="AD176" s="419">
        <f t="shared" si="11"/>
        <v>0</v>
      </c>
      <c r="AE176" s="419">
        <f t="shared" si="11"/>
        <v>0</v>
      </c>
      <c r="AF176" s="419">
        <f t="shared" si="11"/>
        <v>0</v>
      </c>
      <c r="AG176" s="419">
        <f t="shared" si="11"/>
        <v>0</v>
      </c>
      <c r="AH176" s="419">
        <f t="shared" si="11"/>
        <v>0</v>
      </c>
      <c r="AI176" s="419">
        <f t="shared" si="11"/>
        <v>0</v>
      </c>
      <c r="AJ176" s="419">
        <f t="shared" si="11"/>
        <v>0</v>
      </c>
      <c r="AK176" s="419">
        <f t="shared" si="11"/>
        <v>0</v>
      </c>
      <c r="AL176" s="419">
        <f t="shared" si="11"/>
        <v>0</v>
      </c>
      <c r="AM176" s="419">
        <f t="shared" si="11"/>
        <v>0</v>
      </c>
      <c r="AN176" s="419">
        <f t="shared" si="11"/>
        <v>0</v>
      </c>
      <c r="AO176" s="419">
        <f t="shared" si="11"/>
        <v>0</v>
      </c>
      <c r="AP176" s="419">
        <f t="shared" si="11"/>
        <v>0</v>
      </c>
      <c r="AQ176" s="419">
        <f t="shared" si="11"/>
        <v>0</v>
      </c>
      <c r="AR176" s="419">
        <f t="shared" si="11"/>
        <v>0</v>
      </c>
      <c r="AS176" s="419">
        <f t="shared" si="11"/>
        <v>0</v>
      </c>
      <c r="AT176" s="419">
        <f t="shared" si="11"/>
        <v>0</v>
      </c>
      <c r="AU176" s="419">
        <f t="shared" si="11"/>
        <v>0</v>
      </c>
      <c r="AV176" s="419">
        <f t="shared" si="11"/>
        <v>0</v>
      </c>
      <c r="AW176" s="287" t="str">
        <f t="shared" si="1"/>
        <v>h7</v>
      </c>
    </row>
    <row r="177" ht="17.5" customHeight="1" spans="3:49" x14ac:dyDescent="0.25">
      <c r="C177" s="1335">
        <v>46</v>
      </c>
      <c r="D177" s="1348">
        <f>НАСТРОЙКА!#REF!</f>
        <v>NaN</v>
      </c>
      <c r="E177" s="1349" t="s">
        <v>1614</v>
      </c>
      <c r="F177" s="26" t="s">
        <v>866</v>
      </c>
      <c r="G177" s="287" t="s">
        <v>1629</v>
      </c>
      <c r="H177" s="287"/>
      <c r="I177" s="287"/>
      <c r="J177" s="287"/>
      <c r="K177" s="287"/>
      <c r="L177" s="287"/>
      <c r="M177" s="1362"/>
      <c r="N177" s="419" t="e">
        <f t="shared" si="3"/>
        <v>#VALUE!</v>
      </c>
      <c r="O177" s="419">
        <f t="shared" si="10"/>
        <v>0.05640309708159619</v>
      </c>
      <c r="P177" s="419">
        <f t="shared" si="11"/>
        <v>0.058051894074337966</v>
      </c>
      <c r="Q177" s="419" t="e">
        <f t="shared" si="11"/>
        <v>#VALUE!</v>
      </c>
      <c r="R177" s="419">
        <f t="shared" si="11"/>
        <v>0.040363501862149896</v>
      </c>
      <c r="S177" s="419">
        <f t="shared" si="11"/>
        <v>0.04082908985698933</v>
      </c>
      <c r="T177" s="419" t="e">
        <f t="shared" si="11"/>
        <v>#REF!</v>
      </c>
      <c r="U177" s="419">
        <f t="shared" si="11"/>
        <v>0.03907220863073469</v>
      </c>
      <c r="V177" s="419">
        <f t="shared" si="11"/>
        <v>0.03202582607019723</v>
      </c>
      <c r="W177" s="419">
        <f t="shared" si="11"/>
        <v>0.0204341113685013</v>
      </c>
      <c r="X177" s="419">
        <f t="shared" si="11"/>
        <v>0.018457780112713727</v>
      </c>
      <c r="Y177" s="419">
        <f t="shared" si="11"/>
        <v>0.01633557374216708</v>
      </c>
      <c r="Z177" s="419">
        <f t="shared" si="11"/>
        <v>0.015488549426277757</v>
      </c>
      <c r="AA177" s="419">
        <f t="shared" si="11"/>
        <v>0.013521457101375223</v>
      </c>
      <c r="AB177" s="419">
        <f t="shared" si="11"/>
        <v>0.012813182945727633</v>
      </c>
      <c r="AC177" s="419">
        <f t="shared" si="11"/>
        <v>0.011708861392575997</v>
      </c>
      <c r="AD177" s="419">
        <f t="shared" si="11"/>
        <v>0.011223210374134759</v>
      </c>
      <c r="AE177" s="419">
        <f t="shared" si="11"/>
        <v>0.010834689559381768</v>
      </c>
      <c r="AF177" s="419">
        <f t="shared" si="11"/>
        <v>0.010523872907579376</v>
      </c>
      <c r="AG177" s="419">
        <f t="shared" si="11"/>
        <v>0.010275219586137464</v>
      </c>
      <c r="AH177" s="419">
        <f t="shared" si="11"/>
        <v>0.01002656626469555</v>
      </c>
      <c r="AI177" s="419">
        <f t="shared" si="11"/>
        <v>0.009777912943253638</v>
      </c>
      <c r="AJ177" s="419">
        <f t="shared" si="11"/>
        <v>0.009777912943253638</v>
      </c>
      <c r="AK177" s="419">
        <f t="shared" si="11"/>
        <v>0.009777912943253638</v>
      </c>
      <c r="AL177" s="419">
        <f t="shared" si="11"/>
        <v>0.009777912943253638</v>
      </c>
      <c r="AM177" s="419">
        <f t="shared" si="11"/>
        <v>0.009777912943253638</v>
      </c>
      <c r="AN177" s="419">
        <f t="shared" si="11"/>
        <v>0.009777912943253638</v>
      </c>
      <c r="AO177" s="419">
        <f t="shared" si="11"/>
        <v>0.009777912943253638</v>
      </c>
      <c r="AP177" s="419">
        <f t="shared" si="11"/>
        <v>0.009777912943253638</v>
      </c>
      <c r="AQ177" s="419">
        <f t="shared" si="11"/>
        <v>0.009777912943253638</v>
      </c>
      <c r="AR177" s="419">
        <f t="shared" si="11"/>
        <v>0.009777912943253638</v>
      </c>
      <c r="AS177" s="419">
        <f t="shared" si="11"/>
        <v>0.009777912943253638</v>
      </c>
      <c r="AT177" s="419">
        <f t="shared" si="11"/>
        <v>0.009777912943253638</v>
      </c>
      <c r="AU177" s="419">
        <f t="shared" si="11"/>
        <v>0.009777912943253638</v>
      </c>
      <c r="AV177" s="419">
        <f t="shared" si="11"/>
        <v>0.009777912943253638</v>
      </c>
      <c r="AW177" s="287" t="str">
        <f t="shared" si="1"/>
        <v>g</v>
      </c>
    </row>
    <row r="178" ht="17.5" customHeight="1" spans="3:49" x14ac:dyDescent="0.25">
      <c r="C178" s="1335">
        <v>47</v>
      </c>
      <c r="D178" s="1348">
        <f>НАСТРОЙКА!AW255</f>
        <v>0</v>
      </c>
      <c r="E178" s="1349" t="s">
        <v>553</v>
      </c>
      <c r="F178" s="26" t="s">
        <v>866</v>
      </c>
      <c r="G178" s="287" t="s">
        <v>1618</v>
      </c>
      <c r="H178" s="287"/>
      <c r="I178" s="287"/>
      <c r="J178" s="287"/>
      <c r="K178" s="287"/>
      <c r="L178" s="287"/>
      <c r="M178" s="1362"/>
      <c r="N178" s="419">
        <f t="shared" si="3"/>
        <v>0.2781616646708089</v>
      </c>
      <c r="O178" s="419">
        <f t="shared" si="10"/>
        <v>0.30377623832039924</v>
      </c>
      <c r="P178" s="419">
        <f t="shared" si="11"/>
        <v>0.26117813318403943</v>
      </c>
      <c r="Q178" s="419">
        <f t="shared" si="11"/>
        <v>0.25161546729373147</v>
      </c>
      <c r="R178" s="419" t="e">
        <f t="shared" si="11"/>
        <v>#REF!</v>
      </c>
      <c r="S178" s="419">
        <f t="shared" si="11"/>
        <v>0.3000699071085897</v>
      </c>
      <c r="T178" s="419">
        <f t="shared" si="11"/>
        <v>0.3252732179033034</v>
      </c>
      <c r="U178" s="419">
        <f t="shared" si="11"/>
        <v>0.31334242432928466</v>
      </c>
      <c r="V178" s="419">
        <f t="shared" si="11"/>
        <v>0.3188958197444065</v>
      </c>
      <c r="W178" s="419">
        <f t="shared" si="11"/>
        <v>0.39702420648664605</v>
      </c>
      <c r="X178" s="419">
        <f t="shared" si="11"/>
        <v>0.3947587210905216</v>
      </c>
      <c r="Y178" s="419">
        <f t="shared" si="11"/>
        <v>0.40208306466662297</v>
      </c>
      <c r="Z178" s="419">
        <f t="shared" si="11"/>
        <v>0.3877200006826103</v>
      </c>
      <c r="AA178" s="419">
        <f t="shared" si="11"/>
        <v>0.35044252977777157</v>
      </c>
      <c r="AB178" s="419">
        <f t="shared" si="11"/>
        <v>0.346197475752907</v>
      </c>
      <c r="AC178" s="419">
        <f t="shared" si="11"/>
        <v>0.3726359356699949</v>
      </c>
      <c r="AD178" s="419">
        <f t="shared" si="11"/>
        <v>0.37134614707263147</v>
      </c>
      <c r="AE178" s="419">
        <f t="shared" si="11"/>
        <v>0.36928030022616676</v>
      </c>
      <c r="AF178" s="419">
        <f t="shared" si="11"/>
        <v>0.374841750879473</v>
      </c>
      <c r="AG178" s="419">
        <f t="shared" si="11"/>
        <v>0.38484175087947303</v>
      </c>
      <c r="AH178" s="419">
        <f t="shared" si="11"/>
        <v>0.38484175087947303</v>
      </c>
      <c r="AI178" s="419">
        <f t="shared" si="11"/>
        <v>0.38484175087947303</v>
      </c>
      <c r="AJ178" s="419">
        <f t="shared" si="11"/>
        <v>0.38484175087947303</v>
      </c>
      <c r="AK178" s="419">
        <f t="shared" si="11"/>
        <v>0.38484175087947303</v>
      </c>
      <c r="AL178" s="419">
        <f t="shared" si="11"/>
        <v>0.38484175087947303</v>
      </c>
      <c r="AM178" s="419">
        <f t="shared" si="11"/>
        <v>0.38484175087947303</v>
      </c>
      <c r="AN178" s="419">
        <f t="shared" si="11"/>
        <v>0.38484175087947303</v>
      </c>
      <c r="AO178" s="419">
        <f t="shared" si="11"/>
        <v>0.38484175087947303</v>
      </c>
      <c r="AP178" s="419">
        <f t="shared" si="11"/>
        <v>0.38484175087947303</v>
      </c>
      <c r="AQ178" s="419">
        <f t="shared" si="11"/>
        <v>0.38484175087947303</v>
      </c>
      <c r="AR178" s="419">
        <f t="shared" si="11"/>
        <v>0.38484175087947303</v>
      </c>
      <c r="AS178" s="419">
        <f t="shared" si="11"/>
        <v>0.38484175087947303</v>
      </c>
      <c r="AT178" s="419">
        <f t="shared" si="11"/>
        <v>0.38484175087947303</v>
      </c>
      <c r="AU178" s="419">
        <f t="shared" si="11"/>
        <v>0.38484175087947303</v>
      </c>
      <c r="AV178" s="419">
        <f t="shared" si="11"/>
        <v>0.38484175087947303</v>
      </c>
      <c r="AW178" s="287" t="str">
        <f t="shared" si="1"/>
        <v>d</v>
      </c>
    </row>
    <row r="179" ht="17.5" customHeight="1" spans="3:49" x14ac:dyDescent="0.25">
      <c r="C179" s="1335">
        <v>48</v>
      </c>
      <c r="D179" s="1348">
        <f>НАСТРОЙКА!AX255</f>
        <v>0</v>
      </c>
      <c r="E179" s="1349" t="s">
        <v>550</v>
      </c>
      <c r="F179" s="26" t="s">
        <v>866</v>
      </c>
      <c r="G179" s="287" t="s">
        <v>1617</v>
      </c>
      <c r="H179" s="287"/>
      <c r="I179" s="287"/>
      <c r="J179" s="287"/>
      <c r="K179" s="287"/>
      <c r="L179" s="287"/>
      <c r="M179" s="1362"/>
      <c r="N179" s="419" t="e">
        <f t="shared" si="3"/>
        <v>#REF!</v>
      </c>
      <c r="O179" s="419" t="e">
        <f t="shared" si="10"/>
        <v>#REF!</v>
      </c>
      <c r="P179" s="419" t="e">
        <f t="shared" si="11"/>
        <v>#REF!</v>
      </c>
      <c r="Q179" s="419">
        <f t="shared" si="11"/>
        <v>0.26082091121911194</v>
      </c>
      <c r="R179" s="419" t="e">
        <f t="shared" si="11"/>
        <v>#REF!</v>
      </c>
      <c r="S179" s="419">
        <f t="shared" si="11"/>
        <v>0.27051799130250104</v>
      </c>
      <c r="T179" s="419">
        <f t="shared" si="11"/>
        <v>0.31631692817415186</v>
      </c>
      <c r="U179" s="419" t="e">
        <f t="shared" si="11"/>
        <v>#REF!</v>
      </c>
      <c r="V179" s="419">
        <f t="shared" si="11"/>
        <v>0.27424958276588063</v>
      </c>
      <c r="W179" s="419">
        <f t="shared" si="11"/>
        <v>0.3156258220386519</v>
      </c>
      <c r="X179" s="419">
        <f t="shared" si="11"/>
        <v>0.3111467598559485</v>
      </c>
      <c r="Y179" s="419">
        <f t="shared" si="11"/>
        <v>0.34223846853003126</v>
      </c>
      <c r="Z179" s="419">
        <f t="shared" si="11"/>
        <v>0.33897422577496544</v>
      </c>
      <c r="AA179" s="419">
        <f t="shared" si="11"/>
        <v>0.4135390376723465</v>
      </c>
      <c r="AB179" s="419">
        <f t="shared" si="11"/>
        <v>0.3804201043604462</v>
      </c>
      <c r="AC179" s="419">
        <f t="shared" si="11"/>
        <v>0.35725550597673883</v>
      </c>
      <c r="AD179" s="419">
        <f t="shared" si="11"/>
        <v>0.3671162524613403</v>
      </c>
      <c r="AE179" s="419">
        <f t="shared" si="11"/>
        <v>0.3820949054314769</v>
      </c>
      <c r="AF179" s="419">
        <f t="shared" si="11"/>
        <v>0.3866842467902037</v>
      </c>
      <c r="AG179" s="419">
        <f t="shared" si="11"/>
        <v>0.39</v>
      </c>
      <c r="AH179" s="419">
        <f t="shared" si="11"/>
        <v>0.39</v>
      </c>
      <c r="AI179" s="419">
        <f t="shared" si="11"/>
        <v>0.39</v>
      </c>
      <c r="AJ179" s="419">
        <f t="shared" si="11"/>
        <v>0.39</v>
      </c>
      <c r="AK179" s="419">
        <f t="shared" si="11"/>
        <v>0.39</v>
      </c>
      <c r="AL179" s="419">
        <f t="shared" si="11"/>
        <v>0.39</v>
      </c>
      <c r="AM179" s="419">
        <f t="shared" si="11"/>
        <v>0.39</v>
      </c>
      <c r="AN179" s="419">
        <f t="shared" si="11"/>
        <v>0.39</v>
      </c>
      <c r="AO179" s="419">
        <f t="shared" si="11"/>
        <v>0.39</v>
      </c>
      <c r="AP179" s="419">
        <f t="shared" si="11"/>
        <v>0.39</v>
      </c>
      <c r="AQ179" s="419">
        <f t="shared" ref="P179:AV187" si="12">AQ51-AQ115</f>
        <v>0.39</v>
      </c>
      <c r="AR179" s="419">
        <f t="shared" si="12"/>
        <v>0.39</v>
      </c>
      <c r="AS179" s="419">
        <f t="shared" si="12"/>
        <v>0.39</v>
      </c>
      <c r="AT179" s="419">
        <f t="shared" si="12"/>
        <v>0.39</v>
      </c>
      <c r="AU179" s="419">
        <f t="shared" si="12"/>
        <v>0.39</v>
      </c>
      <c r="AV179" s="419">
        <f t="shared" si="12"/>
        <v>0.39</v>
      </c>
      <c r="AW179" s="287" t="str">
        <f t="shared" si="1"/>
        <v>r</v>
      </c>
    </row>
    <row r="180" ht="17.5" customHeight="1" spans="3:49" x14ac:dyDescent="0.25">
      <c r="C180" s="1335">
        <v>49</v>
      </c>
      <c r="D180" s="1348">
        <f>НАСТРОЙКА!#REF!</f>
        <v>NaN</v>
      </c>
      <c r="E180" s="1349" t="s">
        <v>612</v>
      </c>
      <c r="F180" s="26" t="s">
        <v>866</v>
      </c>
      <c r="G180" s="287" t="s">
        <v>1630</v>
      </c>
      <c r="H180" s="287"/>
      <c r="I180" s="287"/>
      <c r="J180" s="287"/>
      <c r="K180" s="287"/>
      <c r="L180" s="287"/>
      <c r="M180" s="1362"/>
      <c r="N180" s="419">
        <f t="shared" si="3"/>
        <v>0.02795820438115608</v>
      </c>
      <c r="O180" s="419">
        <f t="shared" si="10"/>
        <v>0.02974721218072889</v>
      </c>
      <c r="P180" s="419">
        <f t="shared" si="12"/>
        <v>-0.010512157616833476</v>
      </c>
      <c r="Q180" s="419">
        <f t="shared" si="12"/>
        <v>-0.018366803715713885</v>
      </c>
      <c r="R180" s="419">
        <f t="shared" si="12"/>
        <v>0.00940334483209172</v>
      </c>
      <c r="S180" s="419">
        <f t="shared" si="12"/>
        <v>0.01543589803541467</v>
      </c>
      <c r="T180" s="419">
        <f t="shared" si="12"/>
        <v>0.010420706842907277</v>
      </c>
      <c r="U180" s="419">
        <f t="shared" si="12"/>
        <v>0.01137831298258356</v>
      </c>
      <c r="V180" s="419">
        <f t="shared" si="12"/>
        <v>0.011495203825421829</v>
      </c>
      <c r="W180" s="419">
        <f t="shared" si="12"/>
        <v>0.011017693783579027</v>
      </c>
      <c r="X180" s="419">
        <f t="shared" si="12"/>
        <v>0.01164388659610574</v>
      </c>
      <c r="Y180" s="419">
        <f t="shared" si="12"/>
        <v>0.014011430848958683</v>
      </c>
      <c r="Z180" s="419">
        <f t="shared" si="12"/>
        <v>0.014635325905782108</v>
      </c>
      <c r="AA180" s="419">
        <f t="shared" si="12"/>
        <v>-0.025634571644029994</v>
      </c>
      <c r="AB180" s="419">
        <f t="shared" si="12"/>
        <v>-0.007157309506491928</v>
      </c>
      <c r="AC180" s="419">
        <f t="shared" si="12"/>
        <v>0.004642414228178471</v>
      </c>
      <c r="AD180" s="419">
        <f t="shared" si="12"/>
        <v>0.0004947878855584885</v>
      </c>
      <c r="AE180" s="419">
        <f t="shared" si="12"/>
        <v>-0.009136141503807468</v>
      </c>
      <c r="AF180" s="419">
        <f t="shared" si="12"/>
        <v>-0.014760121332373852</v>
      </c>
      <c r="AG180" s="419">
        <f t="shared" si="12"/>
        <v>-0.008</v>
      </c>
      <c r="AH180" s="419">
        <f t="shared" si="12"/>
        <v>0.009</v>
      </c>
      <c r="AI180" s="419">
        <f t="shared" si="12"/>
        <v>0.011</v>
      </c>
      <c r="AJ180" s="419">
        <f t="shared" si="12"/>
        <v>0.011</v>
      </c>
      <c r="AK180" s="419">
        <f t="shared" si="12"/>
        <v>0.011</v>
      </c>
      <c r="AL180" s="419">
        <f t="shared" si="12"/>
        <v>0.011</v>
      </c>
      <c r="AM180" s="419">
        <f t="shared" si="12"/>
        <v>0.011</v>
      </c>
      <c r="AN180" s="419">
        <f t="shared" si="12"/>
        <v>0.011</v>
      </c>
      <c r="AO180" s="419">
        <f t="shared" si="12"/>
        <v>0.011</v>
      </c>
      <c r="AP180" s="419">
        <f t="shared" si="12"/>
        <v>0.011</v>
      </c>
      <c r="AQ180" s="419">
        <f t="shared" si="12"/>
        <v>0.011</v>
      </c>
      <c r="AR180" s="419">
        <f t="shared" si="12"/>
        <v>0.011</v>
      </c>
      <c r="AS180" s="419">
        <f t="shared" si="12"/>
        <v>0.011</v>
      </c>
      <c r="AT180" s="419">
        <f t="shared" si="12"/>
        <v>0.011</v>
      </c>
      <c r="AU180" s="419">
        <f t="shared" si="12"/>
        <v>0.011</v>
      </c>
      <c r="AV180" s="419">
        <f t="shared" si="12"/>
        <v>0.011</v>
      </c>
      <c r="AW180" s="287" t="str">
        <f t="shared" si="1"/>
        <v>eS</v>
      </c>
    </row>
    <row r="181" ht="17.5" customHeight="1" spans="3:49" x14ac:dyDescent="0.25">
      <c r="C181" s="1335">
        <v>50</v>
      </c>
      <c r="D181" s="2466">
        <f>'ДОХОДЫ НС'!AB130</f>
        <v>0</v>
      </c>
      <c r="E181" s="1349" t="s">
        <v>2267</v>
      </c>
      <c r="F181" s="26" t="s">
        <v>866</v>
      </c>
      <c r="G181" s="287" t="s">
        <v>2268</v>
      </c>
      <c r="H181" s="287"/>
      <c r="I181" s="287"/>
      <c r="J181" s="287"/>
      <c r="K181" s="287"/>
      <c r="L181" s="287"/>
      <c r="M181" s="1362"/>
      <c r="N181" s="419">
        <f t="shared" si="3"/>
        <v>0.2639037872819278</v>
      </c>
      <c r="O181" s="419">
        <f t="shared" si="10"/>
        <v>0.2748882770104617</v>
      </c>
      <c r="P181" s="419">
        <f t="shared" si="12"/>
        <v>0.27014591073472544</v>
      </c>
      <c r="Q181" s="419">
        <f t="shared" si="12"/>
        <v>0.16917775593934054</v>
      </c>
      <c r="R181" s="419">
        <f t="shared" si="12"/>
        <v>0.19664547860075432</v>
      </c>
      <c r="S181" s="419">
        <f t="shared" si="12"/>
        <v>0.18172846925747252</v>
      </c>
      <c r="T181" s="419" t="e">
        <f t="shared" si="12"/>
        <v>#REF!</v>
      </c>
      <c r="U181" s="419" t="e">
        <f t="shared" si="12"/>
        <v>#REF!</v>
      </c>
      <c r="V181" s="419">
        <f t="shared" si="12"/>
        <v>0.2036288941241999</v>
      </c>
      <c r="W181" s="419">
        <f t="shared" si="12"/>
        <v>0.19973857695478286</v>
      </c>
      <c r="X181" s="419">
        <f t="shared" si="12"/>
        <v>0.20107749480509063</v>
      </c>
      <c r="Y181" s="419">
        <f t="shared" si="12"/>
        <v>0.1871550652627272</v>
      </c>
      <c r="Z181" s="419">
        <f t="shared" si="12"/>
        <v>0.1907508130412558</v>
      </c>
      <c r="AA181" s="419">
        <f t="shared" si="12"/>
        <v>0.2335070395432094</v>
      </c>
      <c r="AB181" s="419">
        <f t="shared" si="12"/>
        <v>0.23</v>
      </c>
      <c r="AC181" s="419">
        <f t="shared" si="12"/>
        <v>0.215</v>
      </c>
      <c r="AD181" s="419">
        <f t="shared" si="12"/>
        <v>0.215</v>
      </c>
      <c r="AE181" s="419">
        <f t="shared" si="12"/>
        <v>0.215</v>
      </c>
      <c r="AF181" s="419">
        <f t="shared" si="12"/>
        <v>0.215</v>
      </c>
      <c r="AG181" s="419">
        <f t="shared" si="12"/>
        <v>0.215</v>
      </c>
      <c r="AH181" s="419">
        <f t="shared" si="12"/>
        <v>0.215</v>
      </c>
      <c r="AI181" s="419">
        <f t="shared" si="12"/>
        <v>0.215</v>
      </c>
      <c r="AJ181" s="419">
        <f t="shared" si="12"/>
        <v>0.215</v>
      </c>
      <c r="AK181" s="419">
        <f t="shared" si="12"/>
        <v>0.215</v>
      </c>
      <c r="AL181" s="419">
        <f t="shared" si="12"/>
        <v>0.215</v>
      </c>
      <c r="AM181" s="419">
        <f t="shared" si="12"/>
        <v>0.215</v>
      </c>
      <c r="AN181" s="419">
        <f t="shared" si="12"/>
        <v>0.215</v>
      </c>
      <c r="AO181" s="419">
        <f t="shared" si="12"/>
        <v>0.215</v>
      </c>
      <c r="AP181" s="419">
        <f t="shared" si="12"/>
        <v>0.215</v>
      </c>
      <c r="AQ181" s="419">
        <f t="shared" si="12"/>
        <v>0.215</v>
      </c>
      <c r="AR181" s="419">
        <f t="shared" si="12"/>
        <v>0.215</v>
      </c>
      <c r="AS181" s="419">
        <f t="shared" si="12"/>
        <v>0.215</v>
      </c>
      <c r="AT181" s="419">
        <f t="shared" si="12"/>
        <v>0.215</v>
      </c>
      <c r="AU181" s="419">
        <f t="shared" si="12"/>
        <v>0.215</v>
      </c>
      <c r="AV181" s="419">
        <f t="shared" si="12"/>
        <v>0.215</v>
      </c>
      <c r="AW181" s="287" t="str">
        <f t="shared" si="1"/>
        <v>h31</v>
      </c>
    </row>
    <row r="182" ht="17.5" customHeight="1" spans="3:49" x14ac:dyDescent="0.25">
      <c r="C182" s="1335">
        <v>51</v>
      </c>
      <c r="D182" s="2466">
        <f>'ДОХОДЫ НС'!AB130</f>
        <v>0</v>
      </c>
      <c r="E182" s="1349" t="s">
        <v>2269</v>
      </c>
      <c r="F182" s="26" t="s">
        <v>866</v>
      </c>
      <c r="G182" s="287" t="s">
        <v>2270</v>
      </c>
      <c r="H182" s="287"/>
      <c r="I182" s="287"/>
      <c r="J182" s="287"/>
      <c r="K182" s="287"/>
      <c r="L182" s="287"/>
      <c r="M182" s="1362"/>
      <c r="N182" s="419">
        <f t="shared" si="3"/>
        <v>0.2910893212808334</v>
      </c>
      <c r="O182" s="419" t="e">
        <f t="shared" si="10"/>
        <v>#REF!</v>
      </c>
      <c r="P182" s="419" t="e">
        <f t="shared" si="12"/>
        <v>#REF!</v>
      </c>
      <c r="Q182" s="419">
        <f t="shared" si="12"/>
        <v>0.3028307631160572</v>
      </c>
      <c r="R182" s="419">
        <f t="shared" si="12"/>
        <v>0.28048477118514364</v>
      </c>
      <c r="S182" s="419" t="e">
        <f t="shared" si="12"/>
        <v>#REF!</v>
      </c>
      <c r="T182" s="419">
        <f t="shared" si="12"/>
        <v>0.3033959617800894</v>
      </c>
      <c r="U182" s="419">
        <f t="shared" si="12"/>
        <v>0.3165200887790361</v>
      </c>
      <c r="V182" s="419">
        <f t="shared" si="12"/>
        <v>0.3008686639398676</v>
      </c>
      <c r="W182" s="419">
        <f t="shared" si="12"/>
        <v>0.2573106471571416</v>
      </c>
      <c r="X182" s="419">
        <f t="shared" si="12"/>
        <v>0.24773283026076987</v>
      </c>
      <c r="Y182" s="419">
        <f t="shared" si="12"/>
        <v>0.2172621218574061</v>
      </c>
      <c r="Z182" s="419">
        <f t="shared" si="12"/>
        <v>0.2381545517985264</v>
      </c>
      <c r="AA182" s="419">
        <f t="shared" si="12"/>
        <v>0.26644114952985676</v>
      </c>
      <c r="AB182" s="419">
        <f t="shared" si="12"/>
        <v>0.28341310816865495</v>
      </c>
      <c r="AC182" s="419">
        <f t="shared" si="12"/>
        <v>0.2935962833519339</v>
      </c>
      <c r="AD182" s="419">
        <f t="shared" si="12"/>
        <v>0.2997061884619012</v>
      </c>
      <c r="AE182" s="419">
        <f t="shared" si="12"/>
        <v>0.3033721315278816</v>
      </c>
      <c r="AF182" s="419">
        <f t="shared" si="12"/>
        <v>0.30557169736746986</v>
      </c>
      <c r="AG182" s="419">
        <f t="shared" si="12"/>
        <v>0.30689143687122283</v>
      </c>
      <c r="AH182" s="419">
        <f t="shared" si="12"/>
        <v>0.3076832805734746</v>
      </c>
      <c r="AI182" s="419">
        <f t="shared" si="12"/>
        <v>0.30815838679482566</v>
      </c>
      <c r="AJ182" s="419">
        <f t="shared" si="12"/>
        <v>0.3084434505276363</v>
      </c>
      <c r="AK182" s="419">
        <f t="shared" si="12"/>
        <v>0.30861448876732267</v>
      </c>
      <c r="AL182" s="419">
        <f t="shared" si="12"/>
        <v>0.30871711171113453</v>
      </c>
      <c r="AM182" s="419">
        <f t="shared" si="12"/>
        <v>0.30877868547742165</v>
      </c>
      <c r="AN182" s="419">
        <f t="shared" si="12"/>
        <v>0.30881562973719395</v>
      </c>
      <c r="AO182" s="419">
        <f t="shared" si="12"/>
        <v>0.30883779629305735</v>
      </c>
      <c r="AP182" s="419">
        <f t="shared" si="12"/>
        <v>0.3088510962265754</v>
      </c>
      <c r="AQ182" s="419">
        <f t="shared" si="12"/>
        <v>0.30885907618668623</v>
      </c>
      <c r="AR182" s="419">
        <f t="shared" si="12"/>
        <v>0.30886386416275274</v>
      </c>
      <c r="AS182" s="419">
        <f t="shared" si="12"/>
        <v>0.3088667369483927</v>
      </c>
      <c r="AT182" s="419">
        <f t="shared" si="12"/>
        <v>0.30886846061977663</v>
      </c>
      <c r="AU182" s="419">
        <f t="shared" si="12"/>
        <v>0.308869494822607</v>
      </c>
      <c r="AV182" s="419">
        <f t="shared" si="12"/>
        <v>0.30887011534430525</v>
      </c>
      <c r="AW182" s="287" t="str">
        <f t="shared" si="1"/>
        <v>h32</v>
      </c>
    </row>
    <row r="183" ht="17.5" customHeight="1" spans="3:49" x14ac:dyDescent="0.25">
      <c r="C183" s="1335">
        <v>52</v>
      </c>
      <c r="D183" s="2466"/>
      <c r="E183" s="1349"/>
      <c r="F183" s="26"/>
      <c r="G183" s="287"/>
      <c r="H183" s="287"/>
      <c r="I183" s="287"/>
      <c r="J183" s="287"/>
      <c r="K183" s="287"/>
      <c r="L183" s="287"/>
      <c r="M183" s="1362"/>
      <c r="N183" s="419" t="e">
        <f t="shared" si="3"/>
        <v>#REF!</v>
      </c>
      <c r="O183" s="419">
        <f t="shared" si="10"/>
        <v>0</v>
      </c>
      <c r="P183" s="419" t="e">
        <f t="shared" si="12"/>
        <v>#REF!</v>
      </c>
      <c r="Q183" s="419" t="e">
        <f t="shared" si="12"/>
        <v>#REF!</v>
      </c>
      <c r="R183" s="419" t="e">
        <f t="shared" si="12"/>
        <v>#REF!</v>
      </c>
      <c r="S183" s="419" t="e">
        <f t="shared" si="12"/>
        <v>#REF!</v>
      </c>
      <c r="T183" s="419" t="e">
        <f t="shared" si="12"/>
        <v>#REF!</v>
      </c>
      <c r="U183" s="419" t="e">
        <f t="shared" si="12"/>
        <v>#REF!</v>
      </c>
      <c r="V183" s="419" t="e">
        <f t="shared" si="12"/>
        <v>#REF!</v>
      </c>
      <c r="W183" s="419" t="e">
        <f t="shared" si="12"/>
        <v>#REF!</v>
      </c>
      <c r="X183" s="419">
        <f t="shared" si="12"/>
        <v>0</v>
      </c>
      <c r="Y183" s="419">
        <f t="shared" si="12"/>
        <v>0</v>
      </c>
      <c r="Z183" s="419">
        <f t="shared" si="12"/>
        <v>0</v>
      </c>
      <c r="AA183" s="419">
        <f t="shared" si="12"/>
        <v>0</v>
      </c>
      <c r="AB183" s="419">
        <f t="shared" si="12"/>
        <v>0</v>
      </c>
      <c r="AC183" s="419">
        <f t="shared" si="12"/>
        <v>0</v>
      </c>
      <c r="AD183" s="419">
        <f t="shared" si="12"/>
        <v>0</v>
      </c>
      <c r="AE183" s="419">
        <f t="shared" si="12"/>
        <v>0</v>
      </c>
      <c r="AF183" s="419">
        <f t="shared" si="12"/>
        <v>0</v>
      </c>
      <c r="AG183" s="419">
        <f t="shared" si="12"/>
        <v>0</v>
      </c>
      <c r="AH183" s="419">
        <f t="shared" si="12"/>
        <v>0</v>
      </c>
      <c r="AI183" s="419">
        <f t="shared" si="12"/>
        <v>0</v>
      </c>
      <c r="AJ183" s="419">
        <f t="shared" si="12"/>
        <v>0</v>
      </c>
      <c r="AK183" s="419">
        <f t="shared" si="12"/>
        <v>0</v>
      </c>
      <c r="AL183" s="419">
        <f t="shared" si="12"/>
        <v>0</v>
      </c>
      <c r="AM183" s="419">
        <f t="shared" si="12"/>
        <v>0</v>
      </c>
      <c r="AN183" s="419">
        <f t="shared" si="12"/>
        <v>0</v>
      </c>
      <c r="AO183" s="419">
        <f t="shared" si="12"/>
        <v>0</v>
      </c>
      <c r="AP183" s="419">
        <f t="shared" si="12"/>
        <v>0</v>
      </c>
      <c r="AQ183" s="419">
        <f t="shared" si="12"/>
        <v>0</v>
      </c>
      <c r="AR183" s="419">
        <f t="shared" si="12"/>
        <v>0</v>
      </c>
      <c r="AS183" s="419">
        <f t="shared" si="12"/>
        <v>0</v>
      </c>
      <c r="AT183" s="419">
        <f t="shared" si="12"/>
        <v>0</v>
      </c>
      <c r="AU183" s="419">
        <f t="shared" si="12"/>
        <v>0</v>
      </c>
      <c r="AV183" s="419">
        <f t="shared" si="12"/>
        <v>0</v>
      </c>
      <c r="AW183" s="287">
        <f t="shared" si="1"/>
        <v>0</v>
      </c>
    </row>
    <row r="184" ht="21" customHeight="1" spans="3:49" x14ac:dyDescent="0.25">
      <c r="C184" s="1335">
        <v>53</v>
      </c>
      <c r="D184" s="2466">
        <f>'ДОХОДЫ НС'!W186</f>
        <v>0</v>
      </c>
      <c r="E184" s="2473" t="s">
        <v>1898</v>
      </c>
      <c r="F184" s="26" t="s">
        <v>866</v>
      </c>
      <c r="G184" s="287" t="s">
        <v>2266</v>
      </c>
      <c r="H184" s="287"/>
      <c r="I184" s="287"/>
      <c r="J184" s="287"/>
      <c r="K184" s="287"/>
      <c r="L184" s="287"/>
      <c r="M184" s="1362"/>
      <c r="N184" s="419" t="e">
        <f t="shared" si="3"/>
        <v>#REF!</v>
      </c>
      <c r="O184" s="419" t="e">
        <f t="shared" si="10"/>
        <v>#REF!</v>
      </c>
      <c r="P184" s="419" t="e">
        <f t="shared" si="12"/>
        <v>#REF!</v>
      </c>
      <c r="Q184" s="419" t="e">
        <f t="shared" si="12"/>
        <v>#REF!</v>
      </c>
      <c r="R184" s="419" t="e">
        <f t="shared" si="12"/>
        <v>#REF!</v>
      </c>
      <c r="S184" s="419" t="e">
        <f t="shared" si="12"/>
        <v>#REF!</v>
      </c>
      <c r="T184" s="419" t="e">
        <f t="shared" si="12"/>
        <v>#REF!</v>
      </c>
      <c r="U184" s="419" t="e">
        <f t="shared" si="12"/>
        <v>#REF!</v>
      </c>
      <c r="V184" s="419" t="e">
        <f t="shared" si="12"/>
        <v>#REF!</v>
      </c>
      <c r="W184" s="419" t="e">
        <f t="shared" si="12"/>
        <v>#REF!</v>
      </c>
      <c r="X184" s="419" t="e">
        <f t="shared" si="12"/>
        <v>#REF!</v>
      </c>
      <c r="Y184" s="419" t="e">
        <f t="shared" si="12"/>
        <v>#REF!</v>
      </c>
      <c r="Z184" s="419" t="e">
        <f t="shared" si="12"/>
        <v>#REF!</v>
      </c>
      <c r="AA184" s="419">
        <f t="shared" si="12"/>
        <v>0.21351385469365744</v>
      </c>
      <c r="AB184" s="419">
        <f t="shared" si="12"/>
        <v>0.20520344296820808</v>
      </c>
      <c r="AC184" s="419">
        <f t="shared" si="12"/>
        <v>0.1409021032969884</v>
      </c>
      <c r="AD184" s="419">
        <f t="shared" si="12"/>
        <v>0.13960655154257318</v>
      </c>
      <c r="AE184" s="419">
        <f t="shared" si="12"/>
        <v>0.15683633272810615</v>
      </c>
      <c r="AF184" s="419">
        <f t="shared" si="12"/>
        <v>0.15097764346053008</v>
      </c>
      <c r="AG184" s="419">
        <f t="shared" si="12"/>
        <v>0.14629069204646922</v>
      </c>
      <c r="AH184" s="419">
        <f t="shared" si="12"/>
        <v>0.14254113091522053</v>
      </c>
      <c r="AI184" s="419">
        <f t="shared" si="12"/>
        <v>0.13954148201022157</v>
      </c>
      <c r="AJ184" s="419">
        <f t="shared" si="12"/>
        <v>0.1371417628862224</v>
      </c>
      <c r="AK184" s="419">
        <f t="shared" si="12"/>
        <v>0.13522198758702306</v>
      </c>
      <c r="AL184" s="419">
        <f t="shared" si="12"/>
        <v>0.1336861673476636</v>
      </c>
      <c r="AM184" s="419">
        <f t="shared" si="12"/>
        <v>0.13245751115617602</v>
      </c>
      <c r="AN184" s="419">
        <f t="shared" si="12"/>
        <v>0.13147458620298597</v>
      </c>
      <c r="AO184" s="419">
        <f t="shared" si="12"/>
        <v>0.13068824624043393</v>
      </c>
      <c r="AP184" s="419">
        <f t="shared" si="12"/>
        <v>0.1300591742703923</v>
      </c>
      <c r="AQ184" s="419">
        <f t="shared" si="12"/>
        <v>0.12955591669435898</v>
      </c>
      <c r="AR184" s="419">
        <f t="shared" si="12"/>
        <v>0.12915331063353233</v>
      </c>
      <c r="AS184" s="419">
        <f t="shared" si="12"/>
        <v>0.12883122578487102</v>
      </c>
      <c r="AT184" s="419">
        <f t="shared" si="12"/>
        <v>0.12857355790594197</v>
      </c>
      <c r="AU184" s="419">
        <f t="shared" si="12"/>
        <v>0.1283674236027987</v>
      </c>
      <c r="AV184" s="419">
        <f t="shared" si="12"/>
        <v>0.1282025161602841</v>
      </c>
      <c r="AW184" s="910" t="str">
        <f t="shared" si="1"/>
        <v> µ</v>
      </c>
    </row>
    <row r="185" ht="17.5" customHeight="1" spans="3:49" x14ac:dyDescent="0.25">
      <c r="C185" s="1335">
        <v>54</v>
      </c>
      <c r="D185" s="1387">
        <f>НАСТРОЙКА!GF179</f>
        <v>0</v>
      </c>
      <c r="E185" s="1349" t="s">
        <v>936</v>
      </c>
      <c r="F185" s="26" t="s">
        <v>866</v>
      </c>
      <c r="G185" s="287" t="s">
        <v>1620</v>
      </c>
      <c r="H185" s="287"/>
      <c r="I185" s="287"/>
      <c r="J185" s="287"/>
      <c r="K185" s="287"/>
      <c r="L185" s="287"/>
      <c r="M185" s="1371"/>
      <c r="N185" s="419">
        <f t="shared" si="3"/>
        <v>1.037</v>
      </c>
      <c r="O185" s="419">
        <f t="shared" si="10"/>
        <v>1.031815</v>
      </c>
      <c r="P185" s="419">
        <f t="shared" si="12"/>
        <v>1.0514194849999998</v>
      </c>
      <c r="Q185" s="419">
        <f t="shared" si="12"/>
        <v>1.1691784673199999</v>
      </c>
      <c r="R185" s="419">
        <f t="shared" si="12"/>
        <v>1.2802504217153998</v>
      </c>
      <c r="S185" s="419">
        <f t="shared" si="12"/>
        <v>1.3340209394274467</v>
      </c>
      <c r="T185" s="419">
        <f t="shared" si="12"/>
        <v>1.4714250961884736</v>
      </c>
      <c r="U185" s="419">
        <f t="shared" si="12"/>
        <v>1.6568246583082211</v>
      </c>
      <c r="V185" s="419">
        <f t="shared" si="12"/>
        <v>1.8523299679885914</v>
      </c>
      <c r="W185" s="419">
        <f t="shared" si="12"/>
        <v>1.9727314159078497</v>
      </c>
      <c r="X185" s="419">
        <f t="shared" si="12"/>
        <v>2.1167408092691224</v>
      </c>
      <c r="Y185" s="419">
        <f t="shared" si="12"/>
        <v>2.2500954802530773</v>
      </c>
      <c r="Z185" s="419">
        <f t="shared" si="12"/>
        <v>2.2635960531345956</v>
      </c>
      <c r="AA185" s="419">
        <f t="shared" si="12"/>
        <v>2.1572070386372695</v>
      </c>
      <c r="AB185" s="419">
        <f t="shared" si="12"/>
        <v>2.3082115313418785</v>
      </c>
      <c r="AC185" s="419">
        <f t="shared" si="12"/>
        <v>2.315136165935904</v>
      </c>
      <c r="AD185" s="419">
        <f t="shared" si="12"/>
        <v>2.3406026637611985</v>
      </c>
      <c r="AE185" s="419">
        <f t="shared" si="12"/>
        <v>2.448270386294214</v>
      </c>
      <c r="AF185" s="419">
        <f t="shared" si="12"/>
        <v>2.44582211590792</v>
      </c>
      <c r="AG185" s="419">
        <f t="shared" si="12"/>
        <v>2.443</v>
      </c>
      <c r="AH185" s="419">
        <f t="shared" si="12"/>
        <v>2.44</v>
      </c>
      <c r="AI185" s="419">
        <f t="shared" si="12"/>
        <v>2.44</v>
      </c>
      <c r="AJ185" s="419">
        <f t="shared" si="12"/>
        <v>2.4499999999999997</v>
      </c>
      <c r="AK185" s="419">
        <f t="shared" si="12"/>
        <v>2.4599999999999995</v>
      </c>
      <c r="AL185" s="419">
        <f t="shared" si="12"/>
        <v>2.4699999999999993</v>
      </c>
      <c r="AM185" s="419">
        <f t="shared" si="12"/>
        <v>2.479999999999999</v>
      </c>
      <c r="AN185" s="419">
        <f t="shared" si="12"/>
        <v>2.489999999999999</v>
      </c>
      <c r="AO185" s="419">
        <f t="shared" si="12"/>
        <v>2.4999999999999987</v>
      </c>
      <c r="AP185" s="419">
        <f t="shared" si="12"/>
        <v>2.5099999999999985</v>
      </c>
      <c r="AQ185" s="419">
        <f t="shared" si="12"/>
        <v>2.5199999999999982</v>
      </c>
      <c r="AR185" s="419">
        <f t="shared" si="12"/>
        <v>2.529999999999998</v>
      </c>
      <c r="AS185" s="419">
        <f t="shared" si="12"/>
        <v>2.539999999999998</v>
      </c>
      <c r="AT185" s="419">
        <f t="shared" si="12"/>
        <v>2.5499999999999976</v>
      </c>
      <c r="AU185" s="419">
        <f t="shared" si="12"/>
        <v>2.5599999999999974</v>
      </c>
      <c r="AV185" s="419">
        <f t="shared" si="12"/>
        <v>2.569999999999997</v>
      </c>
      <c r="AW185" s="910" t="str">
        <f t="shared" si="1"/>
        <v>Pe</v>
      </c>
    </row>
    <row r="186" ht="17.5" customHeight="1" spans="3:49" x14ac:dyDescent="0.25">
      <c r="C186" s="1335">
        <v>55</v>
      </c>
      <c r="D186" s="2474"/>
      <c r="E186" s="1349" t="s">
        <v>1621</v>
      </c>
      <c r="F186" s="26" t="s">
        <v>277</v>
      </c>
      <c r="G186" s="287" t="s">
        <v>928</v>
      </c>
      <c r="H186" s="287"/>
      <c r="I186" s="287"/>
      <c r="J186" s="287"/>
      <c r="K186" s="287"/>
      <c r="L186" s="287"/>
      <c r="M186" s="1368"/>
      <c r="N186" s="419" t="e">
        <f t="shared" si="3"/>
        <v>#REF!</v>
      </c>
      <c r="O186" s="419" t="e">
        <f t="shared" si="10"/>
        <v>#REF!</v>
      </c>
      <c r="P186" s="419" t="e">
        <f t="shared" si="12"/>
        <v>#REF!</v>
      </c>
      <c r="Q186" s="419" t="e">
        <f t="shared" si="12"/>
        <v>#REF!</v>
      </c>
      <c r="R186" s="419" t="e">
        <f t="shared" si="12"/>
        <v>#REF!</v>
      </c>
      <c r="S186" s="419" t="e">
        <f t="shared" si="12"/>
        <v>#REF!</v>
      </c>
      <c r="T186" s="419" t="e">
        <f t="shared" si="12"/>
        <v>#REF!</v>
      </c>
      <c r="U186" s="419" t="e">
        <f t="shared" si="12"/>
        <v>#REF!</v>
      </c>
      <c r="V186" s="419" t="e">
        <f t="shared" si="12"/>
        <v>#REF!</v>
      </c>
      <c r="W186" s="419" t="e">
        <f t="shared" si="12"/>
        <v>#REF!</v>
      </c>
      <c r="X186" s="419" t="e">
        <f t="shared" si="12"/>
        <v>#REF!</v>
      </c>
      <c r="Y186" s="419" t="e">
        <f t="shared" si="12"/>
        <v>#REF!</v>
      </c>
      <c r="Z186" s="419" t="e">
        <f t="shared" si="12"/>
        <v>#REF!</v>
      </c>
      <c r="AA186" s="419">
        <f t="shared" si="12"/>
        <v>0</v>
      </c>
      <c r="AB186" s="419">
        <f t="shared" si="12"/>
        <v>0</v>
      </c>
      <c r="AC186" s="419">
        <f t="shared" si="12"/>
        <v>0</v>
      </c>
      <c r="AD186" s="419">
        <f t="shared" si="12"/>
        <v>0</v>
      </c>
      <c r="AE186" s="419">
        <f t="shared" si="12"/>
        <v>0</v>
      </c>
      <c r="AF186" s="419">
        <f t="shared" si="12"/>
        <v>0</v>
      </c>
      <c r="AG186" s="419">
        <f t="shared" si="12"/>
        <v>0</v>
      </c>
      <c r="AH186" s="419">
        <f t="shared" si="12"/>
        <v>0</v>
      </c>
      <c r="AI186" s="419">
        <f t="shared" si="12"/>
        <v>0</v>
      </c>
      <c r="AJ186" s="419">
        <f t="shared" si="12"/>
        <v>0</v>
      </c>
      <c r="AK186" s="419">
        <f t="shared" si="12"/>
        <v>0</v>
      </c>
      <c r="AL186" s="419">
        <f t="shared" si="12"/>
        <v>0</v>
      </c>
      <c r="AM186" s="419">
        <f t="shared" si="12"/>
        <v>0</v>
      </c>
      <c r="AN186" s="419">
        <f t="shared" si="12"/>
        <v>0</v>
      </c>
      <c r="AO186" s="419">
        <f t="shared" si="12"/>
        <v>0</v>
      </c>
      <c r="AP186" s="419">
        <f t="shared" si="12"/>
        <v>0</v>
      </c>
      <c r="AQ186" s="419">
        <f t="shared" si="12"/>
        <v>0</v>
      </c>
      <c r="AR186" s="419">
        <f t="shared" si="12"/>
        <v>0</v>
      </c>
      <c r="AS186" s="419">
        <f t="shared" si="12"/>
        <v>0</v>
      </c>
      <c r="AT186" s="419">
        <f t="shared" si="12"/>
        <v>0</v>
      </c>
      <c r="AU186" s="419">
        <f t="shared" si="12"/>
        <v>0</v>
      </c>
      <c r="AV186" s="419">
        <f t="shared" si="12"/>
        <v>0</v>
      </c>
      <c r="AW186" s="287" t="str">
        <f t="shared" si="1"/>
        <v>ЕXo</v>
      </c>
    </row>
    <row r="187" ht="17.5" customHeight="1" spans="3:49" x14ac:dyDescent="0.25">
      <c r="C187" s="1335">
        <v>56</v>
      </c>
      <c r="D187" s="2474"/>
      <c r="E187" s="1349" t="s">
        <v>24</v>
      </c>
      <c r="F187" s="26" t="s">
        <v>277</v>
      </c>
      <c r="G187" s="287" t="s">
        <v>952</v>
      </c>
      <c r="H187" s="287"/>
      <c r="I187" s="287"/>
      <c r="J187" s="287"/>
      <c r="K187" s="2475">
        <v>392.2955639834661</v>
      </c>
      <c r="L187" s="1726">
        <v>296.96774193548384</v>
      </c>
      <c r="M187" s="1726"/>
      <c r="N187" s="419" t="e">
        <f t="shared" si="3"/>
        <v>#REF!</v>
      </c>
      <c r="O187" s="419" t="e">
        <f t="shared" si="10"/>
        <v>#REF!</v>
      </c>
      <c r="P187" s="419" t="e">
        <f t="shared" si="12"/>
        <v>#REF!</v>
      </c>
      <c r="Q187" s="419" t="e">
        <f t="shared" si="12"/>
        <v>#REF!</v>
      </c>
      <c r="R187" s="419" t="e">
        <f t="shared" si="12"/>
        <v>#REF!</v>
      </c>
      <c r="S187" s="419" t="e">
        <f t="shared" si="12"/>
        <v>#REF!</v>
      </c>
      <c r="T187" s="419" t="e">
        <f t="shared" si="12"/>
        <v>#REF!</v>
      </c>
      <c r="U187" s="419" t="e">
        <f t="shared" si="12"/>
        <v>#REF!</v>
      </c>
      <c r="V187" s="419" t="e">
        <f t="shared" si="12"/>
        <v>#REF!</v>
      </c>
      <c r="W187" s="419" t="e">
        <f t="shared" si="12"/>
        <v>#REF!</v>
      </c>
      <c r="X187" s="419" t="e">
        <f t="shared" si="12"/>
        <v>#REF!</v>
      </c>
      <c r="Y187" s="419" t="e">
        <f t="shared" si="12"/>
        <v>#REF!</v>
      </c>
      <c r="Z187" s="419" t="e">
        <f t="shared" si="12"/>
        <v>#REF!</v>
      </c>
      <c r="AA187" s="419">
        <f t="shared" si="12"/>
        <v>0</v>
      </c>
      <c r="AB187" s="419">
        <f t="shared" si="12"/>
        <v>0</v>
      </c>
      <c r="AC187" s="419">
        <f t="shared" si="12"/>
        <v>0</v>
      </c>
      <c r="AD187" s="419">
        <f t="shared" si="12"/>
        <v>0</v>
      </c>
      <c r="AE187" s="419">
        <f t="shared" si="12"/>
        <v>0</v>
      </c>
      <c r="AF187" s="419">
        <f t="shared" si="12"/>
        <v>0</v>
      </c>
      <c r="AG187" s="419">
        <f t="shared" si="12"/>
        <v>0</v>
      </c>
      <c r="AH187" s="419">
        <f t="shared" ref="P187:AV190" si="13">AH59-AH123</f>
        <v>0</v>
      </c>
      <c r="AI187" s="419">
        <f t="shared" si="13"/>
        <v>0</v>
      </c>
      <c r="AJ187" s="419">
        <f t="shared" si="13"/>
        <v>0</v>
      </c>
      <c r="AK187" s="419">
        <f t="shared" si="13"/>
        <v>0</v>
      </c>
      <c r="AL187" s="419">
        <f t="shared" si="13"/>
        <v>0</v>
      </c>
      <c r="AM187" s="419">
        <f t="shared" si="13"/>
        <v>0</v>
      </c>
      <c r="AN187" s="419">
        <f t="shared" si="13"/>
        <v>0</v>
      </c>
      <c r="AO187" s="419">
        <f t="shared" si="13"/>
        <v>0</v>
      </c>
      <c r="AP187" s="419">
        <f t="shared" si="13"/>
        <v>0</v>
      </c>
      <c r="AQ187" s="419">
        <f t="shared" si="13"/>
        <v>0</v>
      </c>
      <c r="AR187" s="419">
        <f t="shared" si="13"/>
        <v>0</v>
      </c>
      <c r="AS187" s="419">
        <f t="shared" si="13"/>
        <v>0</v>
      </c>
      <c r="AT187" s="419">
        <f t="shared" si="13"/>
        <v>0</v>
      </c>
      <c r="AU187" s="419">
        <f t="shared" si="13"/>
        <v>0</v>
      </c>
      <c r="AV187" s="419">
        <f t="shared" si="13"/>
        <v>0</v>
      </c>
      <c r="AW187" s="287" t="str">
        <f t="shared" si="1"/>
        <v>INS</v>
      </c>
    </row>
    <row r="188" ht="17.5" customHeight="1" spans="3:49" x14ac:dyDescent="0.25">
      <c r="C188" s="1335">
        <v>57</v>
      </c>
      <c r="D188" s="2474"/>
      <c r="E188" s="1349" t="s">
        <v>116</v>
      </c>
      <c r="F188" s="26" t="s">
        <v>277</v>
      </c>
      <c r="G188" s="287" t="s">
        <v>1622</v>
      </c>
      <c r="H188" s="287"/>
      <c r="I188" s="287"/>
      <c r="J188" s="287"/>
      <c r="K188" s="287"/>
      <c r="L188" s="1352">
        <v>610.838</v>
      </c>
      <c r="M188" s="1368"/>
      <c r="N188" s="419" t="e">
        <f t="shared" si="3"/>
        <v>#REF!</v>
      </c>
      <c r="O188" s="419" t="e">
        <f t="shared" si="10"/>
        <v>#REF!</v>
      </c>
      <c r="P188" s="419" t="e">
        <f t="shared" si="13"/>
        <v>#REF!</v>
      </c>
      <c r="Q188" s="419" t="e">
        <f t="shared" si="13"/>
        <v>#REF!</v>
      </c>
      <c r="R188" s="419" t="e">
        <f t="shared" si="13"/>
        <v>#REF!</v>
      </c>
      <c r="S188" s="419" t="e">
        <f t="shared" si="13"/>
        <v>#REF!</v>
      </c>
      <c r="T188" s="419" t="e">
        <f t="shared" si="13"/>
        <v>#REF!</v>
      </c>
      <c r="U188" s="419" t="e">
        <f t="shared" si="13"/>
        <v>#REF!</v>
      </c>
      <c r="V188" s="419" t="e">
        <f t="shared" si="13"/>
        <v>#REF!</v>
      </c>
      <c r="W188" s="419" t="e">
        <f t="shared" si="13"/>
        <v>#REF!</v>
      </c>
      <c r="X188" s="419" t="e">
        <f t="shared" si="13"/>
        <v>#REF!</v>
      </c>
      <c r="Y188" s="419" t="e">
        <f t="shared" si="13"/>
        <v>#REF!</v>
      </c>
      <c r="Z188" s="419" t="e">
        <f t="shared" si="13"/>
        <v>#REF!</v>
      </c>
      <c r="AA188" s="419">
        <f t="shared" si="13"/>
        <v>0</v>
      </c>
      <c r="AB188" s="419">
        <f t="shared" si="13"/>
        <v>0</v>
      </c>
      <c r="AC188" s="419">
        <f t="shared" si="13"/>
        <v>0</v>
      </c>
      <c r="AD188" s="419">
        <f t="shared" si="13"/>
        <v>0</v>
      </c>
      <c r="AE188" s="419">
        <f t="shared" si="13"/>
        <v>0</v>
      </c>
      <c r="AF188" s="419">
        <f t="shared" si="13"/>
        <v>0</v>
      </c>
      <c r="AG188" s="419">
        <f t="shared" si="13"/>
        <v>0</v>
      </c>
      <c r="AH188" s="419">
        <f t="shared" si="13"/>
        <v>0</v>
      </c>
      <c r="AI188" s="419">
        <f t="shared" si="13"/>
        <v>0</v>
      </c>
      <c r="AJ188" s="419">
        <f t="shared" si="13"/>
        <v>0</v>
      </c>
      <c r="AK188" s="419">
        <f t="shared" si="13"/>
        <v>0</v>
      </c>
      <c r="AL188" s="419">
        <f t="shared" si="13"/>
        <v>0</v>
      </c>
      <c r="AM188" s="419">
        <f t="shared" si="13"/>
        <v>0</v>
      </c>
      <c r="AN188" s="419">
        <f t="shared" si="13"/>
        <v>0</v>
      </c>
      <c r="AO188" s="419">
        <f t="shared" si="13"/>
        <v>0</v>
      </c>
      <c r="AP188" s="419">
        <f t="shared" si="13"/>
        <v>0</v>
      </c>
      <c r="AQ188" s="419">
        <f t="shared" si="13"/>
        <v>0</v>
      </c>
      <c r="AR188" s="419">
        <f t="shared" si="13"/>
        <v>0</v>
      </c>
      <c r="AS188" s="419">
        <f t="shared" si="13"/>
        <v>0</v>
      </c>
      <c r="AT188" s="419">
        <f t="shared" si="13"/>
        <v>0</v>
      </c>
      <c r="AU188" s="419">
        <f t="shared" si="13"/>
        <v>0</v>
      </c>
      <c r="AV188" s="419">
        <f t="shared" si="13"/>
        <v>0</v>
      </c>
      <c r="AW188" s="287" t="str">
        <f t="shared" si="1"/>
        <v>WWP</v>
      </c>
    </row>
    <row r="189" ht="17.5" customHeight="1" spans="3:49" x14ac:dyDescent="0.25">
      <c r="C189" s="1335">
        <v>58</v>
      </c>
      <c r="D189" s="1387">
        <f>НАСТРОЙКА!DB140</f>
        <v>0</v>
      </c>
      <c r="E189" s="1349" t="s">
        <v>312</v>
      </c>
      <c r="F189" s="26" t="s">
        <v>277</v>
      </c>
      <c r="G189" s="287" t="s">
        <v>1623</v>
      </c>
      <c r="H189" s="287"/>
      <c r="I189" s="287"/>
      <c r="J189" s="287"/>
      <c r="K189" s="287"/>
      <c r="L189" s="287"/>
      <c r="M189" s="1371"/>
      <c r="N189" s="419" t="e">
        <f t="shared" si="3"/>
        <v>#REF!</v>
      </c>
      <c r="O189" s="419" t="e">
        <f t="shared" si="10"/>
        <v>#REF!</v>
      </c>
      <c r="P189" s="419" t="e">
        <f t="shared" si="13"/>
        <v>#REF!</v>
      </c>
      <c r="Q189" s="419" t="e">
        <f t="shared" si="13"/>
        <v>#REF!</v>
      </c>
      <c r="R189" s="419" t="e">
        <f t="shared" si="13"/>
        <v>#REF!</v>
      </c>
      <c r="S189" s="419">
        <f t="shared" si="13"/>
        <v>-40.0226</v>
      </c>
      <c r="T189" s="419">
        <f t="shared" si="13"/>
        <v>-1.707</v>
      </c>
      <c r="U189" s="419">
        <f t="shared" si="13"/>
        <v>-107.4624</v>
      </c>
      <c r="V189" s="419">
        <f t="shared" si="13"/>
        <v>-96.1435</v>
      </c>
      <c r="W189" s="419">
        <f t="shared" si="13"/>
        <v>-126.0953</v>
      </c>
      <c r="X189" s="419">
        <f t="shared" si="13"/>
        <v>-17.1794</v>
      </c>
      <c r="Y189" s="419">
        <f t="shared" si="13"/>
        <v>378.2842</v>
      </c>
      <c r="Z189" s="419">
        <f t="shared" si="13"/>
        <v>-605.3455</v>
      </c>
      <c r="AA189" s="419">
        <f t="shared" si="13"/>
        <v>-694.862</v>
      </c>
      <c r="AB189" s="419">
        <f t="shared" si="13"/>
        <v>-418.459</v>
      </c>
      <c r="AC189" s="419">
        <f t="shared" si="13"/>
        <v>-321.144</v>
      </c>
      <c r="AD189" s="419">
        <f t="shared" si="13"/>
        <v>-745.13</v>
      </c>
      <c r="AE189" s="419">
        <f t="shared" si="13"/>
        <v>-794.27</v>
      </c>
      <c r="AF189" s="419">
        <f t="shared" si="13"/>
        <v>-470.98</v>
      </c>
      <c r="AG189" s="419">
        <f t="shared" si="13"/>
        <v>0</v>
      </c>
      <c r="AH189" s="419">
        <f t="shared" si="13"/>
        <v>0</v>
      </c>
      <c r="AI189" s="419">
        <f t="shared" si="13"/>
        <v>0</v>
      </c>
      <c r="AJ189" s="419">
        <f t="shared" si="13"/>
        <v>0</v>
      </c>
      <c r="AK189" s="419">
        <f t="shared" si="13"/>
        <v>0</v>
      </c>
      <c r="AL189" s="419">
        <f t="shared" si="13"/>
        <v>0</v>
      </c>
      <c r="AM189" s="419">
        <f t="shared" si="13"/>
        <v>0</v>
      </c>
      <c r="AN189" s="419">
        <f t="shared" si="13"/>
        <v>0</v>
      </c>
      <c r="AO189" s="419">
        <f t="shared" si="13"/>
        <v>0</v>
      </c>
      <c r="AP189" s="419">
        <f t="shared" si="13"/>
        <v>0</v>
      </c>
      <c r="AQ189" s="419">
        <f t="shared" si="13"/>
        <v>0</v>
      </c>
      <c r="AR189" s="419">
        <f t="shared" si="13"/>
        <v>0</v>
      </c>
      <c r="AS189" s="419">
        <f t="shared" si="13"/>
        <v>0</v>
      </c>
      <c r="AT189" s="419">
        <f t="shared" si="13"/>
        <v>0</v>
      </c>
      <c r="AU189" s="419">
        <f t="shared" si="13"/>
        <v>0</v>
      </c>
      <c r="AV189" s="419">
        <f t="shared" si="13"/>
        <v>0</v>
      </c>
      <c r="AW189" s="287" t="str">
        <f t="shared" si="1"/>
        <v>STR</v>
      </c>
    </row>
    <row r="190" ht="17.5" customHeight="1" spans="3:49" x14ac:dyDescent="0.25">
      <c r="C190" s="1335">
        <v>59</v>
      </c>
      <c r="D190" s="2476">
        <f>НАСТРОЙКА!#REF!</f>
        <v>NaN</v>
      </c>
      <c r="E190" s="1729" t="s">
        <v>1631</v>
      </c>
      <c r="F190" s="692" t="s">
        <v>866</v>
      </c>
      <c r="G190" s="1501" t="s">
        <v>1625</v>
      </c>
      <c r="H190" s="1501"/>
      <c r="I190" s="1501"/>
      <c r="J190" s="1501"/>
      <c r="K190" s="287"/>
      <c r="L190" s="287"/>
      <c r="M190" s="1662"/>
      <c r="N190" s="419" t="e">
        <f t="shared" si="3"/>
        <v>#REF!</v>
      </c>
      <c r="O190" s="419" t="e">
        <f t="shared" si="10"/>
        <v>#REF!</v>
      </c>
      <c r="P190" s="419" t="e">
        <f t="shared" si="13"/>
        <v>#REF!</v>
      </c>
      <c r="Q190" s="419" t="e">
        <f t="shared" si="13"/>
        <v>#REF!</v>
      </c>
      <c r="R190" s="419" t="e">
        <f t="shared" si="13"/>
        <v>#REF!</v>
      </c>
      <c r="S190" s="419">
        <f t="shared" si="13"/>
        <v>0</v>
      </c>
      <c r="T190" s="419">
        <f t="shared" si="13"/>
        <v>0</v>
      </c>
      <c r="U190" s="419">
        <f t="shared" si="13"/>
        <v>0</v>
      </c>
      <c r="V190" s="419">
        <f t="shared" si="13"/>
        <v>-1.6191871158680822e-16</v>
      </c>
      <c r="W190" s="419">
        <f t="shared" si="13"/>
        <v>0</v>
      </c>
      <c r="X190" s="419">
        <f t="shared" si="13"/>
        <v>-2.8129249577294936e-16</v>
      </c>
      <c r="Y190" s="419">
        <f t="shared" si="13"/>
        <v>-2.592557564727644e-16</v>
      </c>
      <c r="Z190" s="419">
        <f t="shared" si="13"/>
        <v>-1.232204165745078e-16</v>
      </c>
      <c r="AA190" s="419">
        <f t="shared" si="13"/>
        <v>-1.3378981169870552e-16</v>
      </c>
      <c r="AB190" s="419">
        <f t="shared" si="13"/>
        <v>-1.2802852794134502e-16</v>
      </c>
      <c r="AC190" s="419">
        <f t="shared" si="13"/>
        <v>-1.2275026648259352e-16</v>
      </c>
      <c r="AD190" s="419">
        <f t="shared" si="13"/>
        <v>-3.5614197238663486e-16</v>
      </c>
      <c r="AE190" s="419">
        <f t="shared" si="13"/>
        <v>0</v>
      </c>
      <c r="AF190" s="419">
        <f t="shared" si="13"/>
        <v>0</v>
      </c>
      <c r="AG190" s="419">
        <f t="shared" si="13"/>
        <v>0</v>
      </c>
      <c r="AH190" s="419">
        <f t="shared" si="13"/>
        <v>0</v>
      </c>
      <c r="AI190" s="419">
        <f t="shared" si="13"/>
        <v>0</v>
      </c>
      <c r="AJ190" s="419">
        <f t="shared" si="13"/>
        <v>0</v>
      </c>
      <c r="AK190" s="419">
        <f t="shared" si="13"/>
        <v>0</v>
      </c>
      <c r="AL190" s="419">
        <f t="shared" si="13"/>
        <v>0</v>
      </c>
      <c r="AM190" s="419">
        <f t="shared" si="13"/>
        <v>0</v>
      </c>
      <c r="AN190" s="419">
        <f t="shared" si="13"/>
        <v>0</v>
      </c>
      <c r="AO190" s="419">
        <f t="shared" si="13"/>
        <v>0</v>
      </c>
      <c r="AP190" s="419">
        <f t="shared" si="13"/>
        <v>0</v>
      </c>
      <c r="AQ190" s="419">
        <f t="shared" si="13"/>
        <v>0</v>
      </c>
      <c r="AR190" s="419">
        <f t="shared" si="13"/>
        <v>0</v>
      </c>
      <c r="AS190" s="419">
        <f t="shared" si="13"/>
        <v>0</v>
      </c>
      <c r="AT190" s="419">
        <f t="shared" si="13"/>
        <v>0</v>
      </c>
      <c r="AU190" s="419">
        <f t="shared" si="13"/>
        <v>0</v>
      </c>
      <c r="AV190" s="419" t="e">
        <f t="shared" si="13"/>
        <v>#VALUE!</v>
      </c>
      <c r="AW190" s="287" t="str">
        <f t="shared" si="1"/>
        <v>dev</v>
      </c>
    </row>
    <row r="191" ht="15.5" customHeight="1" spans="11:49" x14ac:dyDescent="0.25">
      <c r="K191" s="1731">
        <v>1993</v>
      </c>
      <c r="L191" s="1437">
        <v>1994</v>
      </c>
      <c r="M191" s="1436">
        <v>1995</v>
      </c>
      <c r="N191" s="1437">
        <v>1996</v>
      </c>
      <c r="O191" s="1437">
        <v>1997</v>
      </c>
      <c r="P191" s="1437">
        <v>1998</v>
      </c>
      <c r="Q191" s="1437">
        <v>1999</v>
      </c>
      <c r="R191" s="1437">
        <v>2000</v>
      </c>
      <c r="S191" s="1437">
        <v>2001</v>
      </c>
      <c r="T191" s="1437">
        <v>2002</v>
      </c>
      <c r="U191" s="1437">
        <v>2003</v>
      </c>
      <c r="V191" s="1437">
        <v>2004</v>
      </c>
      <c r="W191" s="1437">
        <v>2005</v>
      </c>
      <c r="X191" s="1437">
        <v>2006</v>
      </c>
      <c r="Y191" s="1437">
        <v>2007</v>
      </c>
      <c r="Z191" s="1437">
        <v>2008</v>
      </c>
      <c r="AA191" s="1437">
        <v>2009</v>
      </c>
      <c r="AB191" s="1437">
        <v>2010</v>
      </c>
      <c r="AC191" s="1437">
        <v>2011</v>
      </c>
      <c r="AD191" s="1437">
        <v>2012</v>
      </c>
      <c r="AE191" s="1437">
        <v>2013</v>
      </c>
      <c r="AF191" s="1437">
        <v>2014</v>
      </c>
      <c r="AG191" s="1437">
        <v>2015</v>
      </c>
      <c r="AH191" s="1437">
        <v>2016</v>
      </c>
      <c r="AI191" s="1437">
        <v>2017</v>
      </c>
      <c r="AJ191" s="1437">
        <v>2018</v>
      </c>
      <c r="AK191" s="1437">
        <v>2019</v>
      </c>
      <c r="AL191" s="1437">
        <v>2020</v>
      </c>
      <c r="AM191" s="1437">
        <v>2021</v>
      </c>
      <c r="AN191" s="1437">
        <v>2022</v>
      </c>
      <c r="AO191" s="1437">
        <v>2023</v>
      </c>
      <c r="AP191" s="1437">
        <v>2024</v>
      </c>
      <c r="AQ191" s="1438">
        <v>2025</v>
      </c>
      <c r="AR191" s="1437">
        <v>2026</v>
      </c>
      <c r="AS191" s="1438">
        <v>2027</v>
      </c>
      <c r="AT191" s="1437">
        <v>2028</v>
      </c>
      <c r="AU191" s="1438">
        <v>2029</v>
      </c>
      <c r="AV191" s="1437">
        <v>2030</v>
      </c>
      <c r="AW191" s="287">
        <f t="shared" si="1"/>
        <v>0</v>
      </c>
    </row>
    <row r="194" ht="15.5" customHeight="1" spans="6:49" x14ac:dyDescent="0.25">
      <c r="F194" s="1443"/>
      <c r="G194" s="287" t="s">
        <v>1373</v>
      </c>
      <c r="H194" s="287"/>
      <c r="I194" s="287"/>
      <c r="J194" s="287"/>
      <c r="K194" s="287"/>
      <c r="L194" s="1458"/>
      <c r="M194" s="1493">
        <v>0.959</v>
      </c>
      <c r="N194" s="2477">
        <v>0.963999190212038</v>
      </c>
      <c r="O194" s="2477">
        <v>1.0139999999999998</v>
      </c>
      <c r="P194" s="2477">
        <v>0.9470000000000002</v>
      </c>
      <c r="Q194" s="2477">
        <v>1.064</v>
      </c>
      <c r="R194" s="2477">
        <v>1.0999999999999999</v>
      </c>
      <c r="S194" s="2477">
        <v>1.051</v>
      </c>
      <c r="T194" s="2477">
        <v>1.0470000000000002</v>
      </c>
      <c r="U194" s="2477">
        <v>1.0729999999999995</v>
      </c>
      <c r="V194" s="2477">
        <v>1.0720000000000003</v>
      </c>
      <c r="W194" s="2477">
        <v>1.0639999999999996</v>
      </c>
      <c r="X194" s="2477">
        <v>1.0820000000000003</v>
      </c>
      <c r="Y194" s="2477">
        <v>1.0849999999999997</v>
      </c>
      <c r="Z194" s="2477">
        <v>1.0520000000000003</v>
      </c>
      <c r="AA194" s="2477">
        <v>0.921</v>
      </c>
      <c r="AB194" s="2477">
        <v>1.045</v>
      </c>
      <c r="AC194" s="2477">
        <v>1.0429999999999997</v>
      </c>
      <c r="AD194" s="2477">
        <v>1.0340000000000003</v>
      </c>
      <c r="AE194" s="2477">
        <v>1.0129999999999995</v>
      </c>
      <c r="AF194" s="2477">
        <v>1.0060000000000002</v>
      </c>
      <c r="AG194" s="2477">
        <v>0.9240776039807447</v>
      </c>
      <c r="AH194" s="2477">
        <v>0.871266341845077</v>
      </c>
      <c r="AI194" s="2477">
        <v>0.9773265784401286</v>
      </c>
      <c r="AJ194" s="2477">
        <v>0.992478692010285</v>
      </c>
      <c r="AK194" s="2477">
        <v>0.9886946364587291</v>
      </c>
      <c r="AL194" s="2477">
        <v>0.9911163996810405</v>
      </c>
      <c r="AM194" s="2477">
        <v>0.9916314252829451</v>
      </c>
      <c r="AN194" s="2477">
        <v>0.9937423067281533</v>
      </c>
      <c r="AO194" s="2477">
        <v>0.9940998903491394</v>
      </c>
      <c r="AP194" s="2477">
        <v>0.9944514156443579</v>
      </c>
      <c r="AQ194" s="2477">
        <v>0.994797391719421</v>
      </c>
      <c r="AR194" s="2477">
        <v>0.9951373255325824</v>
      </c>
      <c r="AS194" s="2477">
        <v>0.9968187995075494</v>
      </c>
      <c r="AT194" s="2477">
        <v>0.9970421520331172</v>
      </c>
      <c r="AU194" s="2477">
        <v>0.9972610984315486</v>
      </c>
      <c r="AV194" s="2477">
        <v>0.9974752923455951</v>
      </c>
      <c r="AW194" s="287"/>
    </row>
    <row r="195" ht="15.5" customHeight="1" spans="6:49" x14ac:dyDescent="0.25">
      <c r="F195" s="1443"/>
      <c r="G195" s="287" t="s">
        <v>1373</v>
      </c>
      <c r="H195" s="287"/>
      <c r="I195" s="287"/>
      <c r="J195" s="287"/>
      <c r="K195" s="287"/>
      <c r="L195" s="1458"/>
      <c r="M195" s="1491">
        <f>СЧЁТ!O219</f>
        <v>0</v>
      </c>
      <c r="N195" s="2477">
        <f>СЧЁТ!P219</f>
        <v>0</v>
      </c>
      <c r="O195" s="2477">
        <f>СЧЁТ!Q219</f>
        <v>0</v>
      </c>
      <c r="P195" s="2477">
        <f>СЧЁТ!R219</f>
        <v>0</v>
      </c>
      <c r="Q195" s="2477">
        <f>СЧЁТ!S219</f>
        <v>0</v>
      </c>
      <c r="R195" s="2477">
        <f>СЧЁТ!T219</f>
        <v>0</v>
      </c>
      <c r="S195" s="2477">
        <f>СЧЁТ!U219</f>
        <v>0</v>
      </c>
      <c r="T195" s="2477">
        <f>СЧЁТ!V219</f>
        <v>0</v>
      </c>
      <c r="U195" s="2477">
        <f>СЧЁТ!W219</f>
        <v>0</v>
      </c>
      <c r="V195" s="2477">
        <f>СЧЁТ!X219</f>
        <v>0</v>
      </c>
      <c r="W195" s="2477">
        <f>СЧЁТ!Y219</f>
        <v>0</v>
      </c>
      <c r="X195" s="2477">
        <f>СЧЁТ!Z219</f>
        <v>0</v>
      </c>
      <c r="Y195" s="2477">
        <f>СЧЁТ!AA219</f>
        <v>0</v>
      </c>
      <c r="Z195" s="2477">
        <f>СЧЁТ!AB219</f>
        <v>0</v>
      </c>
      <c r="AA195" s="2477">
        <f>СЧЁТ!AC219</f>
        <v>0</v>
      </c>
      <c r="AB195" s="2477">
        <f>СЧЁТ!AD219</f>
        <v>0</v>
      </c>
      <c r="AC195" s="2477">
        <f>СЧЁТ!AE219</f>
        <v>0</v>
      </c>
      <c r="AD195" s="2477">
        <f>СЧЁТ!AF219</f>
        <v>0</v>
      </c>
      <c r="AE195" s="2477">
        <f>СЧЁТ!AG219</f>
        <v>0</v>
      </c>
      <c r="AF195" s="2477">
        <f>СЧЁТ!AH219</f>
        <v>0</v>
      </c>
      <c r="AG195" s="2477">
        <f>СЧЁТ!AI219</f>
        <v>0</v>
      </c>
      <c r="AH195" s="2477">
        <f>СЧЁТ!AJ219</f>
        <v>0</v>
      </c>
      <c r="AI195" s="2477">
        <f>СЧЁТ!AK219</f>
        <v>0</v>
      </c>
      <c r="AJ195" s="2477">
        <f>СЧЁТ!AL219</f>
        <v>0</v>
      </c>
      <c r="AK195" s="2477">
        <f>СЧЁТ!AM219</f>
        <v>0</v>
      </c>
      <c r="AL195" s="2477">
        <f>СЧЁТ!AN219</f>
        <v>0</v>
      </c>
      <c r="AM195" s="2477">
        <f>СЧЁТ!AO219</f>
        <v>0</v>
      </c>
      <c r="AN195" s="2477">
        <f>СЧЁТ!AP219</f>
        <v>0</v>
      </c>
      <c r="AO195" s="2477">
        <f>СЧЁТ!AQ219</f>
        <v>0</v>
      </c>
      <c r="AP195" s="2477">
        <f>СЧЁТ!AR219</f>
        <v>0</v>
      </c>
      <c r="AQ195" s="2477">
        <f>СЧЁТ!AS219</f>
        <v>0</v>
      </c>
      <c r="AR195" s="2477">
        <f>СЧЁТ!AT219</f>
        <v>0</v>
      </c>
      <c r="AS195" s="2477">
        <f>СЧЁТ!AU219</f>
        <v>0</v>
      </c>
      <c r="AT195" s="2477">
        <f>СЧЁТ!AV219</f>
        <v>0</v>
      </c>
      <c r="AU195" s="2477">
        <f>СЧЁТ!AW219</f>
        <v>0</v>
      </c>
      <c r="AV195" s="2477">
        <f>СЧЁТ!AX219</f>
        <v>0</v>
      </c>
      <c r="AW195" s="287">
        <f>B198</f>
        <v>0</v>
      </c>
    </row>
    <row r="196" ht="15" customHeight="1" spans="14:48" x14ac:dyDescent="0.25">
      <c r="N196" s="2478">
        <f>N195-N194</f>
        <v>-0.963999190212038</v>
      </c>
      <c r="O196" s="2478">
        <f t="shared" ref="O196:AV196" si="14">O195-O194</f>
        <v>-1.0139999999999998</v>
      </c>
      <c r="P196" s="2478">
        <f t="shared" si="14"/>
        <v>-0.9470000000000002</v>
      </c>
      <c r="Q196" s="2478">
        <f t="shared" si="14"/>
        <v>-1.064</v>
      </c>
      <c r="R196" s="2478">
        <f t="shared" si="14"/>
        <v>-1.0999999999999999</v>
      </c>
      <c r="S196" s="2478">
        <f t="shared" si="14"/>
        <v>-1.051</v>
      </c>
      <c r="T196" s="2478">
        <f t="shared" si="14"/>
        <v>-1.0470000000000002</v>
      </c>
      <c r="U196" s="2478">
        <f t="shared" si="14"/>
        <v>-1.0729999999999995</v>
      </c>
      <c r="V196" s="2478">
        <f t="shared" si="14"/>
        <v>-1.0720000000000003</v>
      </c>
      <c r="W196" s="2478">
        <f t="shared" si="14"/>
        <v>-1.0639999999999996</v>
      </c>
      <c r="X196" s="2478">
        <f t="shared" si="14"/>
        <v>-1.0820000000000003</v>
      </c>
      <c r="Y196" s="2478">
        <f t="shared" si="14"/>
        <v>-1.0849999999999997</v>
      </c>
      <c r="Z196" s="2478">
        <f t="shared" si="14"/>
        <v>-1.0520000000000003</v>
      </c>
      <c r="AA196" s="2478">
        <f t="shared" si="14"/>
        <v>-0.921</v>
      </c>
      <c r="AB196" s="2478">
        <f t="shared" si="14"/>
        <v>-1.045</v>
      </c>
      <c r="AC196" s="2478">
        <f t="shared" si="14"/>
        <v>-1.0429999999999997</v>
      </c>
      <c r="AD196" s="2478">
        <f t="shared" si="14"/>
        <v>-1.0340000000000003</v>
      </c>
      <c r="AE196" s="2478">
        <f t="shared" si="14"/>
        <v>-1.0129999999999995</v>
      </c>
      <c r="AF196" s="2478">
        <f t="shared" si="14"/>
        <v>-1.0060000000000002</v>
      </c>
      <c r="AG196" s="2478">
        <f t="shared" si="14"/>
        <v>-0.9240776039807447</v>
      </c>
      <c r="AH196" s="2478">
        <f t="shared" si="14"/>
        <v>-0.871266341845077</v>
      </c>
      <c r="AI196" s="2478">
        <f t="shared" si="14"/>
        <v>-0.9773265784401286</v>
      </c>
      <c r="AJ196" s="2478">
        <f t="shared" si="14"/>
        <v>-0.992478692010285</v>
      </c>
      <c r="AK196" s="2478">
        <f t="shared" si="14"/>
        <v>-0.9886946364587291</v>
      </c>
      <c r="AL196" s="2478">
        <f t="shared" si="14"/>
        <v>-0.9911163996810405</v>
      </c>
      <c r="AM196" s="2478">
        <f t="shared" si="14"/>
        <v>-0.9916314252829451</v>
      </c>
      <c r="AN196" s="2478">
        <f t="shared" si="14"/>
        <v>-0.9937423067281533</v>
      </c>
      <c r="AO196" s="2478">
        <f t="shared" si="14"/>
        <v>-0.9940998903491394</v>
      </c>
      <c r="AP196" s="2478">
        <f t="shared" si="14"/>
        <v>-0.9944514156443579</v>
      </c>
      <c r="AQ196" s="2478">
        <f t="shared" si="14"/>
        <v>-0.994797391719421</v>
      </c>
      <c r="AR196" s="2478">
        <f t="shared" si="14"/>
        <v>-0.9951373255325824</v>
      </c>
      <c r="AS196" s="2478">
        <f t="shared" si="14"/>
        <v>-0.9968187995075494</v>
      </c>
      <c r="AT196" s="2478">
        <f t="shared" si="14"/>
        <v>-0.9970421520331172</v>
      </c>
      <c r="AU196" s="2478">
        <f t="shared" si="14"/>
        <v>-0.9972610984315486</v>
      </c>
      <c r="AV196" s="2478">
        <f t="shared" si="14"/>
        <v>-0.9974752923455951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64"/>
  <sheetViews>
    <sheetView workbookViewId="0" zoomScale="70" zoomScaleNormal="70">
      <selection activeCell="C4" sqref="C4"/>
    </sheetView>
  </sheetViews>
  <sheetFormatPr defaultRowHeight="14.5" outlineLevelRow="0" outlineLevelCol="0" x14ac:dyDescent="0" defaultColWidth="8.83203125" customHeight="1"/>
  <sheetData>
    <row r="4" ht="15" customHeight="1" spans="3:4" x14ac:dyDescent="0.25">
      <c r="C4" s="2479">
        <f>200*365*19000000/1000000000</f>
        <v>1387</v>
      </c>
      <c r="D4" s="2479">
        <f>200*365*19000000/1000000000</f>
        <v>1387</v>
      </c>
    </row>
    <row r="5" ht="15.5" customHeight="1" spans="3:19" x14ac:dyDescent="0.25">
      <c r="C5" s="2443">
        <f>ОТЧЁТ!J49</f>
        <v>43898</v>
      </c>
      <c r="D5" s="1555" t="s">
        <v>2186</v>
      </c>
      <c r="E5" s="1555" t="s">
        <v>2187</v>
      </c>
      <c r="F5" s="1555" t="s">
        <v>2188</v>
      </c>
      <c r="G5" s="1555" t="s">
        <v>2189</v>
      </c>
      <c r="H5" s="1555" t="s">
        <v>2190</v>
      </c>
      <c r="I5" s="1555" t="s">
        <v>2191</v>
      </c>
      <c r="J5" s="1555" t="s">
        <v>2188</v>
      </c>
      <c r="K5" s="1555" t="s">
        <v>2192</v>
      </c>
      <c r="L5" s="1555" t="s">
        <v>2193</v>
      </c>
      <c r="M5" s="1555" t="s">
        <v>2194</v>
      </c>
      <c r="N5" s="1555" t="s">
        <v>2188</v>
      </c>
      <c r="O5" s="1555" t="s">
        <v>2195</v>
      </c>
      <c r="P5" s="1555" t="s">
        <v>2196</v>
      </c>
      <c r="Q5" s="1555" t="s">
        <v>2197</v>
      </c>
      <c r="R5" s="1555" t="s">
        <v>2188</v>
      </c>
      <c r="S5" s="1555" t="s">
        <v>2198</v>
      </c>
    </row>
    <row r="6" ht="15" customHeight="1" spans="3:19" x14ac:dyDescent="0.25">
      <c r="C6" s="2444">
        <f>СЧЁТ!O85</f>
        <v>43942</v>
      </c>
      <c r="D6" s="239" t="s">
        <v>283</v>
      </c>
      <c r="E6" s="239" t="s">
        <v>283</v>
      </c>
      <c r="F6" s="1987"/>
      <c r="G6" s="1987"/>
      <c r="H6" s="239" t="s">
        <v>283</v>
      </c>
      <c r="I6" s="239" t="s">
        <v>283</v>
      </c>
      <c r="J6" s="1987"/>
      <c r="K6" s="1987"/>
      <c r="L6" s="239" t="s">
        <v>283</v>
      </c>
      <c r="M6" s="239" t="s">
        <v>283</v>
      </c>
      <c r="N6" s="1987"/>
      <c r="O6" s="1987"/>
      <c r="P6" s="239" t="s">
        <v>283</v>
      </c>
      <c r="Q6" s="239" t="s">
        <v>283</v>
      </c>
      <c r="R6" s="1987"/>
      <c r="S6" s="1987"/>
    </row>
    <row r="7" ht="15.5" customHeight="1" spans="3:19" x14ac:dyDescent="0.25">
      <c r="C7" s="2445">
        <v>1995</v>
      </c>
      <c r="D7" s="2446">
        <v>719.7935</v>
      </c>
      <c r="E7" s="2447" t="e">
        <f t="array" ref="E7:E42">TRANSPOSE(СЧЁТ!#REF!)</f>
        <v>#REF!</v>
      </c>
      <c r="G7" s="2448"/>
      <c r="H7" s="2446">
        <v>910.9</v>
      </c>
      <c r="I7" s="2447" t="e">
        <f t="array" ref="I7:I42">TRANSPOSE(СЧЁТ!#REF!)</f>
        <v>#REF!</v>
      </c>
      <c r="K7" s="1794"/>
      <c r="L7" s="2450">
        <v>1428.5221000000001</v>
      </c>
      <c r="M7" s="224" t="e">
        <f t="array" ref="M7:M42">TRANSPOSE(СЧЁТ!#REF!)</f>
        <v>#REF!</v>
      </c>
      <c r="O7" s="2448"/>
      <c r="P7" s="2450">
        <v>486.1</v>
      </c>
      <c r="Q7" s="224" t="e">
        <f t="array" ref="Q7:Q42">TRANSPOSE(СЧЁТ!#REF!)</f>
        <v>#REF!</v>
      </c>
      <c r="S7" s="2449"/>
    </row>
    <row r="8" ht="15.5" customHeight="1" spans="3:19" x14ac:dyDescent="0.25">
      <c r="C8" s="1527">
        <v>1996</v>
      </c>
      <c r="D8" s="2450">
        <v>1007.827</v>
      </c>
      <c r="E8" s="1460" t="e">
        <v>#REF!</v>
      </c>
      <c r="G8" s="2448"/>
      <c r="H8" s="2450">
        <v>1357.1</v>
      </c>
      <c r="I8" s="1460" t="e">
        <v>#REF!</v>
      </c>
      <c r="K8" s="1794"/>
      <c r="L8" s="2450">
        <v>2007.825200000001</v>
      </c>
      <c r="M8" s="224" t="e">
        <v>#REF!</v>
      </c>
      <c r="O8" s="2448"/>
      <c r="P8" s="2450">
        <v>652.7000000000002</v>
      </c>
      <c r="Q8" s="224" t="e">
        <v>#REF!</v>
      </c>
      <c r="S8" s="2451"/>
    </row>
    <row r="9" ht="15.5" customHeight="1" spans="3:19" x14ac:dyDescent="0.25">
      <c r="C9" s="1527">
        <v>1997</v>
      </c>
      <c r="D9" s="2450">
        <v>1235.2137</v>
      </c>
      <c r="E9" s="1460" t="e">
        <v>#REF!</v>
      </c>
      <c r="G9" s="2448"/>
      <c r="H9" s="2450">
        <v>1656.4</v>
      </c>
      <c r="I9" s="1460" t="e">
        <v>#REF!</v>
      </c>
      <c r="K9" s="1794"/>
      <c r="L9" s="2450">
        <v>2342.5137</v>
      </c>
      <c r="M9" s="224" t="e">
        <v>#REF!</v>
      </c>
      <c r="O9" s="2448"/>
      <c r="P9" s="2450">
        <v>839.5000000000002</v>
      </c>
      <c r="Q9" s="224" t="e">
        <v>#REF!</v>
      </c>
      <c r="S9" s="2451"/>
    </row>
    <row r="10" ht="15.5" customHeight="1" spans="3:19" x14ac:dyDescent="0.25">
      <c r="C10" s="1527">
        <v>1998</v>
      </c>
      <c r="D10" s="2450">
        <v>1462.284</v>
      </c>
      <c r="E10" s="1460" t="e">
        <v>#REF!</v>
      </c>
      <c r="G10" s="2448"/>
      <c r="H10" s="2450">
        <v>1776</v>
      </c>
      <c r="I10" s="1460" t="e">
        <v>#REF!</v>
      </c>
      <c r="K10" s="1794"/>
      <c r="L10" s="2450">
        <v>2629.6229000000003</v>
      </c>
      <c r="M10" s="224" t="e">
        <v>#REF!</v>
      </c>
      <c r="O10" s="2448"/>
      <c r="P10" s="2450">
        <v>842.1000000000003</v>
      </c>
      <c r="Q10" s="224" t="e">
        <v>#REF!</v>
      </c>
      <c r="S10" s="2451"/>
    </row>
    <row r="11" ht="15.5" customHeight="1" spans="3:19" x14ac:dyDescent="0.25">
      <c r="C11" s="1527">
        <v>1999</v>
      </c>
      <c r="D11" s="2450">
        <v>2526.1679</v>
      </c>
      <c r="E11" s="1460" t="e">
        <v>#REF!</v>
      </c>
      <c r="G11" s="2448"/>
      <c r="H11" s="2450">
        <v>2908.1000000000004</v>
      </c>
      <c r="I11" s="1460" t="e">
        <v>#REF!</v>
      </c>
      <c r="K11" s="1794"/>
      <c r="L11" s="2450">
        <v>4823.232900000001</v>
      </c>
      <c r="M11" s="224" t="e">
        <v>#REF!</v>
      </c>
      <c r="O11" s="2448"/>
      <c r="P11" s="2450">
        <v>1258</v>
      </c>
      <c r="Q11" s="224" t="e">
        <v>#REF!</v>
      </c>
      <c r="S11" s="2451"/>
    </row>
    <row r="12" ht="15.5" customHeight="1" spans="3:19" x14ac:dyDescent="0.25">
      <c r="C12" s="1527">
        <v>2000</v>
      </c>
      <c r="D12" s="2450">
        <v>3295.2373</v>
      </c>
      <c r="E12" s="1460" t="e">
        <v>#REF!</v>
      </c>
      <c r="G12" s="2448"/>
      <c r="H12" s="2450">
        <v>3983.9</v>
      </c>
      <c r="I12" s="1460" t="e">
        <v>#REF!</v>
      </c>
      <c r="K12" s="1794"/>
      <c r="L12" s="2450">
        <v>7305.6466</v>
      </c>
      <c r="M12" s="224" t="e">
        <v>#REF!</v>
      </c>
      <c r="O12" s="2448"/>
      <c r="P12" s="2450">
        <v>1960.1</v>
      </c>
      <c r="Q12" s="224" t="e">
        <v>#REF!</v>
      </c>
      <c r="S12" s="2451"/>
    </row>
    <row r="13" ht="15.5" customHeight="1" spans="3:19" x14ac:dyDescent="0.25">
      <c r="C13" s="1527">
        <v>2001</v>
      </c>
      <c r="D13" s="2450">
        <v>4318.1211</v>
      </c>
      <c r="E13" s="1460" t="e">
        <v>#REF!</v>
      </c>
      <c r="G13" s="2448"/>
      <c r="H13" s="2450">
        <v>5325.8</v>
      </c>
      <c r="I13" s="1460" t="e">
        <v>#REF!</v>
      </c>
      <c r="K13" s="1794"/>
      <c r="L13" s="2450">
        <v>8943.582600000002</v>
      </c>
      <c r="M13" s="224" t="e">
        <v>#REF!</v>
      </c>
      <c r="O13" s="2448"/>
      <c r="P13" s="2450">
        <v>2419.4</v>
      </c>
      <c r="Q13" s="224" t="e">
        <v>#REF!</v>
      </c>
      <c r="S13" s="2451"/>
    </row>
    <row r="14" ht="15.5" customHeight="1" spans="3:19" x14ac:dyDescent="0.25">
      <c r="C14" s="1527">
        <v>2002</v>
      </c>
      <c r="D14" s="2450">
        <v>5409.1577</v>
      </c>
      <c r="E14" s="1460" t="e">
        <v>#REF!</v>
      </c>
      <c r="G14" s="2448"/>
      <c r="H14" s="2450">
        <v>6830.988995513646</v>
      </c>
      <c r="I14" s="1460" t="e">
        <v>#REF!</v>
      </c>
      <c r="K14" s="1794"/>
      <c r="L14" s="2450">
        <v>10819.2034779948</v>
      </c>
      <c r="M14" s="224" t="e">
        <v>#REF!</v>
      </c>
      <c r="O14" s="2448"/>
      <c r="P14" s="2450">
        <v>3422.2972094504153</v>
      </c>
      <c r="Q14" s="224" t="e">
        <v>#REF!</v>
      </c>
      <c r="S14" s="2451"/>
    </row>
    <row r="15" ht="15.5" customHeight="1" spans="3:19" x14ac:dyDescent="0.25">
      <c r="C15" s="1527">
        <v>2003</v>
      </c>
      <c r="D15" s="2450">
        <v>6537.4015</v>
      </c>
      <c r="E15" s="1460" t="e">
        <v>#REF!</v>
      </c>
      <c r="G15" s="2448"/>
      <c r="H15" s="2450">
        <v>8900.496076416093</v>
      </c>
      <c r="I15" s="1460" t="e">
        <v>#REF!</v>
      </c>
      <c r="K15" s="1794"/>
      <c r="L15" s="2450">
        <v>13208.230883932441</v>
      </c>
      <c r="M15" s="224" t="e">
        <v>#REF!</v>
      </c>
      <c r="O15" s="2448"/>
      <c r="P15" s="2450">
        <v>3964.899124643277</v>
      </c>
      <c r="Q15" s="224" t="e">
        <v>#REF!</v>
      </c>
      <c r="S15" s="2451"/>
    </row>
    <row r="16" ht="15.5" customHeight="1" spans="3:19" x14ac:dyDescent="0.25">
      <c r="C16" s="1527">
        <v>2004</v>
      </c>
      <c r="D16" s="2450">
        <v>8438.4841</v>
      </c>
      <c r="E16" s="1460" t="e">
        <v>#REF!</v>
      </c>
      <c r="G16" s="2448"/>
      <c r="H16" s="2450">
        <v>10976.305126344294</v>
      </c>
      <c r="I16" s="1460" t="e">
        <v>#REF!</v>
      </c>
      <c r="K16" s="1794"/>
      <c r="L16" s="2450">
        <v>17027.194876010544</v>
      </c>
      <c r="M16" s="224" t="e">
        <v>#REF!</v>
      </c>
      <c r="O16" s="2448"/>
      <c r="P16" s="2450">
        <v>4669.701090419232</v>
      </c>
      <c r="Q16" s="224" t="e">
        <v>#REF!</v>
      </c>
      <c r="S16" s="2451"/>
    </row>
    <row r="17" ht="15.5" customHeight="1" spans="3:19" x14ac:dyDescent="0.25">
      <c r="C17" s="1527">
        <v>2005</v>
      </c>
      <c r="D17" s="2450">
        <v>10652.8578</v>
      </c>
      <c r="E17" s="1460" t="e">
        <v>#REF!</v>
      </c>
      <c r="G17" s="2448"/>
      <c r="H17" s="2450">
        <v>13818.999927863446</v>
      </c>
      <c r="I17" s="1460" t="e">
        <v>#REF!</v>
      </c>
      <c r="K17" s="1794"/>
      <c r="L17" s="2450">
        <v>21609.765444030043</v>
      </c>
      <c r="M17" s="224" t="e">
        <v>#REF!</v>
      </c>
      <c r="O17" s="2448"/>
      <c r="P17" s="2450">
        <v>6820.599982334436</v>
      </c>
      <c r="Q17" s="224" t="e">
        <v>#REF!</v>
      </c>
      <c r="S17" s="2451"/>
    </row>
    <row r="18" ht="15.5" customHeight="1" spans="3:19" x14ac:dyDescent="0.25">
      <c r="C18" s="1527">
        <v>2006</v>
      </c>
      <c r="D18" s="2450">
        <v>12974.7434</v>
      </c>
      <c r="E18" s="1460" t="e">
        <v>#REF!</v>
      </c>
      <c r="G18" s="2448"/>
      <c r="H18" s="2450">
        <v>17290.099467586653</v>
      </c>
      <c r="I18" s="1460" t="e">
        <v>#REF!</v>
      </c>
      <c r="K18" s="1794"/>
      <c r="L18" s="2450">
        <v>26917.200998161465</v>
      </c>
      <c r="M18" s="224" t="e">
        <v>#REF!</v>
      </c>
      <c r="O18" s="2448"/>
      <c r="P18" s="2450">
        <v>8375.199874969241</v>
      </c>
      <c r="Q18" s="224" t="e">
        <v>#REF!</v>
      </c>
      <c r="S18" s="2451"/>
    </row>
    <row r="19" ht="15.5" customHeight="1" spans="3:19" x14ac:dyDescent="0.25">
      <c r="C19" s="1527">
        <v>2007</v>
      </c>
      <c r="D19" s="2450">
        <v>16031.7398</v>
      </c>
      <c r="E19" s="1460" t="e">
        <v>#REF!</v>
      </c>
      <c r="G19" s="2448"/>
      <c r="H19" s="2450">
        <v>21311.5</v>
      </c>
      <c r="I19" s="1460" t="e">
        <v>#REF!</v>
      </c>
      <c r="K19" s="1794"/>
      <c r="L19" s="2450">
        <v>33247.5132</v>
      </c>
      <c r="M19" s="224" t="e">
        <v>#REF!</v>
      </c>
      <c r="O19" s="2448"/>
      <c r="P19" s="2450">
        <v>11378.578</v>
      </c>
      <c r="Q19" s="224" t="e">
        <v>#REF!</v>
      </c>
      <c r="S19" s="2451"/>
    </row>
    <row r="20" ht="15.5" customHeight="1" spans="3:19" x14ac:dyDescent="0.25">
      <c r="C20" s="1527">
        <v>2008</v>
      </c>
      <c r="D20" s="2450">
        <v>19966.9547</v>
      </c>
      <c r="E20" s="1460" t="e">
        <v>#REF!</v>
      </c>
      <c r="G20" s="2448"/>
      <c r="H20" s="2450">
        <v>25244</v>
      </c>
      <c r="I20" s="1460" t="e">
        <v>#REF!</v>
      </c>
      <c r="K20" s="1794"/>
      <c r="L20" s="2450">
        <v>41276.84919999999</v>
      </c>
      <c r="M20" s="224" t="e">
        <v>#REF!</v>
      </c>
      <c r="O20" s="2448"/>
      <c r="P20" s="2450">
        <v>13991.787999999999</v>
      </c>
      <c r="Q20" s="224" t="e">
        <v>#REF!</v>
      </c>
      <c r="S20" s="2451"/>
    </row>
    <row r="21" ht="15.5" customHeight="1" spans="3:19" x14ac:dyDescent="0.25">
      <c r="C21" s="1527">
        <v>2009</v>
      </c>
      <c r="D21" s="2450">
        <v>20986.036</v>
      </c>
      <c r="E21" s="1460" t="e">
        <v>#REF!</v>
      </c>
      <c r="G21" s="2448"/>
      <c r="H21" s="2450">
        <v>28697.486854570394</v>
      </c>
      <c r="I21" s="1460" t="e">
        <v>#REF!</v>
      </c>
      <c r="K21" s="1794"/>
      <c r="L21" s="2450">
        <v>38807.20933289643</v>
      </c>
      <c r="M21" s="224" t="e">
        <v>#REF!</v>
      </c>
      <c r="O21" s="2448"/>
      <c r="P21" s="2450">
        <v>16048.296002275296</v>
      </c>
      <c r="Q21" s="224" t="e">
        <v>#REF!</v>
      </c>
      <c r="S21" s="2451"/>
    </row>
    <row r="22" ht="15.5" customHeight="1" spans="3:19" x14ac:dyDescent="0.25">
      <c r="C22" s="1527">
        <v>2010</v>
      </c>
      <c r="D22" s="2450">
        <v>23617.623</v>
      </c>
      <c r="E22" s="1460" t="e">
        <v>#REF!</v>
      </c>
      <c r="G22" s="2448"/>
      <c r="H22" s="2450">
        <v>32498.302413757214</v>
      </c>
      <c r="I22" s="1460" t="e">
        <v>#REF!</v>
      </c>
      <c r="K22" s="1794"/>
      <c r="L22" s="2450">
        <v>46308.54276275203</v>
      </c>
      <c r="M22" s="224" t="e">
        <v>#REF!</v>
      </c>
      <c r="O22" s="2448"/>
      <c r="P22" s="2450">
        <v>17616.700670586313</v>
      </c>
      <c r="Q22" s="224" t="e">
        <v>#REF!</v>
      </c>
      <c r="S22" s="2451"/>
    </row>
    <row r="23" ht="15.5" customHeight="1" spans="3:19" x14ac:dyDescent="0.25">
      <c r="C23" s="1527">
        <v>2011</v>
      </c>
      <c r="D23" s="2450">
        <v>27192.523</v>
      </c>
      <c r="E23" s="1460" t="e">
        <v>#REF!</v>
      </c>
      <c r="G23" s="2448"/>
      <c r="H23" s="2450">
        <v>35648.7</v>
      </c>
      <c r="I23" s="1460" t="e">
        <v>#REF!</v>
      </c>
      <c r="K23" s="1794"/>
      <c r="L23" s="2450">
        <v>55967.227000000006</v>
      </c>
      <c r="M23" s="224" t="e">
        <v>#REF!</v>
      </c>
      <c r="O23" s="2448"/>
      <c r="P23" s="2450">
        <v>19994.600000000002</v>
      </c>
      <c r="Q23" s="224" t="e">
        <v>#REF!</v>
      </c>
      <c r="S23" s="2451"/>
    </row>
    <row r="24" ht="15.5" customHeight="1" spans="3:19" x14ac:dyDescent="0.25">
      <c r="C24" s="1527">
        <v>2012</v>
      </c>
      <c r="D24" s="2450">
        <v>31018.8</v>
      </c>
      <c r="E24" s="1460" t="e">
        <v>#REF!</v>
      </c>
      <c r="G24" s="2448"/>
      <c r="H24" s="2450">
        <v>39902.591916934354</v>
      </c>
      <c r="I24" s="1460" t="e">
        <v>#REF!</v>
      </c>
      <c r="K24" s="1794"/>
      <c r="L24" s="2450">
        <v>62175.39091843658</v>
      </c>
      <c r="M24" s="224" t="e">
        <v>#REF!</v>
      </c>
      <c r="O24" s="2448"/>
      <c r="P24" s="2450">
        <v>22825.596509295287</v>
      </c>
      <c r="Q24" s="224" t="e">
        <v>#REF!</v>
      </c>
      <c r="S24" s="2451"/>
    </row>
    <row r="25" ht="15.5" customHeight="1" spans="3:19" x14ac:dyDescent="0.25">
      <c r="C25" s="1527">
        <v>2013</v>
      </c>
      <c r="D25" s="2450">
        <v>34671.92</v>
      </c>
      <c r="E25" s="1460" t="e">
        <v>#REF!</v>
      </c>
      <c r="G25" s="2448"/>
      <c r="H25" s="2450">
        <v>44651.56979768339</v>
      </c>
      <c r="I25" s="1460" t="e">
        <v>#REF!</v>
      </c>
      <c r="K25" s="1794"/>
      <c r="L25" s="2450">
        <v>66200.02914556013</v>
      </c>
      <c r="M25" s="224" t="e">
        <v>#REF!</v>
      </c>
      <c r="O25" s="2448"/>
      <c r="P25" s="2450">
        <v>25294.69387593381</v>
      </c>
      <c r="Q25" s="224" t="e">
        <v>#REF!</v>
      </c>
      <c r="S25" s="2451"/>
    </row>
    <row r="26" ht="15.5" customHeight="1" spans="3:19" x14ac:dyDescent="0.25">
      <c r="C26" s="1527">
        <v>2014</v>
      </c>
      <c r="D26" s="2450">
        <v>38037.18</v>
      </c>
      <c r="E26" s="1460" t="e">
        <v>#REF!</v>
      </c>
      <c r="G26" s="2448"/>
      <c r="H26" s="2450">
        <v>47901.49632319597</v>
      </c>
      <c r="I26" s="1460" t="e">
        <v>#REF!</v>
      </c>
      <c r="K26" s="1794"/>
      <c r="L26" s="2450">
        <v>71416.3108925115</v>
      </c>
      <c r="M26" s="224" t="e">
        <v>#REF!</v>
      </c>
      <c r="O26" s="2448"/>
      <c r="P26" s="2450">
        <v>27615.562386005826</v>
      </c>
      <c r="Q26" s="224" t="e">
        <v>#REF!</v>
      </c>
      <c r="S26" s="2451"/>
    </row>
    <row r="27" ht="15.5" customHeight="1" spans="3:19" x14ac:dyDescent="0.25">
      <c r="C27" s="1527">
        <v>2015</v>
      </c>
      <c r="D27" s="2450">
        <v>33792.439078086616</v>
      </c>
      <c r="E27" s="1460" t="e">
        <v>#REF!</v>
      </c>
      <c r="F27" s="1369" t="e">
        <f>100*(G27/D27)</f>
        <v>#REF!</v>
      </c>
      <c r="G27" s="2448" t="e">
        <f>E27-D27</f>
        <v>#REF!</v>
      </c>
      <c r="H27" s="2450">
        <v>44387.809113472504</v>
      </c>
      <c r="I27" s="1460" t="e">
        <v>#REF!</v>
      </c>
      <c r="J27" s="1369" t="e">
        <f>100*(K27/H27)</f>
        <v>#REF!</v>
      </c>
      <c r="K27" s="1794" t="e">
        <f>I27-H27</f>
        <v>#REF!</v>
      </c>
      <c r="L27" s="2450">
        <v>66677.83548763464</v>
      </c>
      <c r="M27" s="224" t="e">
        <v>#REF!</v>
      </c>
      <c r="N27" s="1369" t="e">
        <f>100*(O27/L27)</f>
        <v>#REF!</v>
      </c>
      <c r="O27" s="2448" t="e">
        <f>M27-L27</f>
        <v>#REF!</v>
      </c>
      <c r="P27" s="2450">
        <v>26004.35584017751</v>
      </c>
      <c r="Q27" s="224" t="e">
        <v>#REF!</v>
      </c>
      <c r="R27" s="1369" t="e">
        <f>100*(S27/P27)</f>
        <v>#REF!</v>
      </c>
      <c r="S27" s="2451" t="e">
        <f>Q27-P27</f>
        <v>#REF!</v>
      </c>
    </row>
    <row r="28" ht="15.5" customHeight="1" spans="3:19" x14ac:dyDescent="0.25">
      <c r="C28" s="1527">
        <v>2016</v>
      </c>
      <c r="D28" s="2450">
        <v>34459.62178006006</v>
      </c>
      <c r="E28" s="1460" t="e">
        <v>#REF!</v>
      </c>
      <c r="F28" s="1369" t="e">
        <f t="shared" ref="F28:F42" si="0">100*(G28/D28)</f>
        <v>#REF!</v>
      </c>
      <c r="G28" s="2448" t="e">
        <f t="shared" ref="G28:G42" si="1">E28-D28</f>
        <v>#REF!</v>
      </c>
      <c r="H28" s="2450">
        <v>45264.182030815784</v>
      </c>
      <c r="I28" s="1460" t="e">
        <v>#REF!</v>
      </c>
      <c r="J28" s="1369" t="e">
        <f t="shared" ref="J28:J42" si="2">100*(K28/H28)</f>
        <v>#REF!</v>
      </c>
      <c r="K28" s="1794" t="e">
        <f t="shared" ref="K28:K42" si="3">I28-H28</f>
        <v>#REF!</v>
      </c>
      <c r="L28" s="2450">
        <v>66815.90219941654</v>
      </c>
      <c r="M28" s="224" t="e">
        <v>#REF!</v>
      </c>
      <c r="N28" s="1369" t="e">
        <f t="shared" ref="N28:N42" si="4">100*(O28/L28)</f>
        <v>#REF!</v>
      </c>
      <c r="O28" s="2448" t="e">
        <f t="shared" ref="O28:O42" si="5">M28-L28</f>
        <v>#REF!</v>
      </c>
      <c r="P28" s="2450">
        <v>26058.201857772452</v>
      </c>
      <c r="Q28" s="224" t="e">
        <v>#REF!</v>
      </c>
      <c r="R28" s="1369" t="e">
        <f t="shared" ref="R28:R42" si="6">100*(S28/P28)</f>
        <v>#REF!</v>
      </c>
      <c r="S28" s="2451" t="e">
        <f t="shared" ref="S28:S42" si="7">Q28-P28</f>
        <v>#REF!</v>
      </c>
    </row>
    <row r="29" ht="15.5" customHeight="1" spans="3:19" x14ac:dyDescent="0.25">
      <c r="C29" s="1527">
        <v>2017</v>
      </c>
      <c r="D29" s="2450">
        <v>36879.139854429275</v>
      </c>
      <c r="E29" s="1460" t="e">
        <v>#REF!</v>
      </c>
      <c r="F29" s="1369" t="e">
        <f t="shared" si="0"/>
        <v>#REF!</v>
      </c>
      <c r="G29" s="2448" t="e">
        <f t="shared" si="1"/>
        <v>#REF!</v>
      </c>
      <c r="H29" s="2450">
        <v>48442.32215214669</v>
      </c>
      <c r="I29" s="1460" t="e">
        <v>#REF!</v>
      </c>
      <c r="J29" s="1369" t="e">
        <f t="shared" si="2"/>
        <v>#REF!</v>
      </c>
      <c r="K29" s="1794" t="e">
        <f t="shared" si="3"/>
        <v>#REF!</v>
      </c>
      <c r="L29" s="2450">
        <v>70577.48451017737</v>
      </c>
      <c r="M29" s="224" t="e">
        <v>#REF!</v>
      </c>
      <c r="N29" s="1369" t="e">
        <f t="shared" si="4"/>
        <v>#REF!</v>
      </c>
      <c r="O29" s="2448" t="e">
        <f t="shared" si="5"/>
        <v>#REF!</v>
      </c>
      <c r="P29" s="2450">
        <v>27525.218958969173</v>
      </c>
      <c r="Q29" s="224" t="e">
        <v>#REF!</v>
      </c>
      <c r="R29" s="1369" t="e">
        <f t="shared" si="6"/>
        <v>#REF!</v>
      </c>
      <c r="S29" s="2451" t="e">
        <f t="shared" si="7"/>
        <v>#REF!</v>
      </c>
    </row>
    <row r="30" ht="15.5" customHeight="1" spans="3:19" x14ac:dyDescent="0.25">
      <c r="C30" s="1527">
        <v>2018</v>
      </c>
      <c r="D30" s="2450">
        <v>41919.54739748662</v>
      </c>
      <c r="E30" s="1460" t="e">
        <v>#REF!</v>
      </c>
      <c r="F30" s="1369" t="e">
        <f t="shared" si="0"/>
        <v>#REF!</v>
      </c>
      <c r="G30" s="2448" t="e">
        <f t="shared" si="1"/>
        <v>#REF!</v>
      </c>
      <c r="H30" s="2450">
        <v>55063.112304592956</v>
      </c>
      <c r="I30" s="1460" t="e">
        <v>#REF!</v>
      </c>
      <c r="J30" s="1369" t="e">
        <f t="shared" si="2"/>
        <v>#REF!</v>
      </c>
      <c r="K30" s="1794" t="e">
        <f t="shared" si="3"/>
        <v>#REF!</v>
      </c>
      <c r="L30" s="2450">
        <v>79976.91847203743</v>
      </c>
      <c r="M30" s="224" t="e">
        <v>#REF!</v>
      </c>
      <c r="N30" s="1369" t="e">
        <f t="shared" si="4"/>
        <v>#REF!</v>
      </c>
      <c r="O30" s="2448" t="e">
        <f t="shared" si="5"/>
        <v>#REF!</v>
      </c>
      <c r="P30" s="2450">
        <v>31190.998204094598</v>
      </c>
      <c r="Q30" s="224" t="e">
        <v>#REF!</v>
      </c>
      <c r="R30" s="1369" t="e">
        <f t="shared" si="6"/>
        <v>#REF!</v>
      </c>
      <c r="S30" s="2451" t="e">
        <f t="shared" si="7"/>
        <v>#REF!</v>
      </c>
    </row>
    <row r="31" ht="15.5" customHeight="1" spans="3:19" x14ac:dyDescent="0.25">
      <c r="C31" s="1527">
        <v>2019</v>
      </c>
      <c r="D31" s="2450">
        <v>45839.55292665526</v>
      </c>
      <c r="E31" s="1460" t="e">
        <v>#REF!</v>
      </c>
      <c r="F31" s="1369" t="e">
        <f t="shared" si="0"/>
        <v>#REF!</v>
      </c>
      <c r="G31" s="2448" t="e">
        <f t="shared" si="1"/>
        <v>#REF!</v>
      </c>
      <c r="H31" s="2450">
        <v>60212.20665526765</v>
      </c>
      <c r="I31" s="1460" t="e">
        <v>#REF!</v>
      </c>
      <c r="J31" s="1369" t="e">
        <f t="shared" si="2"/>
        <v>#REF!</v>
      </c>
      <c r="K31" s="1794" t="e">
        <f t="shared" si="3"/>
        <v>#REF!</v>
      </c>
      <c r="L31" s="2450">
        <v>87209.8558430428</v>
      </c>
      <c r="M31" s="224" t="e">
        <v>#REF!</v>
      </c>
      <c r="N31" s="1369" t="e">
        <f t="shared" si="4"/>
        <v>#REF!</v>
      </c>
      <c r="O31" s="2448" t="e">
        <f t="shared" si="5"/>
        <v>#REF!</v>
      </c>
      <c r="P31" s="2450">
        <v>34011.84377878669</v>
      </c>
      <c r="Q31" s="224" t="e">
        <v>#REF!</v>
      </c>
      <c r="R31" s="1369" t="e">
        <f t="shared" si="6"/>
        <v>#REF!</v>
      </c>
      <c r="S31" s="2451" t="e">
        <f t="shared" si="7"/>
        <v>#REF!</v>
      </c>
    </row>
    <row r="32" ht="15.5" customHeight="1" spans="3:19" x14ac:dyDescent="0.25">
      <c r="C32" s="1527">
        <v>2020</v>
      </c>
      <c r="D32" s="2450">
        <v>48956.00381794158</v>
      </c>
      <c r="E32" s="1460" t="e">
        <v>#REF!</v>
      </c>
      <c r="F32" s="1369" t="e">
        <f t="shared" si="0"/>
        <v>#REF!</v>
      </c>
      <c r="G32" s="2448" t="e">
        <f t="shared" si="1"/>
        <v>#REF!</v>
      </c>
      <c r="H32" s="2450">
        <v>64305.79773800287</v>
      </c>
      <c r="I32" s="1460" t="e">
        <v>#REF!</v>
      </c>
      <c r="J32" s="1369" t="e">
        <f t="shared" si="2"/>
        <v>#REF!</v>
      </c>
      <c r="K32" s="1794" t="e">
        <f t="shared" si="3"/>
        <v>#REF!</v>
      </c>
      <c r="L32" s="2450">
        <v>93072.09589115645</v>
      </c>
      <c r="M32" s="224" t="e">
        <v>#REF!</v>
      </c>
      <c r="N32" s="1369" t="e">
        <f t="shared" si="4"/>
        <v>#REF!</v>
      </c>
      <c r="O32" s="2448" t="e">
        <f t="shared" si="5"/>
        <v>#REF!</v>
      </c>
      <c r="P32" s="2450">
        <v>36298.11739755102</v>
      </c>
      <c r="Q32" s="224" t="e">
        <v>#REF!</v>
      </c>
      <c r="R32" s="1369" t="e">
        <f t="shared" si="6"/>
        <v>#REF!</v>
      </c>
      <c r="S32" s="2451" t="e">
        <f t="shared" si="7"/>
        <v>#REF!</v>
      </c>
    </row>
    <row r="33" ht="15.5" customHeight="1" spans="3:19" x14ac:dyDescent="0.25">
      <c r="C33" s="1527">
        <v>2021</v>
      </c>
      <c r="D33" s="2450">
        <v>51885.28273746362</v>
      </c>
      <c r="E33" s="1460" t="e">
        <v>#REF!</v>
      </c>
      <c r="F33" s="1369" t="e">
        <f t="shared" si="0"/>
        <v>#REF!</v>
      </c>
      <c r="G33" s="2448" t="e">
        <f t="shared" si="1"/>
        <v>#REF!</v>
      </c>
      <c r="H33" s="2450">
        <v>68153.53045772182</v>
      </c>
      <c r="I33" s="1460" t="e">
        <v>#REF!</v>
      </c>
      <c r="J33" s="1369" t="e">
        <f t="shared" si="2"/>
        <v>#REF!</v>
      </c>
      <c r="K33" s="1794" t="e">
        <f t="shared" si="3"/>
        <v>#REF!</v>
      </c>
      <c r="L33" s="2450">
        <v>98547.51580491354</v>
      </c>
      <c r="M33" s="224" t="e">
        <v>#REF!</v>
      </c>
      <c r="N33" s="1369" t="e">
        <f t="shared" si="4"/>
        <v>#REF!</v>
      </c>
      <c r="O33" s="2448" t="e">
        <f t="shared" si="5"/>
        <v>#REF!</v>
      </c>
      <c r="P33" s="2450">
        <v>38433.53116391628</v>
      </c>
      <c r="Q33" s="224" t="e">
        <v>#REF!</v>
      </c>
      <c r="R33" s="1369" t="e">
        <f t="shared" si="6"/>
        <v>#REF!</v>
      </c>
      <c r="S33" s="2451" t="e">
        <f t="shared" si="7"/>
        <v>#REF!</v>
      </c>
    </row>
    <row r="34" ht="15.5" customHeight="1" spans="3:19" x14ac:dyDescent="0.25">
      <c r="C34" s="1527">
        <v>2022</v>
      </c>
      <c r="D34" s="2450">
        <v>54375.177204844564</v>
      </c>
      <c r="E34" s="1460" t="e">
        <v>#REF!</v>
      </c>
      <c r="F34" s="1369" t="e">
        <f t="shared" si="0"/>
        <v>#REF!</v>
      </c>
      <c r="G34" s="2448" t="e">
        <f t="shared" si="1"/>
        <v>#REF!</v>
      </c>
      <c r="H34" s="2450">
        <v>71424.11297102924</v>
      </c>
      <c r="I34" s="1460" t="e">
        <v>#REF!</v>
      </c>
      <c r="J34" s="1369" t="e">
        <f t="shared" si="2"/>
        <v>#REF!</v>
      </c>
      <c r="K34" s="1794" t="e">
        <f t="shared" si="3"/>
        <v>#REF!</v>
      </c>
      <c r="L34" s="2450">
        <v>103174.36175381778</v>
      </c>
      <c r="M34" s="224" t="e">
        <v>#REF!</v>
      </c>
      <c r="N34" s="1369" t="e">
        <f t="shared" si="4"/>
        <v>#REF!</v>
      </c>
      <c r="O34" s="2448" t="e">
        <f t="shared" si="5"/>
        <v>#REF!</v>
      </c>
      <c r="P34" s="2450">
        <v>40238.00108398894</v>
      </c>
      <c r="Q34" s="224" t="e">
        <v>#REF!</v>
      </c>
      <c r="R34" s="1369" t="e">
        <f t="shared" si="6"/>
        <v>#REF!</v>
      </c>
      <c r="S34" s="2451" t="e">
        <f t="shared" si="7"/>
        <v>#REF!</v>
      </c>
    </row>
    <row r="35" ht="15.5" customHeight="1" spans="3:19" x14ac:dyDescent="0.25">
      <c r="C35" s="1527">
        <v>2023</v>
      </c>
      <c r="D35" s="2450">
        <v>56790.66776454293</v>
      </c>
      <c r="E35" s="1460" t="e">
        <v>#REF!</v>
      </c>
      <c r="F35" s="1369" t="e">
        <f t="shared" si="0"/>
        <v>#REF!</v>
      </c>
      <c r="G35" s="2448" t="e">
        <f t="shared" si="1"/>
        <v>#REF!</v>
      </c>
      <c r="H35" s="2450">
        <v>74596.96278016936</v>
      </c>
      <c r="I35" s="1460" t="e">
        <v>#REF!</v>
      </c>
      <c r="J35" s="1369" t="e">
        <f t="shared" si="2"/>
        <v>#REF!</v>
      </c>
      <c r="K35" s="1794" t="e">
        <f t="shared" si="3"/>
        <v>#REF!</v>
      </c>
      <c r="L35" s="2450">
        <v>107653.55637051897</v>
      </c>
      <c r="M35" s="224" t="e">
        <v>#REF!</v>
      </c>
      <c r="N35" s="1369" t="e">
        <f t="shared" si="4"/>
        <v>#REF!</v>
      </c>
      <c r="O35" s="2448" t="e">
        <f t="shared" si="5"/>
        <v>#REF!</v>
      </c>
      <c r="P35" s="2450">
        <v>41984.8869845024</v>
      </c>
      <c r="Q35" s="224" t="e">
        <v>#REF!</v>
      </c>
      <c r="R35" s="1369" t="e">
        <f t="shared" si="6"/>
        <v>#REF!</v>
      </c>
      <c r="S35" s="2451" t="e">
        <f t="shared" si="7"/>
        <v>#REF!</v>
      </c>
    </row>
    <row r="36" ht="15.5" customHeight="1" spans="3:19" x14ac:dyDescent="0.25">
      <c r="C36" s="1527">
        <v>2024</v>
      </c>
      <c r="D36" s="2450">
        <v>59172.21742959968</v>
      </c>
      <c r="E36" s="1460" t="e">
        <v>#REF!</v>
      </c>
      <c r="F36" s="1369" t="e">
        <f t="shared" si="0"/>
        <v>#REF!</v>
      </c>
      <c r="G36" s="2448" t="e">
        <f t="shared" si="1"/>
        <v>#REF!</v>
      </c>
      <c r="H36" s="2450">
        <v>77725.22977748547</v>
      </c>
      <c r="I36" s="1460" t="e">
        <v>#REF!</v>
      </c>
      <c r="J36" s="1369" t="e">
        <f t="shared" si="2"/>
        <v>#REF!</v>
      </c>
      <c r="K36" s="1794" t="e">
        <f t="shared" si="3"/>
        <v>#REF!</v>
      </c>
      <c r="L36" s="2450">
        <v>112068.24026582697</v>
      </c>
      <c r="M36" s="224" t="e">
        <v>#REF!</v>
      </c>
      <c r="N36" s="1369" t="e">
        <f t="shared" si="4"/>
        <v>#REF!</v>
      </c>
      <c r="O36" s="2448" t="e">
        <f t="shared" si="5"/>
        <v>#REF!</v>
      </c>
      <c r="P36" s="2450">
        <v>43706.61370367252</v>
      </c>
      <c r="Q36" s="224" t="e">
        <v>#REF!</v>
      </c>
      <c r="R36" s="1369" t="e">
        <f t="shared" si="6"/>
        <v>#REF!</v>
      </c>
      <c r="S36" s="2451" t="e">
        <f t="shared" si="7"/>
        <v>#REF!</v>
      </c>
    </row>
    <row r="37" ht="15.5" customHeight="1" spans="3:19" x14ac:dyDescent="0.25">
      <c r="C37" s="1527">
        <v>2025</v>
      </c>
      <c r="D37" s="2450">
        <v>61548.185939333256</v>
      </c>
      <c r="E37" s="1460" t="e">
        <v>#REF!</v>
      </c>
      <c r="F37" s="1369" t="e">
        <f t="shared" si="0"/>
        <v>#REF!</v>
      </c>
      <c r="G37" s="2448" t="e">
        <f t="shared" si="1"/>
        <v>#REF!</v>
      </c>
      <c r="H37" s="2450">
        <v>80846.16568939085</v>
      </c>
      <c r="I37" s="1460" t="e">
        <v>#REF!</v>
      </c>
      <c r="J37" s="1369" t="e">
        <f t="shared" si="2"/>
        <v>#REF!</v>
      </c>
      <c r="K37" s="1794" t="e">
        <f t="shared" si="3"/>
        <v>#REF!</v>
      </c>
      <c r="L37" s="2450">
        <v>116477.19615582895</v>
      </c>
      <c r="M37" s="224" t="e">
        <v>#REF!</v>
      </c>
      <c r="N37" s="1369" t="e">
        <f t="shared" si="4"/>
        <v>#REF!</v>
      </c>
      <c r="O37" s="2448" t="e">
        <f t="shared" si="5"/>
        <v>#REF!</v>
      </c>
      <c r="P37" s="2450">
        <v>45426.10650077329</v>
      </c>
      <c r="Q37" s="224" t="e">
        <v>#REF!</v>
      </c>
      <c r="R37" s="1369" t="e">
        <f t="shared" si="6"/>
        <v>#REF!</v>
      </c>
      <c r="S37" s="2451" t="e">
        <f t="shared" si="7"/>
        <v>#REF!</v>
      </c>
    </row>
    <row r="38" ht="15.5" customHeight="1" spans="3:19" x14ac:dyDescent="0.25">
      <c r="C38" s="1527">
        <v>2026</v>
      </c>
      <c r="D38" s="2450">
        <v>63938.961938139866</v>
      </c>
      <c r="E38" s="1460" t="e">
        <v>#REF!</v>
      </c>
      <c r="F38" s="1369" t="e">
        <f t="shared" si="0"/>
        <v>#REF!</v>
      </c>
      <c r="G38" s="2448" t="e">
        <f t="shared" si="1"/>
        <v>#REF!</v>
      </c>
      <c r="H38" s="2450">
        <v>83986.55186935488</v>
      </c>
      <c r="I38" s="1460" t="e">
        <v>#REF!</v>
      </c>
      <c r="J38" s="1369" t="e">
        <f t="shared" si="2"/>
        <v>#REF!</v>
      </c>
      <c r="K38" s="1794" t="e">
        <f t="shared" si="3"/>
        <v>#REF!</v>
      </c>
      <c r="L38" s="2450">
        <v>120923.20391574473</v>
      </c>
      <c r="M38" s="224" t="e">
        <v>#REF!</v>
      </c>
      <c r="N38" s="1369" t="e">
        <f t="shared" si="4"/>
        <v>#REF!</v>
      </c>
      <c r="O38" s="2448" t="e">
        <f t="shared" si="5"/>
        <v>#REF!</v>
      </c>
      <c r="P38" s="2450">
        <v>47160.04952714044</v>
      </c>
      <c r="Q38" s="224" t="e">
        <v>#REF!</v>
      </c>
      <c r="R38" s="1369" t="e">
        <f t="shared" si="6"/>
        <v>#REF!</v>
      </c>
      <c r="S38" s="2451" t="e">
        <f t="shared" si="7"/>
        <v>#REF!</v>
      </c>
    </row>
    <row r="39" ht="15.5" customHeight="1" spans="3:19" x14ac:dyDescent="0.25">
      <c r="C39" s="1527">
        <v>2027</v>
      </c>
      <c r="D39" s="2450">
        <v>65928.44550262761</v>
      </c>
      <c r="E39" s="1460" t="e">
        <v>#REF!</v>
      </c>
      <c r="F39" s="1369" t="e">
        <f t="shared" si="0"/>
        <v>#REF!</v>
      </c>
      <c r="G39" s="2448" t="e">
        <f t="shared" si="1"/>
        <v>#REF!</v>
      </c>
      <c r="H39" s="2450">
        <v>86599.8233319685</v>
      </c>
      <c r="I39" s="1460" t="e">
        <v>#REF!</v>
      </c>
      <c r="J39" s="1369" t="e">
        <f t="shared" si="2"/>
        <v>#REF!</v>
      </c>
      <c r="K39" s="1794" t="e">
        <f t="shared" si="3"/>
        <v>#REF!</v>
      </c>
      <c r="L39" s="2450">
        <v>124626.7772105001</v>
      </c>
      <c r="M39" s="224" t="e">
        <v>#REF!</v>
      </c>
      <c r="N39" s="1369" t="e">
        <f t="shared" si="4"/>
        <v>#REF!</v>
      </c>
      <c r="O39" s="2448" t="e">
        <f t="shared" si="5"/>
        <v>#REF!</v>
      </c>
      <c r="P39" s="2450">
        <v>48604.44311209501</v>
      </c>
      <c r="Q39" s="224" t="e">
        <v>#REF!</v>
      </c>
      <c r="R39" s="1369" t="e">
        <f t="shared" si="6"/>
        <v>#REF!</v>
      </c>
      <c r="S39" s="2451" t="e">
        <f t="shared" si="7"/>
        <v>#REF!</v>
      </c>
    </row>
    <row r="40" ht="15.5" customHeight="1" spans="3:19" x14ac:dyDescent="0.25">
      <c r="C40" s="1527">
        <v>2028</v>
      </c>
      <c r="D40" s="2450">
        <v>67924.35396534383</v>
      </c>
      <c r="E40" s="1460" t="e">
        <v>#REF!</v>
      </c>
      <c r="F40" s="1369" t="e">
        <f t="shared" si="0"/>
        <v>#REF!</v>
      </c>
      <c r="G40" s="2448" t="e">
        <f t="shared" si="1"/>
        <v>#REF!</v>
      </c>
      <c r="H40" s="2450">
        <v>89221.53417226303</v>
      </c>
      <c r="I40" s="1460" t="e">
        <v>#REF!</v>
      </c>
      <c r="J40" s="1369" t="e">
        <f t="shared" si="2"/>
        <v>#REF!</v>
      </c>
      <c r="K40" s="1794" t="e">
        <f t="shared" si="3"/>
        <v>#REF!</v>
      </c>
      <c r="L40" s="2450">
        <v>128358.1471107702</v>
      </c>
      <c r="M40" s="224" t="e">
        <v>#REF!</v>
      </c>
      <c r="N40" s="1369" t="e">
        <f t="shared" si="4"/>
        <v>#REF!</v>
      </c>
      <c r="O40" s="2448" t="e">
        <f t="shared" si="5"/>
        <v>#REF!</v>
      </c>
      <c r="P40" s="2450">
        <v>50059.67737320038</v>
      </c>
      <c r="Q40" s="224" t="e">
        <v>#REF!</v>
      </c>
      <c r="R40" s="1369" t="e">
        <f t="shared" si="6"/>
        <v>#REF!</v>
      </c>
      <c r="S40" s="2451" t="e">
        <f t="shared" si="7"/>
        <v>#REF!</v>
      </c>
    </row>
    <row r="41" ht="15.5" customHeight="1" spans="3:19" x14ac:dyDescent="0.25">
      <c r="C41" s="1527">
        <v>2029</v>
      </c>
      <c r="D41" s="2450">
        <v>69934.77193743542</v>
      </c>
      <c r="E41" s="1460" t="e">
        <v>#REF!</v>
      </c>
      <c r="F41" s="1369" t="e">
        <f t="shared" si="0"/>
        <v>#REF!</v>
      </c>
      <c r="G41" s="2448" t="e">
        <f t="shared" si="1"/>
        <v>#REF!</v>
      </c>
      <c r="H41" s="2450">
        <v>91862.30387158206</v>
      </c>
      <c r="I41" s="1460" t="e">
        <v>#REF!</v>
      </c>
      <c r="J41" s="1369" t="e">
        <f t="shared" si="2"/>
        <v>#REF!</v>
      </c>
      <c r="K41" s="1794" t="e">
        <f t="shared" si="3"/>
        <v>#REF!</v>
      </c>
      <c r="L41" s="2450">
        <v>132134.6846784632</v>
      </c>
      <c r="M41" s="224" t="e">
        <v>#REF!</v>
      </c>
      <c r="N41" s="1369" t="e">
        <f t="shared" si="4"/>
        <v>#REF!</v>
      </c>
      <c r="O41" s="2448" t="e">
        <f t="shared" si="5"/>
        <v>#REF!</v>
      </c>
      <c r="P41" s="2450">
        <v>51532.527024600655</v>
      </c>
      <c r="Q41" s="224" t="e">
        <v>#REF!</v>
      </c>
      <c r="R41" s="1369" t="e">
        <f t="shared" si="6"/>
        <v>#REF!</v>
      </c>
      <c r="S41" s="2451" t="e">
        <f t="shared" si="7"/>
        <v>#REF!</v>
      </c>
    </row>
    <row r="42" ht="15.5" customHeight="1" spans="3:19" x14ac:dyDescent="0.25">
      <c r="C42" s="2452">
        <v>2030</v>
      </c>
      <c r="D42" s="2450">
        <v>71966.13740992038</v>
      </c>
      <c r="E42" s="2454" t="e">
        <v>#REF!</v>
      </c>
      <c r="F42" s="1369" t="e">
        <f t="shared" si="0"/>
        <v>#REF!</v>
      </c>
      <c r="G42" s="2458" t="e">
        <f t="shared" si="1"/>
        <v>#REF!</v>
      </c>
      <c r="H42" s="2453">
        <v>94530.58900554366</v>
      </c>
      <c r="I42" s="2454" t="e">
        <v>#REF!</v>
      </c>
      <c r="J42" s="1369" t="e">
        <f t="shared" si="2"/>
        <v>#REF!</v>
      </c>
      <c r="K42" s="2456" t="e">
        <f t="shared" si="3"/>
        <v>#REF!</v>
      </c>
      <c r="L42" s="2453">
        <v>135970.3467503639</v>
      </c>
      <c r="M42" s="261" t="e">
        <v>#REF!</v>
      </c>
      <c r="N42" s="1369" t="e">
        <f t="shared" si="4"/>
        <v>#REF!</v>
      </c>
      <c r="O42" s="2455" t="e">
        <f t="shared" si="5"/>
        <v>#REF!</v>
      </c>
      <c r="P42" s="2453">
        <v>53028.435232641925</v>
      </c>
      <c r="Q42" s="261" t="e">
        <v>#REF!</v>
      </c>
      <c r="R42" s="1369" t="e">
        <f t="shared" si="6"/>
        <v>#REF!</v>
      </c>
      <c r="S42" s="2458" t="e">
        <f t="shared" si="7"/>
        <v>#REF!</v>
      </c>
    </row>
    <row r="45" ht="20.5" customHeight="1" spans="3:13" x14ac:dyDescent="0.25">
      <c r="C45" s="1555" t="s">
        <v>2186</v>
      </c>
      <c r="D45" s="59" t="s">
        <v>2199</v>
      </c>
      <c r="E45" s="59"/>
      <c r="F45" s="59"/>
      <c r="G45" s="59"/>
      <c r="H45" s="59"/>
      <c r="I45" s="59"/>
      <c r="J45" s="59"/>
      <c r="K45" s="59"/>
      <c r="L45" s="59"/>
      <c r="M45" s="59"/>
    </row>
    <row r="46" ht="20.5" customHeight="1" spans="3:13" x14ac:dyDescent="0.25">
      <c r="C46" s="1555" t="s">
        <v>2187</v>
      </c>
      <c r="D46" s="59" t="s">
        <v>2200</v>
      </c>
      <c r="E46" s="59"/>
      <c r="F46" s="59"/>
      <c r="G46" s="59"/>
      <c r="H46" s="59"/>
      <c r="I46" s="59"/>
      <c r="J46" s="59"/>
      <c r="K46" s="59"/>
      <c r="L46" s="59"/>
      <c r="M46" s="59"/>
    </row>
    <row r="47" ht="20.5" customHeight="1" spans="3:13" x14ac:dyDescent="0.25">
      <c r="C47" s="1555" t="s">
        <v>2189</v>
      </c>
      <c r="D47" s="59" t="s">
        <v>2201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" customHeight="1" spans="3:13" x14ac:dyDescent="0.25">
      <c r="C48" s="1555" t="s">
        <v>2188</v>
      </c>
      <c r="D48" s="59" t="s">
        <v>2202</v>
      </c>
      <c r="E48" s="59"/>
      <c r="F48" s="59"/>
      <c r="G48" s="59"/>
      <c r="H48" s="59"/>
      <c r="I48" s="59"/>
      <c r="J48" s="59"/>
      <c r="K48" s="59"/>
      <c r="L48" s="59"/>
      <c r="M48" s="59"/>
    </row>
    <row r="50" ht="20.5" customHeight="1" spans="3:13" x14ac:dyDescent="0.25">
      <c r="C50" s="1555" t="s">
        <v>2190</v>
      </c>
      <c r="D50" s="59" t="s">
        <v>2203</v>
      </c>
      <c r="E50" s="59"/>
      <c r="F50" s="59"/>
      <c r="G50" s="59"/>
      <c r="H50" s="59"/>
      <c r="I50" s="59"/>
      <c r="J50" s="59"/>
      <c r="K50" s="59"/>
      <c r="L50" s="59"/>
      <c r="M50" s="59"/>
    </row>
    <row r="51" ht="20.5" customHeight="1" spans="3:13" x14ac:dyDescent="0.25">
      <c r="C51" s="1555" t="s">
        <v>2191</v>
      </c>
      <c r="D51" s="59" t="s">
        <v>2204</v>
      </c>
      <c r="E51" s="59"/>
      <c r="F51" s="59"/>
      <c r="G51" s="59"/>
      <c r="H51" s="59"/>
      <c r="I51" s="59"/>
      <c r="J51" s="59"/>
      <c r="K51" s="59"/>
      <c r="L51" s="59"/>
      <c r="M51" s="59"/>
    </row>
    <row r="52" ht="20.5" customHeight="1" spans="3:10" x14ac:dyDescent="0.25">
      <c r="C52" s="1555" t="s">
        <v>2192</v>
      </c>
      <c r="D52" s="59" t="s">
        <v>2201</v>
      </c>
      <c r="E52" s="59"/>
      <c r="F52" s="59"/>
      <c r="G52" s="59"/>
      <c r="H52" s="59"/>
      <c r="I52" s="59"/>
      <c r="J52" s="59"/>
    </row>
    <row r="53" ht="20.5" customHeight="1" spans="3:10" x14ac:dyDescent="0.25">
      <c r="C53" s="1555" t="s">
        <v>2188</v>
      </c>
      <c r="D53" s="59" t="s">
        <v>2202</v>
      </c>
      <c r="E53" s="59"/>
      <c r="F53" s="59"/>
      <c r="G53" s="59"/>
      <c r="H53" s="59"/>
      <c r="I53" s="59"/>
      <c r="J53" s="59"/>
    </row>
    <row r="55" ht="20.5" customHeight="1" spans="3:13" x14ac:dyDescent="0.25">
      <c r="C55" s="1555" t="s">
        <v>2193</v>
      </c>
      <c r="D55" s="59" t="s">
        <v>2205</v>
      </c>
      <c r="E55" s="59"/>
      <c r="F55" s="59"/>
      <c r="G55" s="59"/>
      <c r="H55" s="59"/>
      <c r="I55" s="59"/>
      <c r="J55" s="59"/>
      <c r="K55" s="59"/>
      <c r="L55" s="59"/>
      <c r="M55" s="59"/>
    </row>
    <row r="56" ht="20.5" customHeight="1" spans="3:13" x14ac:dyDescent="0.25">
      <c r="C56" s="1555" t="s">
        <v>2194</v>
      </c>
      <c r="D56" s="59" t="s">
        <v>2206</v>
      </c>
      <c r="E56" s="59"/>
      <c r="F56" s="59"/>
      <c r="G56" s="59"/>
      <c r="H56" s="59"/>
      <c r="I56" s="59"/>
      <c r="J56" s="59"/>
      <c r="K56" s="59"/>
      <c r="L56" s="59"/>
      <c r="M56" s="59"/>
    </row>
    <row r="57" ht="20.5" customHeight="1" spans="3:10" x14ac:dyDescent="0.25">
      <c r="C57" s="1555" t="s">
        <v>2195</v>
      </c>
      <c r="D57" s="59" t="s">
        <v>2201</v>
      </c>
      <c r="E57" s="59"/>
      <c r="F57" s="59"/>
      <c r="G57" s="59"/>
      <c r="H57" s="59"/>
      <c r="I57" s="59"/>
      <c r="J57" s="59"/>
    </row>
    <row r="58" ht="20.5" customHeight="1" spans="3:10" x14ac:dyDescent="0.25">
      <c r="C58" s="1555" t="s">
        <v>2188</v>
      </c>
      <c r="D58" s="59" t="s">
        <v>2202</v>
      </c>
      <c r="E58" s="59"/>
      <c r="F58" s="59"/>
      <c r="G58" s="59"/>
      <c r="H58" s="59"/>
      <c r="I58" s="59"/>
      <c r="J58" s="59"/>
    </row>
    <row r="60" ht="20.5" customHeight="1" spans="3:13" x14ac:dyDescent="0.25">
      <c r="C60" s="1555" t="s">
        <v>2196</v>
      </c>
      <c r="D60" s="59" t="s">
        <v>2207</v>
      </c>
      <c r="E60" s="59"/>
      <c r="F60" s="59"/>
      <c r="G60" s="59"/>
      <c r="H60" s="59"/>
      <c r="I60" s="59"/>
      <c r="J60" s="59"/>
      <c r="K60" s="59"/>
      <c r="L60" s="59"/>
      <c r="M60" s="59"/>
    </row>
    <row r="61" ht="20.5" customHeight="1" spans="3:13" x14ac:dyDescent="0.25">
      <c r="C61" s="1555" t="s">
        <v>2197</v>
      </c>
      <c r="D61" s="59" t="s">
        <v>2208</v>
      </c>
      <c r="E61" s="59"/>
      <c r="F61" s="59"/>
      <c r="G61" s="59"/>
      <c r="H61" s="59"/>
      <c r="I61" s="59"/>
      <c r="J61" s="59"/>
      <c r="K61" s="59"/>
      <c r="L61" s="59"/>
      <c r="M61" s="59"/>
    </row>
    <row r="62" ht="20.5" customHeight="1" spans="3:13" x14ac:dyDescent="0.25">
      <c r="C62" s="1555" t="s">
        <v>2198</v>
      </c>
      <c r="D62" s="59" t="s">
        <v>2201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" customHeight="1" spans="3:13" x14ac:dyDescent="0.25">
      <c r="C63" s="1555" t="s">
        <v>2188</v>
      </c>
      <c r="D63" s="59" t="s">
        <v>2202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" customHeight="1" spans="4:13" x14ac:dyDescent="0.25">
      <c r="D64" s="59"/>
      <c r="E64" s="59"/>
      <c r="F64" s="59"/>
      <c r="G64" s="59"/>
      <c r="H64" s="59"/>
      <c r="I64" s="59"/>
      <c r="J64" s="59"/>
      <c r="K64" s="59"/>
      <c r="L64" s="59"/>
      <c r="M64" s="5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РЕЗУЛЬТАТЫ</vt:lpstr>
      <vt:lpstr>ОТЧЁТ</vt:lpstr>
      <vt:lpstr>НАСТРОЙКА</vt:lpstr>
      <vt:lpstr>СЧЁТ</vt:lpstr>
      <vt:lpstr>ДЕМО</vt:lpstr>
      <vt:lpstr>ЭТАЛОН</vt:lpstr>
      <vt:lpstr>ПФ</vt:lpstr>
      <vt:lpstr>ДОХОДЫ НС</vt:lpstr>
      <vt:lpstr>ПФ2</vt:lpstr>
      <vt:lpstr>АЛГОРИТМ</vt:lpstr>
      <vt:lpstr>СРВ ТРАЕКТ</vt:lpstr>
      <vt:lpstr>СРВ СЦЕН</vt:lpstr>
      <vt:lpstr>МУЛЬТ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2014-03-24T09:08:54Z</cp:lastPrinted>
  <dcterms:created xsi:type="dcterms:W3CDTF">2006-09-28T05:33:49Z</dcterms:created>
  <dcterms:modified xsi:type="dcterms:W3CDTF">2021-06-01T18:04:28Z</dcterms:modified>
</cp:coreProperties>
</file>