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uma document\Special documents\Data Analyst\"/>
    </mc:Choice>
  </mc:AlternateContent>
  <xr:revisionPtr revIDLastSave="0" documentId="13_ncr:1_{CC385DC6-0F53-494B-98D7-6EBCC1FC0681}" xr6:coauthVersionLast="47" xr6:coauthVersionMax="47" xr10:uidLastSave="{00000000-0000-0000-0000-000000000000}"/>
  <bookViews>
    <workbookView xWindow="-120" yWindow="-120" windowWidth="20730" windowHeight="11160" activeTab="1" xr2:uid="{7020EFDB-9789-4CCE-AEF2-D164F5D1B6BE}"/>
  </bookViews>
  <sheets>
    <sheet name="Database" sheetId="1" r:id="rId1"/>
    <sheet name="Dashboard" sheetId="3" r:id="rId2"/>
    <sheet name="Pivot tables" sheetId="2" r:id="rId3"/>
  </sheets>
  <definedNames>
    <definedName name="ACCTDATE">#REF!</definedName>
  </definedNames>
  <calcPr calcId="181029" iterate="1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T6" i="2" l="1"/>
  <c r="AT5" i="2"/>
  <c r="AS10" i="2"/>
  <c r="BI8" i="2"/>
  <c r="BI7" i="2"/>
  <c r="BI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6" i="2"/>
  <c r="AZ6" i="2"/>
  <c r="J3" i="3" s="1"/>
  <c r="AZ7" i="2"/>
  <c r="AS5" i="2"/>
  <c r="AS6" i="2"/>
  <c r="AS7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H7" i="2"/>
  <c r="AH8" i="2"/>
  <c r="AH9" i="2"/>
  <c r="AH10" i="2"/>
  <c r="AH11" i="2"/>
  <c r="AH12" i="2"/>
  <c r="AH13" i="2"/>
  <c r="AH14" i="2"/>
  <c r="AH15" i="2"/>
  <c r="AH6" i="2"/>
  <c r="AG7" i="2"/>
  <c r="AG8" i="2"/>
  <c r="AG9" i="2"/>
  <c r="AG10" i="2"/>
  <c r="AG11" i="2"/>
  <c r="AG12" i="2"/>
  <c r="AG13" i="2"/>
  <c r="AG14" i="2"/>
  <c r="AG15" i="2"/>
  <c r="AG6" i="2"/>
  <c r="T6" i="2"/>
  <c r="Z7" i="2"/>
  <c r="AA7" i="2" s="1"/>
  <c r="Z8" i="2"/>
  <c r="AA8" i="2" s="1"/>
  <c r="Z9" i="2"/>
  <c r="AA9" i="2" s="1"/>
  <c r="Z10" i="2"/>
  <c r="AA10" i="2" s="1"/>
  <c r="Z6" i="2"/>
  <c r="AA6" i="2" s="1"/>
  <c r="T7" i="2"/>
  <c r="G48" i="1"/>
  <c r="L48" i="1" s="1"/>
  <c r="G47" i="1"/>
  <c r="L47" i="1" s="1"/>
  <c r="G46" i="1"/>
  <c r="L46" i="1" s="1"/>
  <c r="G45" i="1"/>
  <c r="L45" i="1" s="1"/>
  <c r="G44" i="1"/>
  <c r="L44" i="1" s="1"/>
  <c r="G43" i="1"/>
  <c r="L43" i="1" s="1"/>
  <c r="G42" i="1"/>
  <c r="L42" i="1" s="1"/>
  <c r="G41" i="1"/>
  <c r="L41" i="1" s="1"/>
  <c r="G40" i="1"/>
  <c r="L40" i="1" s="1"/>
  <c r="G39" i="1"/>
  <c r="L39" i="1" s="1"/>
  <c r="G38" i="1"/>
  <c r="L38" i="1" s="1"/>
  <c r="G37" i="1"/>
  <c r="L37" i="1" s="1"/>
  <c r="G36" i="1"/>
  <c r="L36" i="1" s="1"/>
  <c r="G35" i="1"/>
  <c r="L35" i="1" s="1"/>
  <c r="G34" i="1"/>
  <c r="L34" i="1" s="1"/>
  <c r="G33" i="1"/>
  <c r="L33" i="1" s="1"/>
  <c r="G32" i="1"/>
  <c r="L32" i="1" s="1"/>
  <c r="G31" i="1"/>
  <c r="L31" i="1" s="1"/>
  <c r="G30" i="1"/>
  <c r="L30" i="1" s="1"/>
  <c r="G29" i="1"/>
  <c r="L29" i="1" s="1"/>
  <c r="G28" i="1"/>
  <c r="L28" i="1" s="1"/>
  <c r="G27" i="1"/>
  <c r="L27" i="1" s="1"/>
  <c r="G26" i="1"/>
  <c r="L26" i="1" s="1"/>
  <c r="G25" i="1"/>
  <c r="L25" i="1" s="1"/>
  <c r="G24" i="1"/>
  <c r="L24" i="1" s="1"/>
  <c r="G23" i="1"/>
  <c r="L23" i="1" s="1"/>
  <c r="G22" i="1"/>
  <c r="L22" i="1" s="1"/>
  <c r="G21" i="1"/>
  <c r="L21" i="1" s="1"/>
  <c r="G20" i="1"/>
  <c r="L20" i="1" s="1"/>
  <c r="G19" i="1"/>
  <c r="L19" i="1" s="1"/>
  <c r="G18" i="1"/>
  <c r="L18" i="1" s="1"/>
  <c r="G17" i="1"/>
  <c r="L17" i="1" s="1"/>
  <c r="G16" i="1"/>
  <c r="L16" i="1" s="1"/>
  <c r="G15" i="1"/>
  <c r="L15" i="1" s="1"/>
  <c r="G14" i="1"/>
  <c r="L14" i="1" s="1"/>
  <c r="G13" i="1"/>
  <c r="L13" i="1" s="1"/>
  <c r="G12" i="1"/>
  <c r="L12" i="1" s="1"/>
  <c r="BA7" i="2"/>
  <c r="BA6" i="2"/>
</calcChain>
</file>

<file path=xl/sharedStrings.xml><?xml version="1.0" encoding="utf-8"?>
<sst xmlns="http://schemas.openxmlformats.org/spreadsheetml/2006/main" count="373" uniqueCount="78">
  <si>
    <t>Office of the Accountant General of the Federation</t>
  </si>
  <si>
    <t>Federation Account Department</t>
  </si>
  <si>
    <t>Summary of Distribution of Revenue Allocation to Local Government Councils by Federation Account Allocation Committee for the month of November, 2021 Shared in December, 2021</t>
  </si>
  <si>
    <t>S/n</t>
  </si>
  <si>
    <t>State</t>
  </si>
  <si>
    <t>Gross Statutory Allocation</t>
  </si>
  <si>
    <t>Deduction</t>
  </si>
  <si>
    <t>Exchange Gain</t>
  </si>
  <si>
    <t xml:space="preserve">Excess Bank Charges </t>
  </si>
  <si>
    <t>VAT</t>
  </si>
  <si>
    <t>Total Ecology Fund</t>
  </si>
  <si>
    <t>Total</t>
  </si>
  <si>
    <t>₦</t>
  </si>
  <si>
    <t>ABIA</t>
  </si>
  <si>
    <t>ADAMAWA</t>
  </si>
  <si>
    <t>AKWA 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</si>
  <si>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</si>
  <si>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</si>
  <si>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</si>
  <si>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</si>
  <si>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</si>
  <si>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</si>
  <si>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</si>
  <si>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</si>
  <si>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</si>
  <si>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</si>
  <si>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</si>
  <si>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</si>
  <si>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</si>
  <si>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</si>
  <si>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</si>
  <si>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</si>
  <si>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</si>
  <si>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</si>
  <si>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</si>
  <si>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</si>
  <si>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</si>
  <si>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</si>
  <si>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</si>
  <si>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</si>
  <si>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</si>
  <si>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</si>
  <si>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</si>
  <si>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</si>
  <si>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</si>
  <si>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</si>
  <si>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</si>
  <si>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</si>
  <si>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</si>
  <si>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FCT-ABUJA</t>
  </si>
  <si>
    <r>
      <t xml:space="preserve">The above information is also available on the Federal Ministry of Finance website </t>
    </r>
    <r>
      <rPr>
        <b/>
        <u/>
        <sz val="16"/>
        <rFont val="Times New Roman"/>
        <family val="1"/>
      </rPr>
      <t>www.fmf.gov.ng</t>
    </r>
    <r>
      <rPr>
        <b/>
        <sz val="16"/>
        <rFont val="Times New Roman"/>
        <family val="1"/>
      </rPr>
      <t xml:space="preserve"> and Office of Accountant-General of the Federation website </t>
    </r>
    <r>
      <rPr>
        <b/>
        <u/>
        <sz val="16"/>
        <rFont val="Times New Roman"/>
        <family val="1"/>
      </rPr>
      <t>www.oagf.gov.ng</t>
    </r>
    <r>
      <rPr>
        <b/>
        <sz val="16"/>
        <rFont val="Times New Roman"/>
        <family val="1"/>
      </rPr>
      <t xml:space="preserve">.  In addition, you would find on these websites details of the Capital and Recurrent allocations to all arms of Government including Federal Ministries and Agencies.  The Budget Office website </t>
    </r>
    <r>
      <rPr>
        <b/>
        <u/>
        <sz val="16"/>
        <rFont val="Times New Roman"/>
        <family val="1"/>
      </rPr>
      <t>www.budgetoffice.gov.ng</t>
    </r>
    <r>
      <rPr>
        <b/>
        <sz val="16"/>
        <rFont val="Times New Roman"/>
        <family val="1"/>
      </rPr>
      <t xml:space="preserve"> also contains information about the Budget.</t>
    </r>
  </si>
  <si>
    <t>Data: Federation account allocation</t>
  </si>
  <si>
    <t>Source: Office of the Accountant-General of the Federation</t>
  </si>
  <si>
    <t>Analyst: Innocent Chukwuma Obasi</t>
  </si>
  <si>
    <t>Zone</t>
  </si>
  <si>
    <t>NORTH</t>
  </si>
  <si>
    <t>SOUTH</t>
  </si>
  <si>
    <t xml:space="preserve"> </t>
  </si>
  <si>
    <t>Sum of Gross Statutory Allocation</t>
  </si>
  <si>
    <t>Row Labels</t>
  </si>
  <si>
    <t>Grand Total</t>
  </si>
  <si>
    <t>Sum of Exchange Gain</t>
  </si>
  <si>
    <t>(blank)</t>
  </si>
  <si>
    <t>Sum of Total</t>
  </si>
  <si>
    <t xml:space="preserve">Total Gross Statutory Allocation </t>
  </si>
  <si>
    <t>Total Exchange</t>
  </si>
  <si>
    <t>Total Gross Statutory Allocation by Region</t>
  </si>
  <si>
    <t>Sum of Gross Statutory Allocation2</t>
  </si>
  <si>
    <t>Max</t>
  </si>
  <si>
    <t>Min</t>
  </si>
  <si>
    <t>Average</t>
  </si>
  <si>
    <t>Sum of Total Ecology Fund</t>
  </si>
  <si>
    <t>Sum of Deduction</t>
  </si>
  <si>
    <t>min</t>
  </si>
  <si>
    <t>average</t>
  </si>
  <si>
    <t>max</t>
  </si>
  <si>
    <t>Sum of VAT</t>
  </si>
  <si>
    <t xml:space="preserve">Sum of Excess Bank Charges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</si>
</sst>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&quot; &quot;#,##0.00;\-&quot; &quot;#,##0.00"/>
    <numFmt numFmtId="165" formatCode="#,##0.0000_ ;\-#,##0.0000\ "/>
    <numFmt numFmtId="166" formatCode="_-* #,##0.00_-;\-* #,##0.00_-;_-* &quot;-&quot;??_-;_-@_-"/>
    <numFmt numFmtId="167" formatCode="_(* #,##0_);_(* \(#,##0\);_(* &quot;-&quot;??_);_(@_)"/>
    <numFmt numFmtId="168" formatCode="[&lt;999950]0.0&quot;K&quot;;[&lt;999950000]0.0,,&quot;M&quot;;0.0,,,&quot;B&quot;"/>
    <numFmt numFmtId="169" formatCode="0.0000"/>
    <numFmt numFmtId="170" formatCode="#,##0;[Red]#,##0"/>
  </numFmts>
  <fonts count="17" x14ac:knownFonts="1">
    <font>
      <sz val="10"/>
      <name val="Arial"/>
    </font>
    <font>
      <b/>
      <sz val="14"/>
      <name val="Times New Roman"/>
      <family val="1"/>
    </font>
    <font>
      <sz val="14"/>
      <name val="Times New Roma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6"/>
      <name val="Times New Roman"/>
      <family val="1"/>
    </font>
    <font>
      <b/>
      <u/>
      <sz val="16"/>
      <name val="Times New Roman"/>
      <family val="1"/>
    </font>
    <font>
      <b/>
      <sz val="12"/>
      <color theme="1" tint="0.34998626667073579"/>
      <name val="Times New Roman"/>
      <family val="1"/>
    </font>
    <font>
      <sz val="14"/>
      <color theme="1" tint="0.34998626667073579"/>
      <name val="Times New Roman"/>
      <family val="1"/>
    </font>
    <font>
      <b/>
      <sz val="14"/>
      <color theme="0"/>
      <name val="Times New Roman"/>
      <family val="1"/>
    </font>
    <font>
      <sz val="8"/>
      <name val="Arial"/>
      <family val="2"/>
    </font>
    <font>
      <b/>
      <sz val="12"/>
      <color theme="0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0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DashDot">
        <color theme="1" tint="0.249977111117893"/>
      </bottom>
      <diagonal/>
    </border>
    <border>
      <left style="mediumDashDot">
        <color theme="1" tint="0.249977111117893"/>
      </left>
      <right/>
      <top/>
      <bottom/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3" fillId="0" borderId="0"/>
    <xf numFmtId="0" fontId="3" fillId="0" borderId="0"/>
    <xf numFmtId="9" fontId="16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43" fontId="2" fillId="0" borderId="0" xfId="1" applyFont="1"/>
    <xf numFmtId="166" fontId="2" fillId="0" borderId="0" xfId="0" applyNumberFormat="1" applyFont="1"/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 wrapText="1"/>
    </xf>
    <xf numFmtId="0" fontId="8" fillId="0" borderId="0" xfId="2" applyFont="1" applyAlignment="1">
      <alignment wrapText="1"/>
    </xf>
    <xf numFmtId="43" fontId="8" fillId="0" borderId="0" xfId="1" applyFont="1" applyBorder="1" applyAlignment="1">
      <alignment wrapText="1"/>
    </xf>
    <xf numFmtId="164" fontId="8" fillId="0" borderId="0" xfId="2" applyNumberFormat="1" applyFont="1" applyAlignment="1">
      <alignment horizontal="right" wrapText="1"/>
    </xf>
    <xf numFmtId="165" fontId="8" fillId="0" borderId="0" xfId="0" applyNumberFormat="1" applyFont="1"/>
    <xf numFmtId="0" fontId="8" fillId="0" borderId="0" xfId="2" applyFont="1" applyAlignment="1">
      <alignment horizontal="center" vertical="center" wrapText="1"/>
    </xf>
    <xf numFmtId="0" fontId="1" fillId="0" borderId="0" xfId="0" applyFont="1"/>
    <xf numFmtId="0" fontId="7" fillId="0" borderId="0" xfId="0" applyFont="1" applyAlignment="1">
      <alignment horizontal="center"/>
    </xf>
    <xf numFmtId="0" fontId="9" fillId="2" borderId="0" xfId="2" applyFont="1" applyFill="1" applyAlignment="1">
      <alignment horizontal="center" vertical="center" wrapText="1"/>
    </xf>
    <xf numFmtId="0" fontId="9" fillId="2" borderId="0" xfId="2" applyFont="1" applyFill="1" applyAlignment="1">
      <alignment horizontal="center" wrapText="1"/>
    </xf>
    <xf numFmtId="43" fontId="11" fillId="3" borderId="0" xfId="1" applyFont="1" applyFill="1" applyBorder="1" applyAlignment="1">
      <alignment horizontal="center" wrapText="1"/>
    </xf>
    <xf numFmtId="0" fontId="11" fillId="2" borderId="0" xfId="3" applyFont="1" applyFill="1" applyAlignment="1">
      <alignment horizontal="center" wrapText="1"/>
    </xf>
    <xf numFmtId="0" fontId="9" fillId="3" borderId="0" xfId="0" applyFont="1" applyFill="1" applyAlignment="1">
      <alignment horizontal="center" wrapText="1"/>
    </xf>
    <xf numFmtId="0" fontId="11" fillId="3" borderId="0" xfId="0" quotePrefix="1" applyFont="1" applyFill="1" applyAlignment="1">
      <alignment horizontal="center" wrapText="1"/>
    </xf>
    <xf numFmtId="0" fontId="8" fillId="4" borderId="0" xfId="2" applyFont="1" applyFill="1" applyAlignment="1">
      <alignment horizontal="center" vertical="center" wrapText="1"/>
    </xf>
    <xf numFmtId="0" fontId="8" fillId="4" borderId="0" xfId="2" applyFont="1" applyFill="1" applyAlignment="1">
      <alignment wrapText="1"/>
    </xf>
    <xf numFmtId="43" fontId="8" fillId="4" borderId="0" xfId="1" applyFont="1" applyFill="1" applyBorder="1" applyAlignment="1">
      <alignment wrapText="1"/>
    </xf>
    <xf numFmtId="164" fontId="8" fillId="4" borderId="0" xfId="2" applyNumberFormat="1" applyFont="1" applyFill="1" applyAlignment="1">
      <alignment horizontal="right" wrapText="1"/>
    </xf>
    <xf numFmtId="165" fontId="8" fillId="4" borderId="0" xfId="0" applyNumberFormat="1" applyFont="1" applyFill="1"/>
    <xf numFmtId="0" fontId="0" fillId="5" borderId="0" xfId="0" applyFill="1"/>
    <xf numFmtId="0" fontId="13" fillId="0" borderId="0" xfId="0" applyFont="1"/>
    <xf numFmtId="0" fontId="8" fillId="0" borderId="0" xfId="2" applyFont="1" applyAlignment="1">
      <alignment horizontal="center" wrapText="1"/>
    </xf>
    <xf numFmtId="0" fontId="8" fillId="4" borderId="0" xfId="2" applyFont="1" applyFill="1" applyAlignment="1">
      <alignment horizontal="center" wrapText="1"/>
    </xf>
    <xf numFmtId="0" fontId="14" fillId="3" borderId="0" xfId="0" applyFont="1" applyFill="1"/>
    <xf numFmtId="0" fontId="0" fillId="0" borderId="1" xfId="0" applyBorder="1"/>
    <xf numFmtId="3" fontId="4" fillId="0" borderId="0" xfId="0" applyNumberFormat="1" applyFont="1"/>
    <xf numFmtId="0" fontId="4" fillId="0" borderId="0" xfId="0" pivotButton="1" applyFont="1"/>
    <xf numFmtId="0" fontId="4" fillId="0" borderId="0" xfId="0" applyFont="1" applyAlignment="1">
      <alignment horizontal="left"/>
    </xf>
    <xf numFmtId="0" fontId="14" fillId="3" borderId="2" xfId="0" applyFont="1" applyFill="1" applyBorder="1"/>
    <xf numFmtId="0" fontId="0" fillId="0" borderId="3" xfId="0" applyBorder="1"/>
    <xf numFmtId="167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15" fillId="3" borderId="2" xfId="0" applyFont="1" applyFill="1" applyBorder="1"/>
    <xf numFmtId="168" fontId="4" fillId="0" borderId="0" xfId="0" applyNumberFormat="1" applyFont="1"/>
    <xf numFmtId="169" fontId="0" fillId="0" borderId="0" xfId="0" applyNumberFormat="1"/>
    <xf numFmtId="168" fontId="0" fillId="0" borderId="0" xfId="0" applyNumberFormat="1"/>
    <xf numFmtId="9" fontId="0" fillId="0" borderId="0" xfId="4" applyFont="1" applyBorder="1"/>
    <xf numFmtId="167" fontId="0" fillId="0" borderId="0" xfId="0" applyNumberFormat="1"/>
    <xf numFmtId="170" fontId="4" fillId="0" borderId="0" xfId="0" applyNumberFormat="1" applyFont="1"/>
    <xf numFmtId="0" fontId="4" fillId="0" borderId="0" xfId="0" applyFont="1"/>
    <xf numFmtId="0" fontId="1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</cellXfs>
  <cellStyles count="5">
    <cellStyle name="Comma" xfId="1" builtinId="3"/>
    <cellStyle name="Normal" xfId="0" builtinId="0"/>
    <cellStyle name="Normal_lgc eco dec 21" xfId="2" xr:uid="{B96E564D-FDE2-44EB-8CB2-6AA3B694FF76}"/>
    <cellStyle name="Normal_TOTALDATA_1" xfId="3" xr:uid="{3B89255A-9A53-43BC-BADA-3DC4B0DDAB0E}"/>
    <cellStyle name="Percent" xfId="4" builtinId="5"/>
  </cellStyles>
  <dxfs count="98">
    <dxf>
      <numFmt numFmtId="3" formatCode="#,##0"/>
    </dxf>
    <dxf>
      <border>
        <bottom style="mediumDashDot">
          <color theme="1" tint="0.249977111117893"/>
        </bottom>
      </border>
    </dxf>
    <dxf>
      <font>
        <name val="Arial"/>
      </font>
    </dxf>
    <dxf>
      <font>
        <name val="Arial"/>
      </font>
    </dxf>
    <dxf>
      <font>
        <name val="Arial"/>
      </font>
    </dxf>
    <dxf>
      <fill>
        <patternFill patternType="solid">
          <bgColor theme="1"/>
        </patternFill>
      </fill>
    </dxf>
    <dxf>
      <font>
        <color theme="0"/>
      </font>
    </dxf>
    <dxf>
      <numFmt numFmtId="168" formatCode="[&lt;999950]0.0&quot;K&quot;;[&lt;999950000]0.0,,&quot;M&quot;;0.0,,,&quot;B&quot;"/>
    </dxf>
    <dxf>
      <border>
        <bottom style="mediumDashDot">
          <color theme="1" tint="0.249977111117893"/>
        </bottom>
      </border>
    </dxf>
    <dxf>
      <font>
        <name val="Arial"/>
      </font>
    </dxf>
    <dxf>
      <font>
        <name val="Arial"/>
      </font>
    </dxf>
    <dxf>
      <font>
        <name val="Arial"/>
      </font>
    </dxf>
    <dxf>
      <fill>
        <patternFill patternType="solid">
          <bgColor theme="1"/>
        </patternFill>
      </fill>
    </dxf>
    <dxf>
      <font>
        <color theme="0"/>
      </font>
    </dxf>
    <dxf>
      <numFmt numFmtId="168" formatCode="[&lt;999950]0.0&quot;K&quot;;[&lt;999950000]0.0,,&quot;M&quot;;0.0,,,&quot;B&quot;"/>
    </dxf>
    <dxf>
      <border>
        <bottom style="mediumDashDot">
          <color theme="1" tint="0.249977111117893"/>
        </bottom>
      </border>
    </dxf>
    <dxf>
      <font>
        <name val="Arial"/>
      </font>
    </dxf>
    <dxf>
      <font>
        <name val="Arial"/>
      </font>
    </dxf>
    <dxf>
      <font>
        <name val="Arial"/>
      </font>
    </dxf>
    <dxf>
      <fill>
        <patternFill patternType="solid">
          <bgColor theme="1"/>
        </patternFill>
      </fill>
    </dxf>
    <dxf>
      <font>
        <color theme="0"/>
      </font>
    </dxf>
    <dxf>
      <numFmt numFmtId="3" formatCode="#,##0"/>
    </dxf>
    <dxf>
      <border>
        <bottom style="mediumDashDot">
          <color theme="1" tint="0.249977111117893"/>
        </bottom>
      </border>
    </dxf>
    <dxf>
      <font>
        <name val="Arial"/>
      </font>
    </dxf>
    <dxf>
      <font>
        <name val="Arial"/>
      </font>
    </dxf>
    <dxf>
      <font>
        <name val="Arial"/>
      </font>
    </dxf>
    <dxf>
      <fill>
        <patternFill patternType="solid">
          <bgColor theme="1"/>
        </patternFill>
      </fill>
    </dxf>
    <dxf>
      <font>
        <color theme="0"/>
      </font>
    </dxf>
    <dxf>
      <numFmt numFmtId="3" formatCode="#,##0"/>
    </dxf>
    <dxf>
      <border>
        <bottom style="mediumDashDot">
          <color theme="1" tint="0.249977111117893"/>
        </bottom>
      </border>
    </dxf>
    <dxf>
      <font>
        <name val="Arial"/>
      </font>
    </dxf>
    <dxf>
      <font>
        <name val="Arial"/>
      </font>
    </dxf>
    <dxf>
      <font>
        <name val="Arial"/>
      </font>
    </dxf>
    <dxf>
      <fill>
        <patternFill patternType="solid">
          <bgColor theme="1"/>
        </patternFill>
      </fill>
    </dxf>
    <dxf>
      <font>
        <color theme="0"/>
      </font>
    </dxf>
    <dxf>
      <numFmt numFmtId="168" formatCode="[&lt;999950]0.0&quot;K&quot;;[&lt;999950000]0.0,,&quot;M&quot;;0.0,,,&quot;B&quot;"/>
    </dxf>
    <dxf>
      <border>
        <bottom style="mediumDashDot">
          <color theme="1" tint="0.249977111117893"/>
        </bottom>
      </border>
    </dxf>
    <dxf>
      <font>
        <name val="Arial"/>
      </font>
    </dxf>
    <dxf>
      <font>
        <name val="Arial"/>
      </font>
    </dxf>
    <dxf>
      <font>
        <name val="Arial"/>
      </font>
    </dxf>
    <dxf>
      <fill>
        <patternFill patternType="solid">
          <bgColor theme="1"/>
        </patternFill>
      </fill>
    </dxf>
    <dxf>
      <font>
        <color theme="0"/>
      </font>
    </dxf>
    <dxf>
      <numFmt numFmtId="3" formatCode="#,##0"/>
    </dxf>
    <dxf>
      <border>
        <bottom style="mediumDashDot">
          <color theme="1" tint="0.249977111117893"/>
        </bottom>
      </border>
    </dxf>
    <dxf>
      <font>
        <name val="Arial"/>
      </font>
    </dxf>
    <dxf>
      <font>
        <name val="Arial"/>
      </font>
    </dxf>
    <dxf>
      <font>
        <name val="Arial"/>
      </font>
    </dxf>
    <dxf>
      <fill>
        <patternFill patternType="solid">
          <bgColor theme="1"/>
        </patternFill>
      </fill>
    </dxf>
    <dxf>
      <font>
        <color theme="0"/>
      </font>
    </dxf>
    <dxf>
      <font>
        <name val="Arial"/>
      </font>
    </dxf>
    <dxf>
      <font>
        <name val="Arial"/>
      </font>
    </dxf>
    <dxf>
      <font>
        <name val="Arial"/>
      </font>
    </dxf>
    <dxf>
      <numFmt numFmtId="3" formatCode="#,##0"/>
    </dxf>
    <dxf>
      <fill>
        <patternFill patternType="solid">
          <bgColor theme="1"/>
        </patternFill>
      </fill>
    </dxf>
    <dxf>
      <font>
        <color theme="0"/>
      </font>
    </dxf>
    <dxf>
      <numFmt numFmtId="3" formatCode="#,##0"/>
    </dxf>
    <dxf>
      <border>
        <bottom style="mediumDashDot">
          <color theme="1" tint="0.249977111117893"/>
        </bottom>
      </border>
    </dxf>
    <dxf>
      <font>
        <name val="Arial"/>
      </font>
    </dxf>
    <dxf>
      <font>
        <name val="Arial"/>
      </font>
    </dxf>
    <dxf>
      <font>
        <name val="Arial"/>
      </font>
    </dxf>
    <dxf>
      <fill>
        <patternFill patternType="solid">
          <bgColor theme="1"/>
        </patternFill>
      </fill>
    </dxf>
    <dxf>
      <font>
        <color theme="0"/>
      </font>
    </dxf>
    <dxf>
      <numFmt numFmtId="170" formatCode="#,##0;[Red]#,##0"/>
    </dxf>
    <dxf>
      <border>
        <bottom style="mediumDashDot">
          <color theme="1" tint="0.249977111117893"/>
        </bottom>
      </border>
    </dxf>
    <dxf>
      <font>
        <name val="Arial"/>
      </font>
    </dxf>
    <dxf>
      <font>
        <name val="Arial"/>
      </font>
    </dxf>
    <dxf>
      <font>
        <name val="Arial"/>
      </font>
    </dxf>
    <dxf>
      <fill>
        <patternFill patternType="solid">
          <bgColor theme="1"/>
        </patternFill>
      </fill>
    </dxf>
    <dxf>
      <font>
        <color theme="0"/>
      </font>
    </dxf>
    <dxf>
      <border>
        <bottom style="mediumDashDot">
          <color theme="1" tint="0.249977111117893"/>
        </bottom>
      </border>
    </dxf>
    <dxf>
      <numFmt numFmtId="3" formatCode="#,##0"/>
    </dxf>
    <dxf>
      <font>
        <name val="Arial"/>
      </font>
    </dxf>
    <dxf>
      <font>
        <name val="Arial"/>
      </font>
    </dxf>
    <dxf>
      <font>
        <name val="Arial"/>
      </font>
    </dxf>
    <dxf>
      <fill>
        <patternFill patternType="solid">
          <bgColor theme="1"/>
        </patternFill>
      </fill>
    </dxf>
    <dxf>
      <font>
        <color theme="0"/>
      </font>
    </dxf>
    <dxf>
      <numFmt numFmtId="3" formatCode="#,##0"/>
    </dxf>
    <dxf>
      <border>
        <bottom style="mediumDashDot">
          <color theme="1" tint="0.249977111117893"/>
        </bottom>
      </border>
    </dxf>
    <dxf>
      <font>
        <name val="Arial"/>
      </font>
    </dxf>
    <dxf>
      <font>
        <name val="Arial"/>
      </font>
    </dxf>
    <dxf>
      <font>
        <name val="Arial"/>
      </font>
    </dxf>
    <dxf>
      <fill>
        <patternFill patternType="solid">
          <bgColor theme="1"/>
        </patternFill>
      </fill>
    </dxf>
    <dxf>
      <font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Times New Roman"/>
        <family val="1"/>
        <scheme val="none"/>
      </font>
      <numFmt numFmtId="165" formatCode="#,##0.0000_ ;\-#,##0.00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Times New Roman"/>
        <family val="1"/>
        <scheme val="none"/>
      </font>
      <numFmt numFmtId="164" formatCode="&quot; &quot;#,##0.00;\-&quot; &quot;#,##0.00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Times New Roman"/>
        <family val="1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Times New Roman"/>
        <family val="1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Times New Roman"/>
        <family val="1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Times New Roman"/>
        <family val="1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Times New Roman"/>
        <family val="1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Times New Roman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Times New Roman"/>
        <family val="1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Times New Roman"/>
        <family val="1"/>
        <scheme val="none"/>
      </font>
      <alignment horizontal="right" vertical="center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Times New Roman"/>
        <family val="1"/>
        <scheme val="none"/>
      </font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Times New Roman"/>
        <family val="1"/>
        <scheme val="none"/>
      </font>
      <fill>
        <patternFill patternType="solid">
          <fgColor indexed="0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tables'!$AG$6:$AG$15</c:f>
              <c:strCache>
                <c:ptCount val="10"/>
                <c:pt idx="0">
                  <c:v>KANO</c:v>
                </c:pt>
                <c:pt idx="1">
                  <c:v>KATSINA</c:v>
                </c:pt>
                <c:pt idx="2">
                  <c:v>OYO</c:v>
                </c:pt>
                <c:pt idx="3">
                  <c:v>KADUNA</c:v>
                </c:pt>
                <c:pt idx="4">
                  <c:v>BORNO</c:v>
                </c:pt>
                <c:pt idx="5">
                  <c:v>AKWA IBOM</c:v>
                </c:pt>
                <c:pt idx="6">
                  <c:v>LAGOS</c:v>
                </c:pt>
                <c:pt idx="7">
                  <c:v>NIGER</c:v>
                </c:pt>
                <c:pt idx="8">
                  <c:v>BENUE</c:v>
                </c:pt>
                <c:pt idx="9">
                  <c:v>JIGAWA</c:v>
                </c:pt>
              </c:strCache>
            </c:strRef>
          </c:cat>
          <c:val>
            <c:numRef>
              <c:f>'Pivot tables'!$AH$6:$AH$15</c:f>
              <c:numCache>
                <c:formatCode>_(* #,##0_);_(* \(#,##0\);_(* "-"??_);_(@_)</c:formatCode>
                <c:ptCount val="10"/>
                <c:pt idx="0">
                  <c:v>5030752823.9502993</c:v>
                </c:pt>
                <c:pt idx="1">
                  <c:v>3829997755.4898005</c:v>
                </c:pt>
                <c:pt idx="2">
                  <c:v>3398453851.7498002</c:v>
                </c:pt>
                <c:pt idx="3">
                  <c:v>3159850506.6998997</c:v>
                </c:pt>
                <c:pt idx="4">
                  <c:v>3107519441.0599999</c:v>
                </c:pt>
                <c:pt idx="5">
                  <c:v>3069630161.3399</c:v>
                </c:pt>
                <c:pt idx="6">
                  <c:v>3011444840.5001998</c:v>
                </c:pt>
                <c:pt idx="7">
                  <c:v>2919246904.02</c:v>
                </c:pt>
                <c:pt idx="8">
                  <c:v>2862225765.8499999</c:v>
                </c:pt>
                <c:pt idx="9">
                  <c:v>2809768296.6898999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51-403F-93FE-581D5C0C9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9915280"/>
        <c:axId val="176066096"/>
        <c:axId val="0"/>
      </c:bar3DChart>
      <c:catAx>
        <c:axId val="30991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66096"/>
        <c:crosses val="autoZero"/>
        <c:auto val="1"/>
        <c:lblAlgn val="ctr"/>
        <c:lblOffset val="100"/>
        <c:noMultiLvlLbl val="0"/>
      </c:catAx>
      <c:valAx>
        <c:axId val="1760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15280"/>
        <c:crosses val="autoZero"/>
        <c:crossBetween val="between"/>
        <c:dispUnits>
          <c:builtInUnit val="billions"/>
          <c:dispUnitsLbl>
            <c:layout>
              <c:manualLayout>
                <c:xMode val="edge"/>
                <c:yMode val="edge"/>
                <c:x val="3.9174615368200924E-2"/>
                <c:y val="0.227376786235054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1" i="0" u="none" strike="noStrike" kern="1200" cap="all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>
                      <a:solidFill>
                        <a:schemeClr val="tx1"/>
                      </a:solidFill>
                    </a:rPr>
                    <a:t>Billions of Naira 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gradFill>
              <a:gsLst>
                <a:gs pos="0">
                  <a:schemeClr val="accent6">
                    <a:lumMod val="50000"/>
                  </a:schemeClr>
                </a:gs>
                <a:gs pos="60000">
                  <a:schemeClr val="accent6">
                    <a:lumMod val="60000"/>
                    <a:lumOff val="4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tables'!$AN$5:$AN$21</c:f>
              <c:strCache>
                <c:ptCount val="17"/>
                <c:pt idx="0">
                  <c:v>ABIA</c:v>
                </c:pt>
                <c:pt idx="1">
                  <c:v>AKWA IBOM</c:v>
                </c:pt>
                <c:pt idx="2">
                  <c:v>ANAMBRA</c:v>
                </c:pt>
                <c:pt idx="3">
                  <c:v>BAYELSA</c:v>
                </c:pt>
                <c:pt idx="4">
                  <c:v>CROSS RIVER</c:v>
                </c:pt>
                <c:pt idx="5">
                  <c:v>DELTA</c:v>
                </c:pt>
                <c:pt idx="6">
                  <c:v>EBONYI</c:v>
                </c:pt>
                <c:pt idx="7">
                  <c:v>EDO</c:v>
                </c:pt>
                <c:pt idx="8">
                  <c:v>EKITI</c:v>
                </c:pt>
                <c:pt idx="9">
                  <c:v>ENUGU</c:v>
                </c:pt>
                <c:pt idx="10">
                  <c:v>IMO</c:v>
                </c:pt>
                <c:pt idx="11">
                  <c:v>LAGOS</c:v>
                </c:pt>
                <c:pt idx="12">
                  <c:v>OGUN</c:v>
                </c:pt>
                <c:pt idx="13">
                  <c:v>ONDO</c:v>
                </c:pt>
                <c:pt idx="14">
                  <c:v>OSUN</c:v>
                </c:pt>
                <c:pt idx="15">
                  <c:v>OYO</c:v>
                </c:pt>
                <c:pt idx="16">
                  <c:v>RIVERS</c:v>
                </c:pt>
              </c:strCache>
            </c:strRef>
          </c:cat>
          <c:val>
            <c:numRef>
              <c:f>'Pivot tables'!$AO$5:$AO$21</c:f>
              <c:numCache>
                <c:formatCode>[&lt;999950]0.0"K";[&lt;999950000]0.0,,"M";0.0,,,"B"</c:formatCode>
                <c:ptCount val="17"/>
                <c:pt idx="0">
                  <c:v>1827103489.2199001</c:v>
                </c:pt>
                <c:pt idx="1">
                  <c:v>3069630161.3399</c:v>
                </c:pt>
                <c:pt idx="2">
                  <c:v>2317083278.0500998</c:v>
                </c:pt>
                <c:pt idx="3">
                  <c:v>1070647932.79</c:v>
                </c:pt>
                <c:pt idx="4">
                  <c:v>2003319909.5098999</c:v>
                </c:pt>
                <c:pt idx="5">
                  <c:v>2566967143.96</c:v>
                </c:pt>
                <c:pt idx="6">
                  <c:v>1481926960.3715999</c:v>
                </c:pt>
                <c:pt idx="7">
                  <c:v>1964077306.1900001</c:v>
                </c:pt>
                <c:pt idx="8">
                  <c:v>1559548607.0999999</c:v>
                </c:pt>
                <c:pt idx="9">
                  <c:v>1995531743.0299001</c:v>
                </c:pt>
                <c:pt idx="10">
                  <c:v>2674456437.9899001</c:v>
                </c:pt>
                <c:pt idx="11">
                  <c:v>3011444840.5001998</c:v>
                </c:pt>
                <c:pt idx="12">
                  <c:v>2082580186.3899</c:v>
                </c:pt>
                <c:pt idx="13">
                  <c:v>1988995810.4402001</c:v>
                </c:pt>
                <c:pt idx="14">
                  <c:v>2694145113.4599004</c:v>
                </c:pt>
                <c:pt idx="15">
                  <c:v>3398453851.7498002</c:v>
                </c:pt>
                <c:pt idx="16">
                  <c:v>2640718186.5703001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E-4714-BD07-FBC00073ACA7}"/>
            </c:ext>
          </c:extLst>
        </c:ser>
        <c:ser>
          <c:idx val="1"/>
          <c:order val="1"/>
          <c:spPr>
            <a:gradFill>
              <a:gsLst>
                <a:gs pos="0">
                  <a:schemeClr val="accent6">
                    <a:lumMod val="60000"/>
                    <a:lumOff val="40000"/>
                  </a:schemeClr>
                </a:gs>
                <a:gs pos="100000">
                  <a:schemeClr val="accent6">
                    <a:lumMod val="40000"/>
                    <a:lumOff val="6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dLbls>
            <c:delete val="1"/>
          </c:dLbls>
          <c:cat>
            <c:strRef>
              <c:f>'Pivot tables'!$AN$5:$AN$21</c:f>
              <c:strCache>
                <c:ptCount val="17"/>
                <c:pt idx="0">
                  <c:v>ABIA</c:v>
                </c:pt>
                <c:pt idx="1">
                  <c:v>AKWA IBOM</c:v>
                </c:pt>
                <c:pt idx="2">
                  <c:v>ANAMBRA</c:v>
                </c:pt>
                <c:pt idx="3">
                  <c:v>BAYELSA</c:v>
                </c:pt>
                <c:pt idx="4">
                  <c:v>CROSS RIVER</c:v>
                </c:pt>
                <c:pt idx="5">
                  <c:v>DELTA</c:v>
                </c:pt>
                <c:pt idx="6">
                  <c:v>EBONYI</c:v>
                </c:pt>
                <c:pt idx="7">
                  <c:v>EDO</c:v>
                </c:pt>
                <c:pt idx="8">
                  <c:v>EKITI</c:v>
                </c:pt>
                <c:pt idx="9">
                  <c:v>ENUGU</c:v>
                </c:pt>
                <c:pt idx="10">
                  <c:v>IMO</c:v>
                </c:pt>
                <c:pt idx="11">
                  <c:v>LAGOS</c:v>
                </c:pt>
                <c:pt idx="12">
                  <c:v>OGUN</c:v>
                </c:pt>
                <c:pt idx="13">
                  <c:v>ONDO</c:v>
                </c:pt>
                <c:pt idx="14">
                  <c:v>OSUN</c:v>
                </c:pt>
                <c:pt idx="15">
                  <c:v>OYO</c:v>
                </c:pt>
                <c:pt idx="16">
                  <c:v>RIVERS</c:v>
                </c:pt>
              </c:strCache>
            </c:strRef>
          </c:cat>
          <c:val>
            <c:numRef>
              <c:f>'Pivot tables'!$AP$5:$AP$21</c:f>
              <c:numCache>
                <c:formatCode>0.0000</c:formatCode>
                <c:ptCount val="17"/>
                <c:pt idx="0">
                  <c:v>1327103489.2199001</c:v>
                </c:pt>
                <c:pt idx="1">
                  <c:v>2569630161.3399</c:v>
                </c:pt>
                <c:pt idx="2">
                  <c:v>1817083278.0500998</c:v>
                </c:pt>
                <c:pt idx="3">
                  <c:v>570647932.78999996</c:v>
                </c:pt>
                <c:pt idx="4">
                  <c:v>1503319909.5098999</c:v>
                </c:pt>
                <c:pt idx="5">
                  <c:v>2066967143.96</c:v>
                </c:pt>
                <c:pt idx="6">
                  <c:v>981926960.37159991</c:v>
                </c:pt>
                <c:pt idx="7">
                  <c:v>1464077306.1900001</c:v>
                </c:pt>
                <c:pt idx="8">
                  <c:v>1059548607.0999999</c:v>
                </c:pt>
                <c:pt idx="9">
                  <c:v>1495531743.0299001</c:v>
                </c:pt>
                <c:pt idx="10">
                  <c:v>2174456437.9899001</c:v>
                </c:pt>
                <c:pt idx="11">
                  <c:v>2511444840.5001998</c:v>
                </c:pt>
                <c:pt idx="12">
                  <c:v>1582580186.3899</c:v>
                </c:pt>
                <c:pt idx="13">
                  <c:v>1488995810.4402001</c:v>
                </c:pt>
                <c:pt idx="14">
                  <c:v>2194145113.4599004</c:v>
                </c:pt>
                <c:pt idx="15">
                  <c:v>2898453851.7498002</c:v>
                </c:pt>
                <c:pt idx="16">
                  <c:v>2140718186.5703001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0E-4714-BD07-FBC00073AC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56419311"/>
        <c:axId val="756425135"/>
      </c:areaChart>
      <c:catAx>
        <c:axId val="75641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425135"/>
        <c:crosses val="autoZero"/>
        <c:auto val="1"/>
        <c:lblAlgn val="ctr"/>
        <c:lblOffset val="100"/>
        <c:noMultiLvlLbl val="0"/>
      </c:catAx>
      <c:valAx>
        <c:axId val="7564251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lt;999950]0.0&quot;K&quot;;[&lt;999950000]0.0,,&quot;M&quot;;0.0,,,&quot;B&quot;" sourceLinked="1"/>
        <c:majorTickMark val="none"/>
        <c:minorTickMark val="none"/>
        <c:tickLblPos val="nextTo"/>
        <c:crossAx val="75641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[Innocent Obasi Excel project.xlsx]Pivot tables!PivotTable9</c:name>
    <c:fmtId val="4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2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ln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5"/>
        <c:spPr>
          <a:solidFill>
            <a:schemeClr val="accent2">
              <a:lumMod val="20000"/>
              <a:lumOff val="80000"/>
            </a:scheme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tables'!$AW$5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354-442A-ACB3-6B28DA479787}"/>
              </c:ext>
            </c:extLst>
          </c:dPt>
          <c:dPt>
            <c:idx val="1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354-442A-ACB3-6B28DA479787}"/>
              </c:ext>
            </c:extLst>
          </c:dPt>
          <c:cat>
            <c:strRef>
              <c:f>'Pivot tables'!$AV$6:$AV$8</c:f>
              <c:strCache>
                <c:ptCount val="2"/>
                <c:pt idx="0">
                  <c:v>NORTH</c:v>
                </c:pt>
                <c:pt idx="1">
                  <c:v>SOUTH</c:v>
                </c:pt>
              </c:strCache>
            </c:strRef>
          </c:cat>
          <c:val>
            <c:numRef>
              <c:f>'Pivot tables'!$AW$6:$AW$8</c:f>
              <c:numCache>
                <c:formatCode>#,##0</c:formatCode>
                <c:ptCount val="2"/>
                <c:pt idx="0">
                  <c:v>1504400381.1841004</c:v>
                </c:pt>
                <c:pt idx="1">
                  <c:v>1161196599.7136998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54-442A-ACB3-6B28DA479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[Innocent Obasi Excel project.xlsx]Pivot tables!PivotTable9</c:name>
    <c:fmtId val="4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ln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>
              <a:lumMod val="20000"/>
              <a:lumOff val="80000"/>
            </a:schemeClr>
          </a:solidFill>
          <a:ln w="19050">
            <a:noFill/>
          </a:ln>
          <a:effectLst/>
        </c:spPr>
      </c:pivotFmt>
      <c:pivotFmt>
        <c:idx val="18"/>
        <c:spPr>
          <a:solidFill>
            <a:srgbClr val="FFC000"/>
          </a:solidFill>
          <a:ln w="19050"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4757318228012825"/>
          <c:y val="0.13405018677787298"/>
          <c:w val="0.66084073307474311"/>
          <c:h val="0.73189962644425399"/>
        </c:manualLayout>
      </c:layout>
      <c:doughnutChart>
        <c:varyColors val="1"/>
        <c:ser>
          <c:idx val="0"/>
          <c:order val="0"/>
          <c:tx>
            <c:strRef>
              <c:f>'Pivot tables'!$AW$5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6B-4004-9993-48704308D2BE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D6B-4004-9993-48704308D2BE}"/>
              </c:ext>
            </c:extLst>
          </c:dPt>
          <c:cat>
            <c:strRef>
              <c:f>'Pivot tables'!$AV$6:$AV$8</c:f>
              <c:strCache>
                <c:ptCount val="2"/>
                <c:pt idx="0">
                  <c:v>NORTH</c:v>
                </c:pt>
                <c:pt idx="1">
                  <c:v>SOUTH</c:v>
                </c:pt>
              </c:strCache>
            </c:strRef>
          </c:cat>
          <c:val>
            <c:numRef>
              <c:f>'Pivot tables'!$AW$6:$AW$8</c:f>
              <c:numCache>
                <c:formatCode>#,##0</c:formatCode>
                <c:ptCount val="2"/>
                <c:pt idx="0">
                  <c:v>1504400381.1841004</c:v>
                </c:pt>
                <c:pt idx="1">
                  <c:v>1161196599.7136998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6B-4004-9993-48704308D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"/>
          <c:y val="9.077340631593174E-2"/>
          <c:w val="0.89"/>
          <c:h val="0.8184531873681365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'Pivot tables'!$BG$6:$BG$42</c:f>
              <c:numCache>
                <c:formatCode>_(* #,##0_);_(* \(#,##0\);_(* "-"??_);_(@_)</c:formatCode>
                <c:ptCount val="37"/>
                <c:pt idx="0">
                  <c:v>990419.48990000004</c:v>
                </c:pt>
                <c:pt idx="1">
                  <c:v>1223459.3700000001</c:v>
                </c:pt>
                <c:pt idx="2">
                  <c:v>1806059.0699</c:v>
                </c:pt>
                <c:pt idx="3">
                  <c:v>1223459.3700999999</c:v>
                </c:pt>
                <c:pt idx="4">
                  <c:v>1165199.3999999999</c:v>
                </c:pt>
                <c:pt idx="5">
                  <c:v>466079.76</c:v>
                </c:pt>
                <c:pt idx="6">
                  <c:v>140878477.83000001</c:v>
                </c:pt>
                <c:pt idx="7">
                  <c:v>1573019.19</c:v>
                </c:pt>
                <c:pt idx="8">
                  <c:v>39599945.639899999</c:v>
                </c:pt>
                <c:pt idx="9">
                  <c:v>1456499.25</c:v>
                </c:pt>
                <c:pt idx="10">
                  <c:v>46782857.8116</c:v>
                </c:pt>
                <c:pt idx="11">
                  <c:v>1048679.46</c:v>
                </c:pt>
                <c:pt idx="12">
                  <c:v>932159.52</c:v>
                </c:pt>
                <c:pt idx="13">
                  <c:v>990419.48990000004</c:v>
                </c:pt>
                <c:pt idx="14">
                  <c:v>349559.82010000001</c:v>
                </c:pt>
                <c:pt idx="15">
                  <c:v>54624417.0999</c:v>
                </c:pt>
                <c:pt idx="16">
                  <c:v>1573019.1899000001</c:v>
                </c:pt>
                <c:pt idx="17">
                  <c:v>1573019.1899000001</c:v>
                </c:pt>
                <c:pt idx="18">
                  <c:v>1339979.3099</c:v>
                </c:pt>
                <c:pt idx="19">
                  <c:v>515227883.72030002</c:v>
                </c:pt>
                <c:pt idx="20">
                  <c:v>1980838.9798000001</c:v>
                </c:pt>
                <c:pt idx="21">
                  <c:v>1223459.3700999999</c:v>
                </c:pt>
                <c:pt idx="22">
                  <c:v>188366458.1401</c:v>
                </c:pt>
                <c:pt idx="23">
                  <c:v>932159.51989999996</c:v>
                </c:pt>
                <c:pt idx="24">
                  <c:v>1165199.4002</c:v>
                </c:pt>
                <c:pt idx="25">
                  <c:v>39995506.850000001</c:v>
                </c:pt>
                <c:pt idx="26">
                  <c:v>1456499.25</c:v>
                </c:pt>
                <c:pt idx="27">
                  <c:v>116942149.7999</c:v>
                </c:pt>
                <c:pt idx="28">
                  <c:v>48225806.280199997</c:v>
                </c:pt>
                <c:pt idx="29">
                  <c:v>83776444.199900001</c:v>
                </c:pt>
                <c:pt idx="30">
                  <c:v>85611160.469799995</c:v>
                </c:pt>
                <c:pt idx="31">
                  <c:v>990419.4902</c:v>
                </c:pt>
                <c:pt idx="32">
                  <c:v>1339979.3103</c:v>
                </c:pt>
                <c:pt idx="33">
                  <c:v>37329017.480099998</c:v>
                </c:pt>
                <c:pt idx="34">
                  <c:v>932159.52</c:v>
                </c:pt>
                <c:pt idx="35">
                  <c:v>990419.49010000005</c:v>
                </c:pt>
                <c:pt idx="36">
                  <c:v>815639.58010000002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C2A-4609-8E2A-A675EAD3F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958047"/>
        <c:axId val="821960543"/>
      </c:lineChart>
      <c:catAx>
        <c:axId val="821958047"/>
        <c:scaling>
          <c:orientation val="minMax"/>
        </c:scaling>
        <c:delete val="1"/>
        <c:axPos val="b"/>
        <c:majorTickMark val="none"/>
        <c:minorTickMark val="none"/>
        <c:tickLblPos val="nextTo"/>
        <c:crossAx val="821960543"/>
        <c:crosses val="autoZero"/>
        <c:auto val="1"/>
        <c:lblAlgn val="ctr"/>
        <c:lblOffset val="100"/>
        <c:noMultiLvlLbl val="0"/>
      </c:catAx>
      <c:valAx>
        <c:axId val="82196054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crossAx val="82195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[Innocent Obasi Excel project.xlsx]Pivot tables!PivotTable11</c:name>
    <c:fmtId val="2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tables'!$BM$5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44-4D8D-9DFD-7DE72A3461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44-4D8D-9DFD-7DE72A3461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44-4D8D-9DFD-7DE72A3461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644-4D8D-9DFD-7DE72A3461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644-4D8D-9DFD-7DE72A3461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644-4D8D-9DFD-7DE72A3461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644-4D8D-9DFD-7DE72A34616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644-4D8D-9DFD-7DE72A34616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644-4D8D-9DFD-7DE72A34616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644-4D8D-9DFD-7DE72A34616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644-4D8D-9DFD-7DE72A34616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644-4D8D-9DFD-7DE72A34616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644-4D8D-9DFD-7DE72A34616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644-4D8D-9DFD-7DE72A34616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644-4D8D-9DFD-7DE72A34616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644-4D8D-9DFD-7DE72A34616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644-4D8D-9DFD-7DE72A3461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tables'!$BL$6:$BL$22</c:f>
              <c:strCache>
                <c:ptCount val="17"/>
                <c:pt idx="0">
                  <c:v>ABIA</c:v>
                </c:pt>
                <c:pt idx="1">
                  <c:v>AKWA IBOM</c:v>
                </c:pt>
                <c:pt idx="2">
                  <c:v>ANAMBRA</c:v>
                </c:pt>
                <c:pt idx="3">
                  <c:v>BAYELSA</c:v>
                </c:pt>
                <c:pt idx="4">
                  <c:v>CROSS RIVER</c:v>
                </c:pt>
                <c:pt idx="5">
                  <c:v>DELTA</c:v>
                </c:pt>
                <c:pt idx="6">
                  <c:v>EBONYI</c:v>
                </c:pt>
                <c:pt idx="7">
                  <c:v>EDO</c:v>
                </c:pt>
                <c:pt idx="8">
                  <c:v>EKITI</c:v>
                </c:pt>
                <c:pt idx="9">
                  <c:v>ENUGU</c:v>
                </c:pt>
                <c:pt idx="10">
                  <c:v>IMO</c:v>
                </c:pt>
                <c:pt idx="11">
                  <c:v>LAGOS</c:v>
                </c:pt>
                <c:pt idx="12">
                  <c:v>OGUN</c:v>
                </c:pt>
                <c:pt idx="13">
                  <c:v>ONDO</c:v>
                </c:pt>
                <c:pt idx="14">
                  <c:v>OSUN</c:v>
                </c:pt>
                <c:pt idx="15">
                  <c:v>OYO</c:v>
                </c:pt>
                <c:pt idx="16">
                  <c:v>RIVERS</c:v>
                </c:pt>
              </c:strCache>
            </c:strRef>
          </c:cat>
          <c:val>
            <c:numRef>
              <c:f>'Pivot tables'!$BM$6:$BM$22</c:f>
              <c:numCache>
                <c:formatCode>[&lt;999950]0.0"K";[&lt;999950000]0.0,,"M";0.0,,,"B"</c:formatCode>
                <c:ptCount val="17"/>
                <c:pt idx="0">
                  <c:v>1114482446.5639</c:v>
                </c:pt>
                <c:pt idx="1">
                  <c:v>1909403119.9026</c:v>
                </c:pt>
                <c:pt idx="2">
                  <c:v>1523275574.0218</c:v>
                </c:pt>
                <c:pt idx="3">
                  <c:v>638740736.09449995</c:v>
                </c:pt>
                <c:pt idx="4">
                  <c:v>1162748677.1201</c:v>
                </c:pt>
                <c:pt idx="5">
                  <c:v>1684034583.2467999</c:v>
                </c:pt>
                <c:pt idx="6">
                  <c:v>957335146.18089998</c:v>
                </c:pt>
                <c:pt idx="7">
                  <c:v>1275534112.6033001</c:v>
                </c:pt>
                <c:pt idx="8">
                  <c:v>1051741564.1831</c:v>
                </c:pt>
                <c:pt idx="9">
                  <c:v>1264976025.6285999</c:v>
                </c:pt>
                <c:pt idx="10">
                  <c:v>1665995637.2880001</c:v>
                </c:pt>
                <c:pt idx="11">
                  <c:v>7969073654.5930996</c:v>
                </c:pt>
                <c:pt idx="12">
                  <c:v>1413214443.5818999</c:v>
                </c:pt>
                <c:pt idx="13">
                  <c:v>1293725723.4061999</c:v>
                </c:pt>
                <c:pt idx="14">
                  <c:v>1735470504.2825999</c:v>
                </c:pt>
                <c:pt idx="15">
                  <c:v>2890291058.3460002</c:v>
                </c:pt>
                <c:pt idx="16">
                  <c:v>2912694698.3873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644-4D8D-9DFD-7DE72A3461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23236062393838"/>
          <c:y val="6.7950680232549118E-2"/>
          <c:w val="0.24241998594231226"/>
          <c:h val="0.90348715133526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[Innocent Obasi Excel project.xlsx]Pivot tables!PivotTable12</c:name>
    <c:fmtId val="37"/>
  </c:pivotSource>
  <c:chart>
    <c:autoTitleDeleted val="1"/>
    <c:pivotFmts>
      <c:pivotFmt>
        <c:idx val="0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85382522421549"/>
          <c:y val="6.4333695768196072E-2"/>
          <c:w val="0.7114617477578451"/>
          <c:h val="0.9068999318790992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tables'!$BQ$5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tables'!$BP$6:$BP$22</c:f>
              <c:strCache>
                <c:ptCount val="17"/>
                <c:pt idx="0">
                  <c:v>ABIA</c:v>
                </c:pt>
                <c:pt idx="1">
                  <c:v>AKWA IBOM</c:v>
                </c:pt>
                <c:pt idx="2">
                  <c:v>ANAMBRA</c:v>
                </c:pt>
                <c:pt idx="3">
                  <c:v>BAYELSA</c:v>
                </c:pt>
                <c:pt idx="4">
                  <c:v>CROSS RIVER</c:v>
                </c:pt>
                <c:pt idx="5">
                  <c:v>DELTA</c:v>
                </c:pt>
                <c:pt idx="6">
                  <c:v>EBONYI</c:v>
                </c:pt>
                <c:pt idx="7">
                  <c:v>EDO</c:v>
                </c:pt>
                <c:pt idx="8">
                  <c:v>EKITI</c:v>
                </c:pt>
                <c:pt idx="9">
                  <c:v>ENUGU</c:v>
                </c:pt>
                <c:pt idx="10">
                  <c:v>IMO</c:v>
                </c:pt>
                <c:pt idx="11">
                  <c:v>LAGOS</c:v>
                </c:pt>
                <c:pt idx="12">
                  <c:v>OGUN</c:v>
                </c:pt>
                <c:pt idx="13">
                  <c:v>ONDO</c:v>
                </c:pt>
                <c:pt idx="14">
                  <c:v>OSUN</c:v>
                </c:pt>
                <c:pt idx="15">
                  <c:v>OYO</c:v>
                </c:pt>
                <c:pt idx="16">
                  <c:v>RIVERS</c:v>
                </c:pt>
              </c:strCache>
            </c:strRef>
          </c:cat>
          <c:val>
            <c:numRef>
              <c:f>'Pivot tables'!$BQ$6:$BQ$22</c:f>
              <c:numCache>
                <c:formatCode>[&lt;999950]0.0"K";[&lt;999950000]0.0,,"M";0.0,,,"B"</c:formatCode>
                <c:ptCount val="17"/>
                <c:pt idx="0">
                  <c:v>1817871.6576</c:v>
                </c:pt>
                <c:pt idx="1">
                  <c:v>3054120.1976999999</c:v>
                </c:pt>
                <c:pt idx="2">
                  <c:v>2305375.7185999998</c:v>
                </c:pt>
                <c:pt idx="3">
                  <c:v>1065238.2548</c:v>
                </c:pt>
                <c:pt idx="4">
                  <c:v>1993197.7072000001</c:v>
                </c:pt>
                <c:pt idx="5">
                  <c:v>2553996.9929999998</c:v>
                </c:pt>
                <c:pt idx="6">
                  <c:v>1474439.2072000001</c:v>
                </c:pt>
                <c:pt idx="7">
                  <c:v>1954153.3853</c:v>
                </c:pt>
                <c:pt idx="8">
                  <c:v>1551668.6539</c:v>
                </c:pt>
                <c:pt idx="9">
                  <c:v>1985448.8918999999</c:v>
                </c:pt>
                <c:pt idx="10">
                  <c:v>2660943.1735999999</c:v>
                </c:pt>
                <c:pt idx="11">
                  <c:v>2996228.8706</c:v>
                </c:pt>
                <c:pt idx="12">
                  <c:v>2072057.504</c:v>
                </c:pt>
                <c:pt idx="13">
                  <c:v>1978945.9831000001</c:v>
                </c:pt>
                <c:pt idx="14">
                  <c:v>2680532.3687</c:v>
                </c:pt>
                <c:pt idx="15">
                  <c:v>3381282.4358999999</c:v>
                </c:pt>
                <c:pt idx="16">
                  <c:v>2627375.3927000002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8-44CB-ACB9-4DB5056DDD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233887792"/>
        <c:axId val="1233902352"/>
      </c:barChart>
      <c:catAx>
        <c:axId val="1233887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902352"/>
        <c:crosses val="autoZero"/>
        <c:auto val="1"/>
        <c:lblAlgn val="ctr"/>
        <c:lblOffset val="100"/>
        <c:noMultiLvlLbl val="0"/>
      </c:catAx>
      <c:valAx>
        <c:axId val="12339023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lt;999950]0.0&quot;K&quot;;[&lt;999950000]0.0,,&quot;M&quot;;0.0,,,&quot;B&quot;" sourceLinked="1"/>
        <c:majorTickMark val="none"/>
        <c:minorTickMark val="none"/>
        <c:tickLblPos val="nextTo"/>
        <c:crossAx val="123388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3.jpeg"/><Relationship Id="rId7" Type="http://schemas.openxmlformats.org/officeDocument/2006/relationships/chart" Target="../charts/chart3.xml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chart" Target="../charts/chart2.xml"/><Relationship Id="rId11" Type="http://schemas.openxmlformats.org/officeDocument/2006/relationships/chart" Target="../charts/chart7.xml"/><Relationship Id="rId5" Type="http://schemas.openxmlformats.org/officeDocument/2006/relationships/chart" Target="../charts/chart1.xml"/><Relationship Id="rId10" Type="http://schemas.openxmlformats.org/officeDocument/2006/relationships/chart" Target="../charts/chart6.xml"/><Relationship Id="rId4" Type="http://schemas.openxmlformats.org/officeDocument/2006/relationships/image" Target="../media/image4.jpeg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253998</xdr:colOff>
      <xdr:row>7</xdr:row>
      <xdr:rowOff>222251</xdr:rowOff>
    </xdr:from>
    <xdr:to>
      <xdr:col>12</xdr:col>
      <xdr:colOff>294410</xdr:colOff>
      <xdr:row>49</xdr:row>
      <xdr:rowOff>0</xdr:rowOff>
    </xdr:to>
    <xdr:sp macro="" textlink="">
      <xdr:nvSpPr>
        <xdr:cNvPr id="4" name="L-Shape 3">
          <a:extLst>
            <a:ext uri="{FF2B5EF4-FFF2-40B4-BE49-F238E27FC236}">
              <a16:creationId xmlns:a16="http://schemas.microsoft.com/office/drawing/2014/main" id="{93DFBCB1-807E-4516-84F8-9B7661857921}"/>
            </a:ext>
          </a:extLst>
        </xdr:cNvPr>
        <xdr:cNvSpPr/>
      </xdr:nvSpPr>
      <xdr:spPr>
        <a:xfrm>
          <a:off x="847910" y="2149663"/>
          <a:ext cx="17039735" cy="9739778"/>
        </a:xfrm>
        <a:prstGeom prst="corner">
          <a:avLst>
            <a:gd name="adj1" fmla="val 2301"/>
            <a:gd name="adj2" fmla="val 3324"/>
          </a:avLst>
        </a:prstGeom>
        <a:gradFill>
          <a:gsLst>
            <a:gs pos="54000">
              <a:srgbClr val="C00000"/>
            </a:gs>
            <a:gs pos="0">
              <a:schemeClr val="accent1"/>
            </a:gs>
            <a:gs pos="100000">
              <a:schemeClr val="accent2">
                <a:lumMod val="75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273330</xdr:colOff>
      <xdr:row>7</xdr:row>
      <xdr:rowOff>215350</xdr:rowOff>
    </xdr:from>
    <xdr:to>
      <xdr:col>12</xdr:col>
      <xdr:colOff>294412</xdr:colOff>
      <xdr:row>49</xdr:row>
      <xdr:rowOff>4</xdr:rowOff>
    </xdr:to>
    <xdr:sp macro="" textlink="">
      <xdr:nvSpPr>
        <xdr:cNvPr id="3" name="L-Shape 2">
          <a:extLst>
            <a:ext uri="{FF2B5EF4-FFF2-40B4-BE49-F238E27FC236}">
              <a16:creationId xmlns:a16="http://schemas.microsoft.com/office/drawing/2014/main" id="{0440D928-D0B0-4300-97B4-E6E0C2868427}"/>
            </a:ext>
          </a:extLst>
        </xdr:cNvPr>
        <xdr:cNvSpPr/>
      </xdr:nvSpPr>
      <xdr:spPr>
        <a:xfrm rot="16200000" flipH="1">
          <a:off x="4504103" y="-1494099"/>
          <a:ext cx="9746683" cy="17020405"/>
        </a:xfrm>
        <a:prstGeom prst="corner">
          <a:avLst>
            <a:gd name="adj1" fmla="val 2790"/>
            <a:gd name="adj2" fmla="val 2735"/>
          </a:avLst>
        </a:prstGeom>
        <a:gradFill>
          <a:gsLst>
            <a:gs pos="54000">
              <a:srgbClr val="C00000"/>
            </a:gs>
            <a:gs pos="0">
              <a:schemeClr val="accent1"/>
            </a:gs>
            <a:gs pos="100000">
              <a:schemeClr val="accent2">
                <a:lumMod val="75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38554</xdr:colOff>
      <xdr:row>9</xdr:row>
      <xdr:rowOff>534</xdr:rowOff>
    </xdr:from>
    <xdr:to>
      <xdr:col>12</xdr:col>
      <xdr:colOff>0</xdr:colOff>
      <xdr:row>10</xdr:row>
      <xdr:rowOff>199570</xdr:rowOff>
    </xdr:to>
    <xdr:sp macro="" textlink="">
      <xdr:nvSpPr>
        <xdr:cNvPr id="2" name="Rectangle: Top Corners Rounded 1">
          <a:extLst>
            <a:ext uri="{FF2B5EF4-FFF2-40B4-BE49-F238E27FC236}">
              <a16:creationId xmlns:a16="http://schemas.microsoft.com/office/drawing/2014/main" id="{E7888EF1-06CC-4DC0-BE97-A12AAB21E126}"/>
            </a:ext>
          </a:extLst>
        </xdr:cNvPr>
        <xdr:cNvSpPr/>
      </xdr:nvSpPr>
      <xdr:spPr>
        <a:xfrm>
          <a:off x="1226378" y="2398593"/>
          <a:ext cx="16366857" cy="445565"/>
        </a:xfrm>
        <a:prstGeom prst="round2SameRect">
          <a:avLst/>
        </a:prstGeom>
        <a:noFill/>
        <a:ln w="762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1846935</xdr:colOff>
      <xdr:row>7</xdr:row>
      <xdr:rowOff>163394</xdr:rowOff>
    </xdr:from>
    <xdr:to>
      <xdr:col>13</xdr:col>
      <xdr:colOff>1218095</xdr:colOff>
      <xdr:row>9</xdr:row>
      <xdr:rowOff>149788</xdr:rowOff>
    </xdr:to>
    <xdr:sp macro="" textlink="">
      <xdr:nvSpPr>
        <xdr:cNvPr id="6" name="TextBox 5">
          <a:hlinkClick xmlns:r="http://schemas.openxmlformats.org/officeDocument/2006/relationships" r:id="rId1" tooltip="Go to dashboard"/>
          <a:extLst>
            <a:ext uri="{FF2B5EF4-FFF2-40B4-BE49-F238E27FC236}">
              <a16:creationId xmlns:a16="http://schemas.microsoft.com/office/drawing/2014/main" id="{1A822B4F-9F03-4F26-B241-3DA7C8AA6B98}"/>
            </a:ext>
          </a:extLst>
        </xdr:cNvPr>
        <xdr:cNvSpPr txBox="1"/>
      </xdr:nvSpPr>
      <xdr:spPr>
        <a:xfrm>
          <a:off x="17456729" y="2090806"/>
          <a:ext cx="1948513" cy="4570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800" b="1">
              <a:solidFill>
                <a:schemeClr val="bg1"/>
              </a:solidFill>
            </a:rPr>
            <a:t>↗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29</xdr:col>
      <xdr:colOff>79376</xdr:colOff>
      <xdr:row>38</xdr:row>
      <xdr:rowOff>55218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B9635A6-7B4A-9851-776A-3FD0A1FC49BD}"/>
            </a:ext>
          </a:extLst>
        </xdr:cNvPr>
        <xdr:cNvSpPr/>
      </xdr:nvSpPr>
      <xdr:spPr>
        <a:xfrm>
          <a:off x="0" y="1"/>
          <a:ext cx="17900789" cy="6350000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275689</xdr:colOff>
      <xdr:row>1</xdr:row>
      <xdr:rowOff>22206</xdr:rowOff>
    </xdr:from>
    <xdr:to>
      <xdr:col>2</xdr:col>
      <xdr:colOff>225136</xdr:colOff>
      <xdr:row>14</xdr:row>
      <xdr:rowOff>14008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8C2AD31D-BE3A-4F8F-8210-9EB7A7C89D5A}"/>
            </a:ext>
          </a:extLst>
        </xdr:cNvPr>
        <xdr:cNvSpPr/>
      </xdr:nvSpPr>
      <xdr:spPr>
        <a:xfrm>
          <a:off x="275689" y="190294"/>
          <a:ext cx="1182094" cy="2176949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  <a:effectLst>
          <a:outerShdw blurRad="279400" dist="50800" dir="2700000" algn="tl" rotWithShape="0">
            <a:prstClr val="black">
              <a:alpha val="16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309876</xdr:colOff>
      <xdr:row>6</xdr:row>
      <xdr:rowOff>18467</xdr:rowOff>
    </xdr:from>
    <xdr:to>
      <xdr:col>2</xdr:col>
      <xdr:colOff>173690</xdr:colOff>
      <xdr:row>14</xdr:row>
      <xdr:rowOff>126066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EA4ABD8-912D-47F5-8983-BC5732C0ABDC}"/>
            </a:ext>
          </a:extLst>
        </xdr:cNvPr>
        <xdr:cNvSpPr txBox="1"/>
      </xdr:nvSpPr>
      <xdr:spPr>
        <a:xfrm>
          <a:off x="309876" y="1026996"/>
          <a:ext cx="1096461" cy="14523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ctr"/>
          <a:endParaRPr lang="en-GB" sz="900" b="1" i="1">
            <a:solidFill>
              <a:schemeClr val="tx2"/>
            </a:solidFill>
            <a:latin typeface="Berlin Sans FB Demi" panose="020E0802020502020306" pitchFamily="34" charset="0"/>
          </a:endParaRPr>
        </a:p>
        <a:p>
          <a:pPr lvl="0" algn="ctr"/>
          <a:r>
            <a:rPr lang="en-GB" sz="900" b="1" i="1">
              <a:solidFill>
                <a:sysClr val="windowText" lastClr="000000"/>
              </a:solidFill>
              <a:latin typeface="Berlin Sans FB Demi" panose="020E0802020502020306" pitchFamily="34" charset="0"/>
            </a:rPr>
            <a:t>Innocent Obasi's</a:t>
          </a:r>
        </a:p>
        <a:p>
          <a:pPr lvl="0" algn="ctr"/>
          <a:endParaRPr lang="en-GB" sz="600" b="1" i="1">
            <a:solidFill>
              <a:schemeClr val="bg1"/>
            </a:solidFill>
            <a:latin typeface="Berlin Sans FB Demi" panose="020E0802020502020306" pitchFamily="34" charset="0"/>
          </a:endParaRPr>
        </a:p>
        <a:p>
          <a:pPr lvl="0" algn="ctr"/>
          <a:r>
            <a:rPr lang="en-GB" sz="800" b="1" i="1">
              <a:solidFill>
                <a:schemeClr val="accent6">
                  <a:lumMod val="75000"/>
                </a:schemeClr>
              </a:solidFill>
              <a:latin typeface="Arial Narrow" panose="020B0606020202030204" pitchFamily="34" charset="0"/>
            </a:rPr>
            <a:t>Analysis</a:t>
          </a:r>
          <a:r>
            <a:rPr lang="en-GB" sz="800" b="1" i="1" baseline="0">
              <a:solidFill>
                <a:schemeClr val="accent6">
                  <a:lumMod val="75000"/>
                </a:schemeClr>
              </a:solidFill>
              <a:latin typeface="Arial Narrow" panose="020B0606020202030204" pitchFamily="34" charset="0"/>
            </a:rPr>
            <a:t> on </a:t>
          </a:r>
        </a:p>
        <a:p>
          <a:pPr lvl="0" algn="ctr"/>
          <a:endParaRPr lang="en-GB" sz="600" b="1" i="1" baseline="0">
            <a:solidFill>
              <a:sysClr val="windowText" lastClr="000000"/>
            </a:solidFill>
            <a:latin typeface="Arial Narrow" panose="020B0606020202030204" pitchFamily="34" charset="0"/>
          </a:endParaRPr>
        </a:p>
        <a:p>
          <a:pPr lvl="0" algn="ctr"/>
          <a:r>
            <a:rPr lang="en-GB" sz="900" b="1" i="1">
              <a:solidFill>
                <a:sysClr val="windowText" lastClr="000000"/>
              </a:solidFill>
              <a:latin typeface="Arial Narrow" panose="020B0606020202030204" pitchFamily="34" charset="0"/>
            </a:rPr>
            <a:t> </a:t>
          </a:r>
          <a:r>
            <a:rPr lang="en-GB" sz="900" b="1" i="1">
              <a:solidFill>
                <a:srgbClr val="FF0000"/>
              </a:solidFill>
              <a:latin typeface="Arial Narrow" panose="020B0606020202030204" pitchFamily="34" charset="0"/>
            </a:rPr>
            <a:t>Distribution of Revenue Allocation in Nigeria for the month of November, 2021</a:t>
          </a:r>
          <a:endParaRPr lang="en-GB" sz="900" b="1" i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588109</xdr:colOff>
      <xdr:row>1</xdr:row>
      <xdr:rowOff>148086</xdr:rowOff>
    </xdr:from>
    <xdr:to>
      <xdr:col>1</xdr:col>
      <xdr:colOff>565431</xdr:colOff>
      <xdr:row>6</xdr:row>
      <xdr:rowOff>108410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02B0F18-AA65-4A9B-BBF5-FCF17E00D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588109" y="316174"/>
          <a:ext cx="593646" cy="800765"/>
        </a:xfrm>
        <a:prstGeom prst="ellipse">
          <a:avLst/>
        </a:prstGeom>
      </xdr:spPr>
    </xdr:pic>
    <xdr:clientData/>
  </xdr:twoCellAnchor>
  <xdr:twoCellAnchor>
    <xdr:from>
      <xdr:col>2</xdr:col>
      <xdr:colOff>370715</xdr:colOff>
      <xdr:row>0</xdr:row>
      <xdr:rowOff>148274</xdr:rowOff>
    </xdr:from>
    <xdr:to>
      <xdr:col>7</xdr:col>
      <xdr:colOff>201107</xdr:colOff>
      <xdr:row>13</xdr:row>
      <xdr:rowOff>155267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04758821-17C4-F847-FA3C-9C876F0F7B38}"/>
            </a:ext>
          </a:extLst>
        </xdr:cNvPr>
        <xdr:cNvGrpSpPr/>
      </xdr:nvGrpSpPr>
      <xdr:grpSpPr>
        <a:xfrm>
          <a:off x="1603362" y="148274"/>
          <a:ext cx="2912010" cy="2192140"/>
          <a:chOff x="9448426" y="109140"/>
          <a:chExt cx="2911141" cy="1952741"/>
        </a:xfrm>
        <a:solidFill>
          <a:schemeClr val="accent4">
            <a:lumMod val="20000"/>
            <a:lumOff val="80000"/>
          </a:schemeClr>
        </a:solidFill>
      </xdr:grpSpPr>
      <xdr:sp macro="" textlink="">
        <xdr:nvSpPr>
          <xdr:cNvPr id="21" name="Rectangle: Rounded Corners 20">
            <a:extLst>
              <a:ext uri="{FF2B5EF4-FFF2-40B4-BE49-F238E27FC236}">
                <a16:creationId xmlns:a16="http://schemas.microsoft.com/office/drawing/2014/main" id="{6FE26A4E-2F8E-4184-95F3-9B0CD65BC6E6}"/>
              </a:ext>
            </a:extLst>
          </xdr:cNvPr>
          <xdr:cNvSpPr/>
        </xdr:nvSpPr>
        <xdr:spPr>
          <a:xfrm>
            <a:off x="9448426" y="109140"/>
            <a:ext cx="2911141" cy="1952741"/>
          </a:xfrm>
          <a:prstGeom prst="roundRect">
            <a:avLst/>
          </a:prstGeom>
          <a:grpFill/>
          <a:ln>
            <a:noFill/>
          </a:ln>
          <a:effectLst>
            <a:outerShdw blurRad="279400" dist="50800" dir="2700000" algn="tl" rotWithShape="0">
              <a:prstClr val="black">
                <a:alpha val="16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pic>
        <xdr:nvPicPr>
          <xdr:cNvPr id="25" name="Picture 24">
            <a:extLst>
              <a:ext uri="{FF2B5EF4-FFF2-40B4-BE49-F238E27FC236}">
                <a16:creationId xmlns:a16="http://schemas.microsoft.com/office/drawing/2014/main" id="{850AD6A0-0C7A-431B-8DDA-A474C66BD52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duotone>
              <a:prstClr val="black"/>
              <a:srgbClr val="92D050">
                <a:tint val="45000"/>
                <a:satMod val="400000"/>
              </a:srgb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646863" y="266022"/>
            <a:ext cx="362133" cy="352699"/>
          </a:xfrm>
          <a:prstGeom prst="rect">
            <a:avLst/>
          </a:prstGeom>
          <a:grpFill/>
        </xdr:spPr>
      </xdr:pic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1B73D7E1-8503-4B4B-A452-1E0A9C3CBC4D}"/>
              </a:ext>
            </a:extLst>
          </xdr:cNvPr>
          <xdr:cNvSpPr txBox="1"/>
        </xdr:nvSpPr>
        <xdr:spPr>
          <a:xfrm>
            <a:off x="10049853" y="256561"/>
            <a:ext cx="2217411" cy="451116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200" b="1" i="1">
                <a:solidFill>
                  <a:srgbClr val="FF0000"/>
                </a:solidFill>
              </a:rPr>
              <a:t>Total</a:t>
            </a:r>
            <a:r>
              <a:rPr lang="en-GB" sz="1200" b="1" i="1" baseline="0">
                <a:solidFill>
                  <a:srgbClr val="FF0000"/>
                </a:solidFill>
              </a:rPr>
              <a:t> </a:t>
            </a:r>
            <a:r>
              <a:rPr lang="en-GB" sz="1200" b="1" i="1">
                <a:solidFill>
                  <a:srgbClr val="FF0000"/>
                </a:solidFill>
              </a:rPr>
              <a:t>Allocation to Northern States </a:t>
            </a:r>
          </a:p>
        </xdr:txBody>
      </xdr:sp>
      <xdr:cxnSp macro="">
        <xdr:nvCxnSpPr>
          <xdr:cNvPr id="29" name="Straight Connector 28">
            <a:extLst>
              <a:ext uri="{FF2B5EF4-FFF2-40B4-BE49-F238E27FC236}">
                <a16:creationId xmlns:a16="http://schemas.microsoft.com/office/drawing/2014/main" id="{1FC64F92-2693-4134-8353-45D12F40042B}"/>
              </a:ext>
            </a:extLst>
          </xdr:cNvPr>
          <xdr:cNvCxnSpPr>
            <a:endCxn id="21" idx="3"/>
          </xdr:cNvCxnSpPr>
        </xdr:nvCxnSpPr>
        <xdr:spPr>
          <a:xfrm>
            <a:off x="9448426" y="1040514"/>
            <a:ext cx="2911141" cy="44997"/>
          </a:xfrm>
          <a:prstGeom prst="line">
            <a:avLst/>
          </a:prstGeom>
          <a:grpFill/>
          <a:ln w="9525" cap="flat" cmpd="sng" algn="ctr">
            <a:solidFill>
              <a:schemeClr val="accent6">
                <a:lumMod val="60000"/>
                <a:lumOff val="40000"/>
              </a:schemeClr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pic>
        <xdr:nvPicPr>
          <xdr:cNvPr id="32" name="Picture 31">
            <a:extLst>
              <a:ext uri="{FF2B5EF4-FFF2-40B4-BE49-F238E27FC236}">
                <a16:creationId xmlns:a16="http://schemas.microsoft.com/office/drawing/2014/main" id="{24A9ADE4-4394-4D82-86E4-7526E47EFD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duotone>
              <a:prstClr val="black"/>
              <a:srgbClr val="92D050">
                <a:tint val="45000"/>
                <a:satMod val="400000"/>
              </a:srgb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656785" y="1137863"/>
            <a:ext cx="366993" cy="357481"/>
          </a:xfrm>
          <a:prstGeom prst="rect">
            <a:avLst/>
          </a:prstGeom>
          <a:grpFill/>
        </xdr:spPr>
      </xdr:pic>
      <xdr:sp macro="" textlink="">
        <xdr:nvSpPr>
          <xdr:cNvPr id="36" name="TextBox 35">
            <a:extLst>
              <a:ext uri="{FF2B5EF4-FFF2-40B4-BE49-F238E27FC236}">
                <a16:creationId xmlns:a16="http://schemas.microsoft.com/office/drawing/2014/main" id="{76FAB9FE-3489-4B1B-8364-69C2E8C45487}"/>
              </a:ext>
            </a:extLst>
          </xdr:cNvPr>
          <xdr:cNvSpPr txBox="1"/>
        </xdr:nvSpPr>
        <xdr:spPr>
          <a:xfrm>
            <a:off x="10138887" y="1098176"/>
            <a:ext cx="2111139" cy="471560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200" b="1" i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Total</a:t>
            </a:r>
            <a:r>
              <a:rPr lang="en-GB" sz="1200" b="1" i="1" baseline="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GB" sz="1200" b="1" i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Allocation to Southern States </a:t>
            </a:r>
            <a:endParaRPr lang="en-GB" sz="1200">
              <a:solidFill>
                <a:srgbClr val="FF0000"/>
              </a:solidFill>
              <a:effectLst/>
            </a:endParaRPr>
          </a:p>
        </xdr:txBody>
      </xdr:sp>
      <xdr:sp macro="" textlink="'Pivot tables'!I6">
        <xdr:nvSpPr>
          <xdr:cNvPr id="37" name="TextBox 36">
            <a:extLst>
              <a:ext uri="{FF2B5EF4-FFF2-40B4-BE49-F238E27FC236}">
                <a16:creationId xmlns:a16="http://schemas.microsoft.com/office/drawing/2014/main" id="{9E3DBDED-B146-44A6-B417-188729908272}"/>
              </a:ext>
            </a:extLst>
          </xdr:cNvPr>
          <xdr:cNvSpPr txBox="1"/>
        </xdr:nvSpPr>
        <xdr:spPr>
          <a:xfrm>
            <a:off x="9916946" y="660755"/>
            <a:ext cx="1741862" cy="291725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fld id="{81668EDC-E593-463C-8929-BAD23F889295}" type="TxLink">
              <a:rPr lang="en-US" sz="1200" b="1" i="0" u="none" strike="noStrike">
                <a:solidFill>
                  <a:srgbClr val="000000"/>
                </a:solidFill>
                <a:latin typeface="Arial"/>
                <a:cs typeface="Arial"/>
              </a:rPr>
              <a:pPr algn="l"/>
              <a:t>49,680,378,194</a:t>
            </a:fld>
            <a:endParaRPr lang="en-US" sz="1200" b="1" i="0" u="none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'Pivot tables'!I7">
        <xdr:nvSpPr>
          <xdr:cNvPr id="38" name="TextBox 37">
            <a:extLst>
              <a:ext uri="{FF2B5EF4-FFF2-40B4-BE49-F238E27FC236}">
                <a16:creationId xmlns:a16="http://schemas.microsoft.com/office/drawing/2014/main" id="{EF0D0D17-ACC6-4404-9CF5-232DA5479F34}"/>
              </a:ext>
            </a:extLst>
          </xdr:cNvPr>
          <xdr:cNvSpPr txBox="1"/>
        </xdr:nvSpPr>
        <xdr:spPr>
          <a:xfrm>
            <a:off x="9928021" y="1568823"/>
            <a:ext cx="1870730" cy="30102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fld id="{67CEE27E-F88F-4E9F-9AAE-201CE5890E76}" type="TxLink">
              <a:rPr lang="en-US" sz="1200" b="1" i="0" u="none" strike="noStrike">
                <a:solidFill>
                  <a:srgbClr val="000000"/>
                </a:solidFill>
                <a:latin typeface="Arial"/>
                <a:cs typeface="Arial"/>
              </a:rPr>
              <a:pPr algn="l"/>
              <a:t>38,346,630,959</a:t>
            </a:fld>
            <a:endParaRPr lang="en-US" sz="1200" b="1" i="0" u="none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23</xdr:col>
      <xdr:colOff>572481</xdr:colOff>
      <xdr:row>9</xdr:row>
      <xdr:rowOff>1</xdr:rowOff>
    </xdr:from>
    <xdr:to>
      <xdr:col>26</xdr:col>
      <xdr:colOff>134469</xdr:colOff>
      <xdr:row>10</xdr:row>
      <xdr:rowOff>100854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F95E7BC8-286D-C11D-31B9-DC50D1FBC2AB}"/>
            </a:ext>
          </a:extLst>
        </xdr:cNvPr>
        <xdr:cNvSpPr txBox="1"/>
      </xdr:nvSpPr>
      <xdr:spPr>
        <a:xfrm>
          <a:off x="14703099" y="1411942"/>
          <a:ext cx="1377341" cy="2577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 b="1" i="1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469854</xdr:colOff>
      <xdr:row>1</xdr:row>
      <xdr:rowOff>55218</xdr:rowOff>
    </xdr:from>
    <xdr:to>
      <xdr:col>15</xdr:col>
      <xdr:colOff>571078</xdr:colOff>
      <xdr:row>13</xdr:row>
      <xdr:rowOff>145296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7542C26A-7B6A-983F-9728-D9DE59CA2D9F}"/>
            </a:ext>
          </a:extLst>
        </xdr:cNvPr>
        <xdr:cNvGrpSpPr/>
      </xdr:nvGrpSpPr>
      <xdr:grpSpPr>
        <a:xfrm>
          <a:off x="7249413" y="223306"/>
          <a:ext cx="2762621" cy="2107137"/>
          <a:chOff x="3797045" y="106913"/>
          <a:chExt cx="2735984" cy="1932558"/>
        </a:xfrm>
        <a:solidFill>
          <a:schemeClr val="accent4">
            <a:lumMod val="20000"/>
            <a:lumOff val="80000"/>
          </a:schemeClr>
        </a:solidFill>
      </xdr:grpSpPr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13CF7C3C-E20A-4AB1-B52E-3D44E59BBB55}"/>
              </a:ext>
            </a:extLst>
          </xdr:cNvPr>
          <xdr:cNvSpPr/>
        </xdr:nvSpPr>
        <xdr:spPr>
          <a:xfrm>
            <a:off x="3797045" y="106913"/>
            <a:ext cx="2735984" cy="1932558"/>
          </a:xfrm>
          <a:prstGeom prst="roundRect">
            <a:avLst/>
          </a:prstGeom>
          <a:grpFill/>
          <a:ln>
            <a:noFill/>
          </a:ln>
          <a:effectLst>
            <a:outerShdw blurRad="279400" dist="50800" dir="2700000" algn="tl" rotWithShape="0">
              <a:prstClr val="black">
                <a:alpha val="16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4662F8A6-6D45-DF5C-DA84-FEF5B03DFD27}"/>
              </a:ext>
            </a:extLst>
          </xdr:cNvPr>
          <xdr:cNvSpPr txBox="1"/>
        </xdr:nvSpPr>
        <xdr:spPr>
          <a:xfrm>
            <a:off x="4342142" y="219000"/>
            <a:ext cx="1484917" cy="46277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GB" sz="1200" b="1" i="1">
                <a:solidFill>
                  <a:srgbClr val="FF0000"/>
                </a:solidFill>
              </a:rPr>
              <a:t>Top</a:t>
            </a:r>
            <a:r>
              <a:rPr lang="en-GB" sz="1200" b="1" i="1" baseline="0">
                <a:solidFill>
                  <a:srgbClr val="FF0000"/>
                </a:solidFill>
              </a:rPr>
              <a:t> 5 States with Total Allocation </a:t>
            </a:r>
            <a:endParaRPr lang="en-GB" sz="1200" b="1" i="1">
              <a:solidFill>
                <a:srgbClr val="FF0000"/>
              </a:solidFill>
            </a:endParaRPr>
          </a:p>
        </xdr:txBody>
      </xdr:sp>
      <xdr:sp macro="" textlink="">
        <xdr:nvSpPr>
          <xdr:cNvPr id="10" name="Star: 5 Points 9">
            <a:extLst>
              <a:ext uri="{FF2B5EF4-FFF2-40B4-BE49-F238E27FC236}">
                <a16:creationId xmlns:a16="http://schemas.microsoft.com/office/drawing/2014/main" id="{DF82396A-1D41-E188-BFF4-DD61B34E820C}"/>
              </a:ext>
            </a:extLst>
          </xdr:cNvPr>
          <xdr:cNvSpPr/>
        </xdr:nvSpPr>
        <xdr:spPr>
          <a:xfrm>
            <a:off x="6140823" y="381000"/>
            <a:ext cx="179294" cy="156883"/>
          </a:xfrm>
          <a:prstGeom prst="star5">
            <a:avLst/>
          </a:prstGeom>
          <a:grpFill/>
          <a:ln>
            <a:solidFill>
              <a:schemeClr val="accent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pic>
        <xdr:nvPicPr>
          <xdr:cNvPr id="33" name="Picture 32">
            <a:extLst>
              <a:ext uri="{FF2B5EF4-FFF2-40B4-BE49-F238E27FC236}">
                <a16:creationId xmlns:a16="http://schemas.microsoft.com/office/drawing/2014/main" id="{0A48E4E8-0B53-CF47-299E-94D21374687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duotone>
              <a:prstClr val="black"/>
              <a:srgbClr val="92D050">
                <a:tint val="45000"/>
                <a:satMod val="400000"/>
              </a:srgb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54624" y="210718"/>
            <a:ext cx="362133" cy="350652"/>
          </a:xfrm>
          <a:prstGeom prst="rect">
            <a:avLst/>
          </a:prstGeom>
          <a:grpFill/>
        </xdr:spPr>
      </xdr:pic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9D8813D8-41F4-99B0-1F5E-114E819C22D5}"/>
              </a:ext>
            </a:extLst>
          </xdr:cNvPr>
          <xdr:cNvGrpSpPr/>
        </xdr:nvGrpSpPr>
        <xdr:grpSpPr>
          <a:xfrm>
            <a:off x="3808722" y="765067"/>
            <a:ext cx="2625271" cy="1226517"/>
            <a:chOff x="3651839" y="720243"/>
            <a:chExt cx="2625271" cy="1226517"/>
          </a:xfrm>
          <a:grpFill/>
        </xdr:grpSpPr>
        <xdr:grpSp>
          <xdr:nvGrpSpPr>
            <xdr:cNvPr id="12" name="Group 11">
              <a:extLst>
                <a:ext uri="{FF2B5EF4-FFF2-40B4-BE49-F238E27FC236}">
                  <a16:creationId xmlns:a16="http://schemas.microsoft.com/office/drawing/2014/main" id="{6F049790-26F0-75F0-EC1C-875E5AA3B49E}"/>
                </a:ext>
              </a:extLst>
            </xdr:cNvPr>
            <xdr:cNvGrpSpPr/>
          </xdr:nvGrpSpPr>
          <xdr:grpSpPr>
            <a:xfrm>
              <a:off x="3651839" y="720243"/>
              <a:ext cx="2589838" cy="243465"/>
              <a:chOff x="3920780" y="776272"/>
              <a:chExt cx="2589838" cy="243465"/>
            </a:xfrm>
            <a:grpFill/>
          </xdr:grpSpPr>
          <xdr:sp macro="" textlink="'Pivot tables'!$AA$6">
            <xdr:nvSpPr>
              <xdr:cNvPr id="28" name="TextBox 27">
                <a:extLst>
                  <a:ext uri="{FF2B5EF4-FFF2-40B4-BE49-F238E27FC236}">
                    <a16:creationId xmlns:a16="http://schemas.microsoft.com/office/drawing/2014/main" id="{61E5B7A6-56B4-E9D1-5D0C-0868BB779992}"/>
                  </a:ext>
                </a:extLst>
              </xdr:cNvPr>
              <xdr:cNvSpPr txBox="1"/>
            </xdr:nvSpPr>
            <xdr:spPr>
              <a:xfrm>
                <a:off x="3920780" y="776272"/>
                <a:ext cx="1577988" cy="243465"/>
              </a:xfrm>
              <a:prstGeom prst="rect">
                <a:avLst/>
              </a:prstGeom>
              <a:grp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marL="0" indent="0" algn="r"/>
                <a:fld id="{92425EB5-9417-40D9-8A0F-B096765DF5CA}" type="TxLink">
                  <a:rPr lang="en-US" sz="1200" b="1" i="1" u="none" strike="noStrike">
                    <a:solidFill>
                      <a:srgbClr val="000000"/>
                    </a:solidFill>
                    <a:latin typeface="Arial"/>
                    <a:ea typeface="+mn-ea"/>
                    <a:cs typeface="Arial"/>
                  </a:rPr>
                  <a:pPr marL="0" indent="0" algn="r"/>
                  <a:t> 11,098,810,097 </a:t>
                </a:fld>
                <a:endParaRPr lang="en-GB" sz="1200" b="1" i="1" u="none" strike="noStrike">
                  <a:solidFill>
                    <a:srgbClr val="000000"/>
                  </a:solidFill>
                  <a:latin typeface="Arial"/>
                  <a:ea typeface="+mn-ea"/>
                  <a:cs typeface="Arial"/>
                </a:endParaRPr>
              </a:p>
            </xdr:txBody>
          </xdr:sp>
          <xdr:sp macro="" textlink="'Pivot tables'!$Z$6">
            <xdr:nvSpPr>
              <xdr:cNvPr id="31" name="TextBox 30">
                <a:extLst>
                  <a:ext uri="{FF2B5EF4-FFF2-40B4-BE49-F238E27FC236}">
                    <a16:creationId xmlns:a16="http://schemas.microsoft.com/office/drawing/2014/main" id="{9ED1D21E-7E32-1CD8-9C9B-F9716C8959D0}"/>
                  </a:ext>
                </a:extLst>
              </xdr:cNvPr>
              <xdr:cNvSpPr txBox="1"/>
            </xdr:nvSpPr>
            <xdr:spPr>
              <a:xfrm>
                <a:off x="5458247" y="785236"/>
                <a:ext cx="1052371" cy="225536"/>
              </a:xfrm>
              <a:prstGeom prst="rect">
                <a:avLst/>
              </a:prstGeom>
              <a:grp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marL="0" indent="0" algn="ctr"/>
                <a:fld id="{EA5516DD-2888-4D64-B2A8-31CDEA9B1A8F}" type="TxLink">
                  <a:rPr lang="en-US" sz="1200" b="1" i="1" u="none" strike="noStrike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Arial"/>
                  </a:rPr>
                  <a:pPr marL="0" indent="0" algn="ctr"/>
                  <a:t>LAGOS</a:t>
                </a:fld>
                <a:endParaRPr lang="en-GB" sz="1200" b="1" i="1" u="none" strike="noStrike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Arial"/>
                </a:endParaRPr>
              </a:p>
            </xdr:txBody>
          </xdr:sp>
        </xdr:grpSp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C49D785D-875B-4399-856C-1E245E57F9FB}"/>
                </a:ext>
              </a:extLst>
            </xdr:cNvPr>
            <xdr:cNvGrpSpPr/>
          </xdr:nvGrpSpPr>
          <xdr:grpSpPr>
            <a:xfrm>
              <a:off x="3659851" y="966006"/>
              <a:ext cx="2593637" cy="243465"/>
              <a:chOff x="3916981" y="776272"/>
              <a:chExt cx="2593637" cy="243465"/>
            </a:xfrm>
            <a:grpFill/>
          </xdr:grpSpPr>
          <xdr:sp macro="" textlink="'Pivot tables'!$AA$7">
            <xdr:nvSpPr>
              <xdr:cNvPr id="35" name="TextBox 34">
                <a:extLst>
                  <a:ext uri="{FF2B5EF4-FFF2-40B4-BE49-F238E27FC236}">
                    <a16:creationId xmlns:a16="http://schemas.microsoft.com/office/drawing/2014/main" id="{E72CF5A3-AE9C-841E-35B7-7A25ECA557FD}"/>
                  </a:ext>
                </a:extLst>
              </xdr:cNvPr>
              <xdr:cNvSpPr txBox="1"/>
            </xdr:nvSpPr>
            <xdr:spPr>
              <a:xfrm>
                <a:off x="3916981" y="776272"/>
                <a:ext cx="1581788" cy="243465"/>
              </a:xfrm>
              <a:prstGeom prst="rect">
                <a:avLst/>
              </a:prstGeom>
              <a:grp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marL="0" indent="0" algn="r"/>
                <a:fld id="{3DC0A20A-F033-49CC-99B1-E19B7E5DFD81}" type="TxLink">
                  <a:rPr lang="en-US" sz="1200" b="1" i="1" u="none" strike="noStrike">
                    <a:solidFill>
                      <a:srgbClr val="000000"/>
                    </a:solidFill>
                    <a:latin typeface="Arial"/>
                    <a:ea typeface="+mn-ea"/>
                    <a:cs typeface="Arial"/>
                  </a:rPr>
                  <a:pPr marL="0" indent="0" algn="r"/>
                  <a:t> 8,150,526,763 </a:t>
                </a:fld>
                <a:endParaRPr lang="en-GB" sz="1200" b="1" i="1" u="none" strike="noStrike">
                  <a:solidFill>
                    <a:srgbClr val="000000"/>
                  </a:solidFill>
                  <a:latin typeface="Arial"/>
                  <a:ea typeface="+mn-ea"/>
                  <a:cs typeface="Arial"/>
                </a:endParaRPr>
              </a:p>
            </xdr:txBody>
          </xdr:sp>
          <xdr:sp macro="" textlink="'Pivot tables'!$Z$7">
            <xdr:nvSpPr>
              <xdr:cNvPr id="39" name="TextBox 38">
                <a:extLst>
                  <a:ext uri="{FF2B5EF4-FFF2-40B4-BE49-F238E27FC236}">
                    <a16:creationId xmlns:a16="http://schemas.microsoft.com/office/drawing/2014/main" id="{982521EE-9682-4FA5-BCED-A489BFE87C19}"/>
                  </a:ext>
                </a:extLst>
              </xdr:cNvPr>
              <xdr:cNvSpPr txBox="1"/>
            </xdr:nvSpPr>
            <xdr:spPr>
              <a:xfrm>
                <a:off x="5458247" y="785236"/>
                <a:ext cx="1052371" cy="225536"/>
              </a:xfrm>
              <a:prstGeom prst="rect">
                <a:avLst/>
              </a:prstGeom>
              <a:grp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marL="0" indent="0" algn="ctr"/>
                <a:fld id="{1A857DF4-9B2B-4D1A-91BE-27CCA3AA5154}" type="TxLink">
                  <a:rPr lang="en-US" sz="1200" b="1" i="1" u="none" strike="noStrike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Arial"/>
                  </a:rPr>
                  <a:pPr marL="0" indent="0" algn="ctr"/>
                  <a:t>KANO</a:t>
                </a:fld>
                <a:endParaRPr lang="en-GB" sz="1200" b="1" i="1" u="none" strike="noStrike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Arial"/>
                </a:endParaRPr>
              </a:p>
            </xdr:txBody>
          </xdr:sp>
        </xdr:grpSp>
        <xdr:grpSp>
          <xdr:nvGrpSpPr>
            <xdr:cNvPr id="40" name="Group 39">
              <a:extLst>
                <a:ext uri="{FF2B5EF4-FFF2-40B4-BE49-F238E27FC236}">
                  <a16:creationId xmlns:a16="http://schemas.microsoft.com/office/drawing/2014/main" id="{C9A1A20F-11B3-4281-8E2B-907877AB88CB}"/>
                </a:ext>
              </a:extLst>
            </xdr:cNvPr>
            <xdr:cNvGrpSpPr/>
          </xdr:nvGrpSpPr>
          <xdr:grpSpPr>
            <a:xfrm>
              <a:off x="3659851" y="1211769"/>
              <a:ext cx="2605448" cy="243465"/>
              <a:chOff x="3905170" y="776272"/>
              <a:chExt cx="2605448" cy="243465"/>
            </a:xfrm>
            <a:grpFill/>
          </xdr:grpSpPr>
          <xdr:sp macro="" textlink="'Pivot tables'!$AA$8">
            <xdr:nvSpPr>
              <xdr:cNvPr id="41" name="TextBox 40">
                <a:extLst>
                  <a:ext uri="{FF2B5EF4-FFF2-40B4-BE49-F238E27FC236}">
                    <a16:creationId xmlns:a16="http://schemas.microsoft.com/office/drawing/2014/main" id="{1F798FC8-2120-A23C-13F9-04490A779680}"/>
                  </a:ext>
                </a:extLst>
              </xdr:cNvPr>
              <xdr:cNvSpPr txBox="1"/>
            </xdr:nvSpPr>
            <xdr:spPr>
              <a:xfrm>
                <a:off x="3905170" y="776272"/>
                <a:ext cx="1593600" cy="243465"/>
              </a:xfrm>
              <a:prstGeom prst="rect">
                <a:avLst/>
              </a:prstGeom>
              <a:grp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marL="0" indent="0" algn="r"/>
                <a:fld id="{0B08340E-AE33-4B34-B145-968146A0A2F6}" type="TxLink">
                  <a:rPr lang="en-US" sz="1200" b="1" i="1" u="none" strike="noStrike">
                    <a:solidFill>
                      <a:srgbClr val="000000"/>
                    </a:solidFill>
                    <a:latin typeface="Arial"/>
                    <a:ea typeface="+mn-ea"/>
                    <a:cs typeface="Arial"/>
                  </a:rPr>
                  <a:pPr marL="0" indent="0" algn="r"/>
                  <a:t> 6,337,942,271 </a:t>
                </a:fld>
                <a:endParaRPr lang="en-GB" sz="1200" b="1" i="1" u="none" strike="noStrike">
                  <a:solidFill>
                    <a:srgbClr val="000000"/>
                  </a:solidFill>
                  <a:latin typeface="Arial"/>
                  <a:ea typeface="+mn-ea"/>
                  <a:cs typeface="Arial"/>
                </a:endParaRPr>
              </a:p>
            </xdr:txBody>
          </xdr:sp>
          <xdr:sp macro="" textlink="'Pivot tables'!$Z$8">
            <xdr:nvSpPr>
              <xdr:cNvPr id="42" name="TextBox 41">
                <a:extLst>
                  <a:ext uri="{FF2B5EF4-FFF2-40B4-BE49-F238E27FC236}">
                    <a16:creationId xmlns:a16="http://schemas.microsoft.com/office/drawing/2014/main" id="{C9621044-45B3-EA32-964C-DA76867C0E14}"/>
                  </a:ext>
                </a:extLst>
              </xdr:cNvPr>
              <xdr:cNvSpPr txBox="1"/>
            </xdr:nvSpPr>
            <xdr:spPr>
              <a:xfrm>
                <a:off x="5458247" y="785236"/>
                <a:ext cx="1052371" cy="225536"/>
              </a:xfrm>
              <a:prstGeom prst="rect">
                <a:avLst/>
              </a:prstGeom>
              <a:grp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marL="0" indent="0" algn="ctr"/>
                <a:fld id="{1CDF43D5-29B5-4F3A-8192-964A8D094E43}" type="TxLink">
                  <a:rPr lang="en-US" sz="1200" b="1" i="1" u="none" strike="noStrike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Arial"/>
                  </a:rPr>
                  <a:pPr marL="0" indent="0" algn="ctr"/>
                  <a:t>OYO</a:t>
                </a:fld>
                <a:endParaRPr lang="en-GB" sz="1200" b="1" i="1" u="none" strike="noStrike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Arial"/>
                </a:endParaRPr>
              </a:p>
            </xdr:txBody>
          </xdr:sp>
        </xdr:grpSp>
        <xdr:grpSp>
          <xdr:nvGrpSpPr>
            <xdr:cNvPr id="43" name="Group 42">
              <a:extLst>
                <a:ext uri="{FF2B5EF4-FFF2-40B4-BE49-F238E27FC236}">
                  <a16:creationId xmlns:a16="http://schemas.microsoft.com/office/drawing/2014/main" id="{BD7F0222-4A9C-4F52-9EF4-0C6CECB72274}"/>
                </a:ext>
              </a:extLst>
            </xdr:cNvPr>
            <xdr:cNvGrpSpPr/>
          </xdr:nvGrpSpPr>
          <xdr:grpSpPr>
            <a:xfrm>
              <a:off x="3659850" y="1457532"/>
              <a:ext cx="2617260" cy="243465"/>
              <a:chOff x="3893358" y="776272"/>
              <a:chExt cx="2617260" cy="243465"/>
            </a:xfrm>
            <a:grpFill/>
          </xdr:grpSpPr>
          <xdr:sp macro="" textlink="'Pivot tables'!$AA$9">
            <xdr:nvSpPr>
              <xdr:cNvPr id="44" name="TextBox 43">
                <a:extLst>
                  <a:ext uri="{FF2B5EF4-FFF2-40B4-BE49-F238E27FC236}">
                    <a16:creationId xmlns:a16="http://schemas.microsoft.com/office/drawing/2014/main" id="{868F6861-8CA2-DD54-878B-9FC88595D688}"/>
                  </a:ext>
                </a:extLst>
              </xdr:cNvPr>
              <xdr:cNvSpPr txBox="1"/>
            </xdr:nvSpPr>
            <xdr:spPr>
              <a:xfrm>
                <a:off x="3893358" y="776272"/>
                <a:ext cx="1605411" cy="243465"/>
              </a:xfrm>
              <a:prstGeom prst="rect">
                <a:avLst/>
              </a:prstGeom>
              <a:grp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marL="0" indent="0" algn="r"/>
                <a:fld id="{963D4905-C117-4A78-AAE3-75C6DA9445ED}" type="TxLink">
                  <a:rPr lang="en-US" sz="1200" b="1" i="1" u="none" strike="noStrike">
                    <a:solidFill>
                      <a:srgbClr val="000000"/>
                    </a:solidFill>
                    <a:latin typeface="Arial"/>
                    <a:ea typeface="+mn-ea"/>
                    <a:cs typeface="Arial"/>
                  </a:rPr>
                  <a:pPr marL="0" indent="0" algn="r"/>
                  <a:t> 6,224,734,251 </a:t>
                </a:fld>
                <a:endParaRPr lang="en-GB" sz="1200" b="1" i="1" u="none" strike="noStrike">
                  <a:solidFill>
                    <a:srgbClr val="000000"/>
                  </a:solidFill>
                  <a:latin typeface="Arial"/>
                  <a:ea typeface="+mn-ea"/>
                  <a:cs typeface="Arial"/>
                </a:endParaRPr>
              </a:p>
            </xdr:txBody>
          </xdr:sp>
          <xdr:sp macro="" textlink="'Pivot tables'!$Z$9">
            <xdr:nvSpPr>
              <xdr:cNvPr id="45" name="TextBox 44">
                <a:extLst>
                  <a:ext uri="{FF2B5EF4-FFF2-40B4-BE49-F238E27FC236}">
                    <a16:creationId xmlns:a16="http://schemas.microsoft.com/office/drawing/2014/main" id="{8D9B6EB5-D104-3E6F-D877-B7E8365F9191}"/>
                  </a:ext>
                </a:extLst>
              </xdr:cNvPr>
              <xdr:cNvSpPr txBox="1"/>
            </xdr:nvSpPr>
            <xdr:spPr>
              <a:xfrm>
                <a:off x="5458247" y="785236"/>
                <a:ext cx="1052371" cy="225536"/>
              </a:xfrm>
              <a:prstGeom prst="rect">
                <a:avLst/>
              </a:prstGeom>
              <a:grp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marL="0" indent="0" algn="ctr"/>
                <a:fld id="{BBC0B680-BF8F-462E-97C4-22313DFB35D6}" type="TxLink">
                  <a:rPr lang="en-US" sz="1200" b="1" i="1" u="none" strike="noStrike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Arial"/>
                  </a:rPr>
                  <a:pPr marL="0" indent="0" algn="ctr"/>
                  <a:t>KATSINA</a:t>
                </a:fld>
                <a:endParaRPr lang="en-GB" sz="1200" b="1" i="1" u="none" strike="noStrike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Arial"/>
                </a:endParaRPr>
              </a:p>
            </xdr:txBody>
          </xdr:sp>
        </xdr:grpSp>
        <xdr:grpSp>
          <xdr:nvGrpSpPr>
            <xdr:cNvPr id="46" name="Group 45">
              <a:extLst>
                <a:ext uri="{FF2B5EF4-FFF2-40B4-BE49-F238E27FC236}">
                  <a16:creationId xmlns:a16="http://schemas.microsoft.com/office/drawing/2014/main" id="{DA9EF48E-E5E3-40E2-A1D4-B5F623079223}"/>
                </a:ext>
              </a:extLst>
            </xdr:cNvPr>
            <xdr:cNvGrpSpPr/>
          </xdr:nvGrpSpPr>
          <xdr:grpSpPr>
            <a:xfrm>
              <a:off x="3860100" y="1703295"/>
              <a:ext cx="2327848" cy="243465"/>
              <a:chOff x="4081795" y="776272"/>
              <a:chExt cx="2327848" cy="243465"/>
            </a:xfrm>
            <a:grpFill/>
          </xdr:grpSpPr>
          <xdr:sp macro="" textlink="'Pivot tables'!$AA$10">
            <xdr:nvSpPr>
              <xdr:cNvPr id="47" name="TextBox 46">
                <a:extLst>
                  <a:ext uri="{FF2B5EF4-FFF2-40B4-BE49-F238E27FC236}">
                    <a16:creationId xmlns:a16="http://schemas.microsoft.com/office/drawing/2014/main" id="{7C042625-F1FA-5F27-684D-981403EC8340}"/>
                  </a:ext>
                </a:extLst>
              </xdr:cNvPr>
              <xdr:cNvSpPr txBox="1"/>
            </xdr:nvSpPr>
            <xdr:spPr>
              <a:xfrm>
                <a:off x="4081795" y="776272"/>
                <a:ext cx="1416972" cy="243465"/>
              </a:xfrm>
              <a:prstGeom prst="rect">
                <a:avLst/>
              </a:prstGeom>
              <a:grp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marL="0" indent="0" algn="r"/>
                <a:fld id="{81E1B5B5-58A8-4B42-82B3-33B7AA4E2FDB}" type="TxLink">
                  <a:rPr lang="en-US" sz="1200" b="1" i="1" u="none" strike="noStrike">
                    <a:solidFill>
                      <a:srgbClr val="000000"/>
                    </a:solidFill>
                    <a:latin typeface="Arial"/>
                    <a:ea typeface="+mn-ea"/>
                    <a:cs typeface="Arial"/>
                  </a:rPr>
                  <a:pPr marL="0" indent="0" algn="r"/>
                  <a:t> 5,656,823,868 </a:t>
                </a:fld>
                <a:endParaRPr lang="en-GB" sz="1200" b="1" i="1" u="none" strike="noStrike">
                  <a:solidFill>
                    <a:srgbClr val="000000"/>
                  </a:solidFill>
                  <a:latin typeface="Arial"/>
                  <a:ea typeface="+mn-ea"/>
                  <a:cs typeface="Arial"/>
                </a:endParaRPr>
              </a:p>
            </xdr:txBody>
          </xdr:sp>
          <xdr:sp macro="" textlink="'Pivot tables'!$Z$10">
            <xdr:nvSpPr>
              <xdr:cNvPr id="48" name="TextBox 47">
                <a:extLst>
                  <a:ext uri="{FF2B5EF4-FFF2-40B4-BE49-F238E27FC236}">
                    <a16:creationId xmlns:a16="http://schemas.microsoft.com/office/drawing/2014/main" id="{4A4A20ED-8682-BBEC-41F0-6D93122C2ED9}"/>
                  </a:ext>
                </a:extLst>
              </xdr:cNvPr>
              <xdr:cNvSpPr txBox="1"/>
            </xdr:nvSpPr>
            <xdr:spPr>
              <a:xfrm>
                <a:off x="5458247" y="785236"/>
                <a:ext cx="951396" cy="225536"/>
              </a:xfrm>
              <a:prstGeom prst="rect">
                <a:avLst/>
              </a:prstGeom>
              <a:grp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marL="0" indent="0" algn="ctr"/>
                <a:fld id="{B9D246FD-BC37-437C-B751-2C6E3E8739CD}" type="TxLink">
                  <a:rPr lang="en-US" sz="1200" b="1" i="1" u="none" strike="noStrike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Arial"/>
                  </a:rPr>
                  <a:pPr marL="0" indent="0" algn="ctr"/>
                  <a:t>RIVERS</a:t>
                </a:fld>
                <a:endParaRPr lang="en-GB" sz="1200" b="1" i="1" u="none" strike="noStrike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Arial"/>
                </a:endParaRPr>
              </a:p>
            </xdr:txBody>
          </xdr:sp>
        </xdr:grpSp>
      </xdr:grpSp>
    </xdr:grpSp>
    <xdr:clientData/>
  </xdr:twoCellAnchor>
  <xdr:twoCellAnchor>
    <xdr:from>
      <xdr:col>0</xdr:col>
      <xdr:colOff>117817</xdr:colOff>
      <xdr:row>15</xdr:row>
      <xdr:rowOff>11352</xdr:rowOff>
    </xdr:from>
    <xdr:to>
      <xdr:col>11</xdr:col>
      <xdr:colOff>98051</xdr:colOff>
      <xdr:row>37</xdr:row>
      <xdr:rowOff>124239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id="{2B498B9A-F906-D204-D596-BEB138139289}"/>
            </a:ext>
          </a:extLst>
        </xdr:cNvPr>
        <xdr:cNvGrpSpPr/>
      </xdr:nvGrpSpPr>
      <xdr:grpSpPr>
        <a:xfrm>
          <a:off x="117817" y="2532676"/>
          <a:ext cx="6759793" cy="3810828"/>
          <a:chOff x="145677" y="2239731"/>
          <a:chExt cx="6759695" cy="3442901"/>
        </a:xfrm>
        <a:solidFill>
          <a:schemeClr val="accent4">
            <a:lumMod val="20000"/>
            <a:lumOff val="80000"/>
          </a:schemeClr>
        </a:solidFill>
      </xdr:grpSpPr>
      <xdr:grpSp>
        <xdr:nvGrpSpPr>
          <xdr:cNvPr id="58" name="Group 57">
            <a:extLst>
              <a:ext uri="{FF2B5EF4-FFF2-40B4-BE49-F238E27FC236}">
                <a16:creationId xmlns:a16="http://schemas.microsoft.com/office/drawing/2014/main" id="{69B1859B-E577-8983-040D-C7989D802DF4}"/>
              </a:ext>
            </a:extLst>
          </xdr:cNvPr>
          <xdr:cNvGrpSpPr/>
        </xdr:nvGrpSpPr>
        <xdr:grpSpPr>
          <a:xfrm>
            <a:off x="267007" y="2239731"/>
            <a:ext cx="6638365" cy="3339353"/>
            <a:chOff x="267007" y="2239731"/>
            <a:chExt cx="6638365" cy="3339353"/>
          </a:xfrm>
          <a:grpFill/>
        </xdr:grpSpPr>
        <xdr:sp macro="" textlink="">
          <xdr:nvSpPr>
            <xdr:cNvPr id="51" name="Rectangle: Rounded Corners 50">
              <a:extLst>
                <a:ext uri="{FF2B5EF4-FFF2-40B4-BE49-F238E27FC236}">
                  <a16:creationId xmlns:a16="http://schemas.microsoft.com/office/drawing/2014/main" id="{6E3D82C1-7C8E-41D2-87C4-6779EE721857}"/>
                </a:ext>
              </a:extLst>
            </xdr:cNvPr>
            <xdr:cNvSpPr/>
          </xdr:nvSpPr>
          <xdr:spPr>
            <a:xfrm>
              <a:off x="267007" y="2239731"/>
              <a:ext cx="6638365" cy="3339353"/>
            </a:xfrm>
            <a:prstGeom prst="roundRect">
              <a:avLst/>
            </a:prstGeom>
            <a:grpFill/>
            <a:ln>
              <a:noFill/>
            </a:ln>
            <a:effectLst>
              <a:outerShdw blurRad="279400" dist="50800" dir="2700000" algn="tl" rotWithShape="0">
                <a:prstClr val="black">
                  <a:alpha val="16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35E3D8DB-5029-47B1-B9A2-AA7A468679E8}"/>
                </a:ext>
              </a:extLst>
            </xdr:cNvPr>
            <xdr:cNvSpPr txBox="1"/>
          </xdr:nvSpPr>
          <xdr:spPr>
            <a:xfrm>
              <a:off x="2608381" y="2475439"/>
              <a:ext cx="2319966" cy="509877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GB" sz="1200" b="1" i="1">
                  <a:solidFill>
                    <a:srgbClr val="FF0000"/>
                  </a:solidFill>
                </a:rPr>
                <a:t>Top</a:t>
              </a:r>
              <a:r>
                <a:rPr lang="en-GB" sz="1200" b="1" i="1" baseline="0">
                  <a:solidFill>
                    <a:srgbClr val="FF0000"/>
                  </a:solidFill>
                </a:rPr>
                <a:t> 10 States According to </a:t>
              </a:r>
              <a:r>
                <a:rPr lang="en-GB" sz="1200" b="1" i="1">
                  <a:solidFill>
                    <a:srgbClr val="FF0000"/>
                  </a:solidFill>
                </a:rPr>
                <a:t>Gross Statutory</a:t>
              </a:r>
              <a:r>
                <a:rPr lang="en-GB" sz="1200" b="1" i="1" baseline="0">
                  <a:solidFill>
                    <a:srgbClr val="FF0000"/>
                  </a:solidFill>
                </a:rPr>
                <a:t> </a:t>
              </a:r>
              <a:r>
                <a:rPr lang="en-GB" sz="1200" b="1" i="1">
                  <a:solidFill>
                    <a:srgbClr val="FF0000"/>
                  </a:solidFill>
                </a:rPr>
                <a:t>Allocation</a:t>
              </a:r>
            </a:p>
          </xdr:txBody>
        </xdr:sp>
      </xdr:grpSp>
      <xdr:graphicFrame macro="">
        <xdr:nvGraphicFramePr>
          <xdr:cNvPr id="50" name="Chart 49">
            <a:extLst>
              <a:ext uri="{FF2B5EF4-FFF2-40B4-BE49-F238E27FC236}">
                <a16:creationId xmlns:a16="http://schemas.microsoft.com/office/drawing/2014/main" id="{4650F26F-655E-4BEF-AB0A-9F019F202F78}"/>
              </a:ext>
            </a:extLst>
          </xdr:cNvPr>
          <xdr:cNvGraphicFramePr>
            <a:graphicFrameLocks/>
          </xdr:cNvGraphicFramePr>
        </xdr:nvGraphicFramePr>
        <xdr:xfrm>
          <a:off x="145677" y="2771601"/>
          <a:ext cx="6441705" cy="291103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>
    <xdr:from>
      <xdr:col>19</xdr:col>
      <xdr:colOff>486691</xdr:colOff>
      <xdr:row>3</xdr:row>
      <xdr:rowOff>765</xdr:rowOff>
    </xdr:from>
    <xdr:to>
      <xdr:col>23</xdr:col>
      <xdr:colOff>134257</xdr:colOff>
      <xdr:row>4</xdr:row>
      <xdr:rowOff>940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4AF93EA8-6ED2-0982-3195-483545F41055}"/>
            </a:ext>
          </a:extLst>
        </xdr:cNvPr>
        <xdr:cNvSpPr/>
      </xdr:nvSpPr>
      <xdr:spPr>
        <a:xfrm>
          <a:off x="12324905" y="490622"/>
          <a:ext cx="2096852" cy="163461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140074</xdr:colOff>
      <xdr:row>1</xdr:row>
      <xdr:rowOff>50240</xdr:rowOff>
    </xdr:from>
    <xdr:to>
      <xdr:col>28</xdr:col>
      <xdr:colOff>465342</xdr:colOff>
      <xdr:row>14</xdr:row>
      <xdr:rowOff>56030</xdr:rowOff>
    </xdr:to>
    <xdr:grpSp>
      <xdr:nvGrpSpPr>
        <xdr:cNvPr id="62" name="Group 61">
          <a:extLst>
            <a:ext uri="{FF2B5EF4-FFF2-40B4-BE49-F238E27FC236}">
              <a16:creationId xmlns:a16="http://schemas.microsoft.com/office/drawing/2014/main" id="{CA793FDF-8FF6-C1C5-22A5-700FD928FF83}"/>
            </a:ext>
          </a:extLst>
        </xdr:cNvPr>
        <xdr:cNvGrpSpPr/>
      </xdr:nvGrpSpPr>
      <xdr:grpSpPr>
        <a:xfrm>
          <a:off x="10197353" y="218328"/>
          <a:ext cx="7721151" cy="2190937"/>
          <a:chOff x="10046303" y="174095"/>
          <a:chExt cx="7606229" cy="2204448"/>
        </a:xfrm>
      </xdr:grpSpPr>
      <xdr:grpSp>
        <xdr:nvGrpSpPr>
          <xdr:cNvPr id="88" name="Group 87">
            <a:extLst>
              <a:ext uri="{FF2B5EF4-FFF2-40B4-BE49-F238E27FC236}">
                <a16:creationId xmlns:a16="http://schemas.microsoft.com/office/drawing/2014/main" id="{C7102AA7-B1DB-3E4C-3151-5D82DA70B0FA}"/>
              </a:ext>
            </a:extLst>
          </xdr:cNvPr>
          <xdr:cNvGrpSpPr/>
        </xdr:nvGrpSpPr>
        <xdr:grpSpPr>
          <a:xfrm>
            <a:off x="10046303" y="174095"/>
            <a:ext cx="7606229" cy="2204448"/>
            <a:chOff x="10321018" y="66796"/>
            <a:chExt cx="7550320" cy="2097976"/>
          </a:xfrm>
        </xdr:grpSpPr>
        <xdr:grpSp>
          <xdr:nvGrpSpPr>
            <xdr:cNvPr id="87" name="Group 86">
              <a:extLst>
                <a:ext uri="{FF2B5EF4-FFF2-40B4-BE49-F238E27FC236}">
                  <a16:creationId xmlns:a16="http://schemas.microsoft.com/office/drawing/2014/main" id="{2F6DA088-E895-F574-E9BF-9261CF582A51}"/>
                </a:ext>
              </a:extLst>
            </xdr:cNvPr>
            <xdr:cNvGrpSpPr/>
          </xdr:nvGrpSpPr>
          <xdr:grpSpPr>
            <a:xfrm>
              <a:off x="10321018" y="66796"/>
              <a:ext cx="7550320" cy="2073733"/>
              <a:chOff x="10321018" y="66796"/>
              <a:chExt cx="7550320" cy="2073733"/>
            </a:xfrm>
          </xdr:grpSpPr>
          <xdr:grpSp>
            <xdr:nvGrpSpPr>
              <xdr:cNvPr id="53" name="Group 52">
                <a:extLst>
                  <a:ext uri="{FF2B5EF4-FFF2-40B4-BE49-F238E27FC236}">
                    <a16:creationId xmlns:a16="http://schemas.microsoft.com/office/drawing/2014/main" id="{EB34F657-1925-6783-7372-254C3F5B3686}"/>
                  </a:ext>
                </a:extLst>
              </xdr:cNvPr>
              <xdr:cNvGrpSpPr/>
            </xdr:nvGrpSpPr>
            <xdr:grpSpPr>
              <a:xfrm>
                <a:off x="10321018" y="66796"/>
                <a:ext cx="7550320" cy="2073733"/>
                <a:chOff x="10225768" y="140806"/>
                <a:chExt cx="7595347" cy="2078520"/>
              </a:xfrm>
              <a:solidFill>
                <a:schemeClr val="accent4">
                  <a:lumMod val="20000"/>
                  <a:lumOff val="80000"/>
                </a:schemeClr>
              </a:solidFill>
            </xdr:grpSpPr>
            <xdr:grpSp>
              <xdr:nvGrpSpPr>
                <xdr:cNvPr id="52" name="Group 51">
                  <a:extLst>
                    <a:ext uri="{FF2B5EF4-FFF2-40B4-BE49-F238E27FC236}">
                      <a16:creationId xmlns:a16="http://schemas.microsoft.com/office/drawing/2014/main" id="{CB92EE22-8FB1-4E29-3A40-BE28B1F42086}"/>
                    </a:ext>
                  </a:extLst>
                </xdr:cNvPr>
                <xdr:cNvGrpSpPr/>
              </xdr:nvGrpSpPr>
              <xdr:grpSpPr>
                <a:xfrm>
                  <a:off x="10225768" y="140806"/>
                  <a:ext cx="7595347" cy="2050949"/>
                  <a:chOff x="10225768" y="140806"/>
                  <a:chExt cx="7595347" cy="2050949"/>
                </a:xfrm>
                <a:grpFill/>
              </xdr:grpSpPr>
              <xdr:sp macro="" textlink="">
                <xdr:nvSpPr>
                  <xdr:cNvPr id="6" name="Rectangle: Rounded Corners 5">
                    <a:extLst>
                      <a:ext uri="{FF2B5EF4-FFF2-40B4-BE49-F238E27FC236}">
                        <a16:creationId xmlns:a16="http://schemas.microsoft.com/office/drawing/2014/main" id="{9ADF53C1-6752-41AA-A9C5-90E20EC52C8E}"/>
                      </a:ext>
                    </a:extLst>
                  </xdr:cNvPr>
                  <xdr:cNvSpPr/>
                </xdr:nvSpPr>
                <xdr:spPr>
                  <a:xfrm>
                    <a:off x="10225768" y="140806"/>
                    <a:ext cx="7595347" cy="2050949"/>
                  </a:xfrm>
                  <a:prstGeom prst="roundRect">
                    <a:avLst/>
                  </a:prstGeom>
                  <a:grpFill/>
                  <a:ln>
                    <a:noFill/>
                  </a:ln>
                  <a:effectLst>
                    <a:outerShdw blurRad="279400" dist="50800" dir="2700000" algn="tl" rotWithShape="0">
                      <a:prstClr val="black">
                        <a:alpha val="16000"/>
                      </a:prstClr>
                    </a:outerShdw>
                  </a:effectLst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GB" sz="1100"/>
                  </a:p>
                </xdr:txBody>
              </xdr:sp>
              <xdr:sp macro="" textlink="">
                <xdr:nvSpPr>
                  <xdr:cNvPr id="55" name="TextBox 54">
                    <a:extLst>
                      <a:ext uri="{FF2B5EF4-FFF2-40B4-BE49-F238E27FC236}">
                        <a16:creationId xmlns:a16="http://schemas.microsoft.com/office/drawing/2014/main" id="{81155FB1-7DA0-44F8-A06F-C4B3BCED6C72}"/>
                      </a:ext>
                    </a:extLst>
                  </xdr:cNvPr>
                  <xdr:cNvSpPr txBox="1"/>
                </xdr:nvSpPr>
                <xdr:spPr>
                  <a:xfrm>
                    <a:off x="15683181" y="151964"/>
                    <a:ext cx="1778369" cy="700366"/>
                  </a:xfrm>
                  <a:prstGeom prst="rect">
                    <a:avLst/>
                  </a:prstGeom>
                  <a:grp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pPr algn="l"/>
                    <a:r>
                      <a:rPr lang="en-GB" sz="1200" b="1" i="1" baseline="0">
                        <a:solidFill>
                          <a:srgbClr val="FF0000"/>
                        </a:solidFill>
                      </a:rPr>
                      <a:t>Gross Statutory Allocation  to Southern States</a:t>
                    </a:r>
                    <a:endParaRPr lang="en-GB" sz="1200" b="1" i="1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">
                <xdr:nvSpPr>
                  <xdr:cNvPr id="61" name="TextBox 60">
                    <a:extLst>
                      <a:ext uri="{FF2B5EF4-FFF2-40B4-BE49-F238E27FC236}">
                        <a16:creationId xmlns:a16="http://schemas.microsoft.com/office/drawing/2014/main" id="{6F59DB95-744A-5293-F62D-98496C7B5D5C}"/>
                      </a:ext>
                    </a:extLst>
                  </xdr:cNvPr>
                  <xdr:cNvSpPr txBox="1"/>
                </xdr:nvSpPr>
                <xdr:spPr>
                  <a:xfrm>
                    <a:off x="15104230" y="737614"/>
                    <a:ext cx="1278770" cy="474438"/>
                  </a:xfrm>
                  <a:prstGeom prst="rect">
                    <a:avLst/>
                  </a:prstGeom>
                  <a:grp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pPr algn="l"/>
                    <a:r>
                      <a:rPr lang="en-GB" sz="1100" b="1" i="1" baseline="0">
                        <a:solidFill>
                          <a:srgbClr val="FF0000"/>
                        </a:solidFill>
                      </a:rPr>
                      <a:t>Highest Statutory Allocation</a:t>
                    </a:r>
                    <a:endParaRPr lang="en-GB" sz="1100" b="1" i="1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">
                <xdr:nvSpPr>
                  <xdr:cNvPr id="66" name="TextBox 65">
                    <a:extLst>
                      <a:ext uri="{FF2B5EF4-FFF2-40B4-BE49-F238E27FC236}">
                        <a16:creationId xmlns:a16="http://schemas.microsoft.com/office/drawing/2014/main" id="{63790A7A-D209-A099-7167-60FAD2A99097}"/>
                      </a:ext>
                    </a:extLst>
                  </xdr:cNvPr>
                  <xdr:cNvSpPr txBox="1"/>
                </xdr:nvSpPr>
                <xdr:spPr>
                  <a:xfrm>
                    <a:off x="15113755" y="1162590"/>
                    <a:ext cx="1278770" cy="560289"/>
                  </a:xfrm>
                  <a:prstGeom prst="rect">
                    <a:avLst/>
                  </a:prstGeom>
                  <a:grp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pPr algn="l"/>
                    <a:r>
                      <a:rPr lang="en-GB" sz="1100" b="1" i="1" baseline="0">
                        <a:solidFill>
                          <a:srgbClr val="FF0000"/>
                        </a:solidFill>
                      </a:rPr>
                      <a:t>Average Statutory Allocation</a:t>
                    </a:r>
                    <a:endParaRPr lang="en-GB" sz="1100" b="1" i="1">
                      <a:solidFill>
                        <a:srgbClr val="FF0000"/>
                      </a:solidFill>
                    </a:endParaRPr>
                  </a:p>
                </xdr:txBody>
              </xdr:sp>
            </xdr:grpSp>
            <xdr:graphicFrame macro="">
              <xdr:nvGraphicFramePr>
                <xdr:cNvPr id="54" name="Chart 53">
                  <a:extLst>
                    <a:ext uri="{FF2B5EF4-FFF2-40B4-BE49-F238E27FC236}">
                      <a16:creationId xmlns:a16="http://schemas.microsoft.com/office/drawing/2014/main" id="{75567736-B618-45CF-B261-3C237BD434CA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10448925" y="171450"/>
                <a:ext cx="4572000" cy="204787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6"/>
                </a:graphicData>
              </a:graphic>
            </xdr:graphicFrame>
          </xdr:grpSp>
          <xdr:grpSp>
            <xdr:nvGrpSpPr>
              <xdr:cNvPr id="57" name="Group 56">
                <a:extLst>
                  <a:ext uri="{FF2B5EF4-FFF2-40B4-BE49-F238E27FC236}">
                    <a16:creationId xmlns:a16="http://schemas.microsoft.com/office/drawing/2014/main" id="{101BBE2F-8AB7-37C3-3540-141929F6EEE0}"/>
                  </a:ext>
                </a:extLst>
              </xdr:cNvPr>
              <xdr:cNvGrpSpPr/>
            </xdr:nvGrpSpPr>
            <xdr:grpSpPr>
              <a:xfrm>
                <a:off x="16640641" y="680477"/>
                <a:ext cx="1093872" cy="801418"/>
                <a:chOff x="16583394" y="823346"/>
                <a:chExt cx="1097427" cy="809161"/>
              </a:xfrm>
            </xdr:grpSpPr>
            <xdr:sp macro="" textlink="'Pivot tables'!AT5">
              <xdr:nvSpPr>
                <xdr:cNvPr id="63" name="TextBox 62">
                  <a:extLst>
                    <a:ext uri="{FF2B5EF4-FFF2-40B4-BE49-F238E27FC236}">
                      <a16:creationId xmlns:a16="http://schemas.microsoft.com/office/drawing/2014/main" id="{83AD015D-2079-47FF-B9DF-004BB6CB1F3B}"/>
                    </a:ext>
                  </a:extLst>
                </xdr:cNvPr>
                <xdr:cNvSpPr txBox="1"/>
              </xdr:nvSpPr>
              <xdr:spPr>
                <a:xfrm>
                  <a:off x="16729350" y="823346"/>
                  <a:ext cx="945395" cy="297618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algn="ctr"/>
                  <a:fld id="{280B276B-3B0C-4A53-ABF5-D9788A743179}" type="TxLink">
                    <a:rPr lang="en-US" sz="1100" b="1" i="1" u="none" strike="noStrike">
                      <a:solidFill>
                        <a:schemeClr val="accent6">
                          <a:lumMod val="50000"/>
                        </a:schemeClr>
                      </a:solidFill>
                      <a:latin typeface="Arial" panose="020B0604020202020204" pitchFamily="34" charset="0"/>
                      <a:cs typeface="Arial" panose="020B0604020202020204" pitchFamily="34" charset="0"/>
                    </a:rPr>
                    <a:pPr algn="ctr"/>
                    <a:t>OYO</a:t>
                  </a:fld>
                  <a:endParaRPr lang="en-GB" sz="1100" b="1" i="1">
                    <a:solidFill>
                      <a:schemeClr val="accent6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endParaRPr>
                </a:p>
              </xdr:txBody>
            </xdr:sp>
            <xdr:sp macro="" textlink="'Pivot tables'!AS5">
              <xdr:nvSpPr>
                <xdr:cNvPr id="64" name="TextBox 63">
                  <a:extLst>
                    <a:ext uri="{FF2B5EF4-FFF2-40B4-BE49-F238E27FC236}">
                      <a16:creationId xmlns:a16="http://schemas.microsoft.com/office/drawing/2014/main" id="{46BB330D-6112-4288-A027-110B0695D13F}"/>
                    </a:ext>
                  </a:extLst>
                </xdr:cNvPr>
                <xdr:cNvSpPr txBox="1"/>
              </xdr:nvSpPr>
              <xdr:spPr>
                <a:xfrm>
                  <a:off x="16611601" y="1037276"/>
                  <a:ext cx="1069220" cy="2952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algn="l"/>
                  <a:fld id="{6AF9B59E-4AD4-4D40-BAFE-26967AB50AC4}" type="TxLink">
                    <a:rPr lang="en-US" sz="1000" b="1" i="1" u="none" strike="noStrike">
                      <a:solidFill>
                        <a:srgbClr val="000000"/>
                      </a:solidFill>
                      <a:latin typeface="Arial"/>
                      <a:cs typeface="Arial"/>
                    </a:rPr>
                    <a:pPr algn="l"/>
                    <a:t> 3,398,453,852 </a:t>
                  </a:fld>
                  <a:endParaRPr lang="en-US" b="1" i="1"/>
                </a:p>
              </xdr:txBody>
            </xdr:sp>
            <xdr:sp macro="" textlink="'Pivot tables'!AS7">
              <xdr:nvSpPr>
                <xdr:cNvPr id="69" name="TextBox 68">
                  <a:extLst>
                    <a:ext uri="{FF2B5EF4-FFF2-40B4-BE49-F238E27FC236}">
                      <a16:creationId xmlns:a16="http://schemas.microsoft.com/office/drawing/2014/main" id="{EC85B538-D330-C3F0-44AA-6D484C270250}"/>
                    </a:ext>
                  </a:extLst>
                </xdr:cNvPr>
                <xdr:cNvSpPr txBox="1"/>
              </xdr:nvSpPr>
              <xdr:spPr>
                <a:xfrm>
                  <a:off x="16583394" y="1337233"/>
                  <a:ext cx="1069220" cy="2952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algn="l"/>
                  <a:fld id="{FBA3DBDA-D2B1-4A31-980C-B0E14CE1F85E}" type="TxLink">
                    <a:rPr lang="en-US" sz="1000" b="1" i="1" u="none" strike="noStrike">
                      <a:solidFill>
                        <a:srgbClr val="000000"/>
                      </a:solidFill>
                      <a:latin typeface="Arial"/>
                      <a:cs typeface="Arial"/>
                    </a:rPr>
                    <a:pPr algn="l"/>
                    <a:t> 2,255,684,174 </a:t>
                  </a:fld>
                  <a:endParaRPr lang="en-US" b="1" i="1"/>
                </a:p>
              </xdr:txBody>
            </xdr:sp>
          </xdr:grpSp>
        </xdr:grpSp>
        <xdr:sp macro="" textlink="">
          <xdr:nvSpPr>
            <xdr:cNvPr id="68" name="TextBox 67">
              <a:extLst>
                <a:ext uri="{FF2B5EF4-FFF2-40B4-BE49-F238E27FC236}">
                  <a16:creationId xmlns:a16="http://schemas.microsoft.com/office/drawing/2014/main" id="{ECEB9E8F-BA2C-419B-BA8C-57961A49EB08}"/>
                </a:ext>
              </a:extLst>
            </xdr:cNvPr>
            <xdr:cNvSpPr txBox="1"/>
          </xdr:nvSpPr>
          <xdr:spPr>
            <a:xfrm>
              <a:off x="15193241" y="1587211"/>
              <a:ext cx="1271843" cy="43328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en-GB" sz="1100" b="1" i="1" baseline="0">
                  <a:solidFill>
                    <a:srgbClr val="FF0000"/>
                  </a:solidFill>
                </a:rPr>
                <a:t>Lowest Statutory Allocation</a:t>
              </a:r>
              <a:endParaRPr lang="en-GB" sz="1100" b="1" i="1">
                <a:solidFill>
                  <a:srgbClr val="FF0000"/>
                </a:solidFill>
              </a:endParaRPr>
            </a:p>
          </xdr:txBody>
        </xdr:sp>
        <xdr:grpSp>
          <xdr:nvGrpSpPr>
            <xdr:cNvPr id="83" name="Group 82">
              <a:extLst>
                <a:ext uri="{FF2B5EF4-FFF2-40B4-BE49-F238E27FC236}">
                  <a16:creationId xmlns:a16="http://schemas.microsoft.com/office/drawing/2014/main" id="{C85C9D61-8120-27D3-9A5E-C737FEB93143}"/>
                </a:ext>
              </a:extLst>
            </xdr:cNvPr>
            <xdr:cNvGrpSpPr/>
          </xdr:nvGrpSpPr>
          <xdr:grpSpPr>
            <a:xfrm>
              <a:off x="16595878" y="1587211"/>
              <a:ext cx="1201811" cy="577561"/>
              <a:chOff x="16509820" y="733425"/>
              <a:chExt cx="1205717" cy="576641"/>
            </a:xfrm>
          </xdr:grpSpPr>
          <xdr:sp macro="" textlink="'Pivot tables'!AT6">
            <xdr:nvSpPr>
              <xdr:cNvPr id="84" name="TextBox 83">
                <a:extLst>
                  <a:ext uri="{FF2B5EF4-FFF2-40B4-BE49-F238E27FC236}">
                    <a16:creationId xmlns:a16="http://schemas.microsoft.com/office/drawing/2014/main" id="{449502DF-542A-AA7D-F299-07AFF5EF9B76}"/>
                  </a:ext>
                </a:extLst>
              </xdr:cNvPr>
              <xdr:cNvSpPr txBox="1"/>
            </xdr:nvSpPr>
            <xdr:spPr>
              <a:xfrm>
                <a:off x="16706850" y="733425"/>
                <a:ext cx="945395" cy="297618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fld id="{696EAD05-C3EA-4C68-A480-E8A5C890BF26}" type="TxLink">
                  <a:rPr lang="en-US" sz="1100" b="1" i="1" u="none" strike="noStrike">
                    <a:solidFill>
                      <a:schemeClr val="accent6">
                        <a:lumMod val="50000"/>
                      </a:schemeClr>
                    </a:solidFill>
                    <a:latin typeface="Arial"/>
                    <a:cs typeface="Arial"/>
                  </a:rPr>
                  <a:pPr algn="ctr"/>
                  <a:t>BAYELSA</a:t>
                </a:fld>
                <a:endParaRPr lang="en-GB" sz="1100" b="1" i="1">
                  <a:solidFill>
                    <a:schemeClr val="accent6">
                      <a:lumMod val="50000"/>
                    </a:schemeClr>
                  </a:solidFill>
                </a:endParaRPr>
              </a:p>
            </xdr:txBody>
          </xdr:sp>
          <xdr:sp macro="" textlink="'Pivot tables'!AS6">
            <xdr:nvSpPr>
              <xdr:cNvPr id="85" name="TextBox 84">
                <a:extLst>
                  <a:ext uri="{FF2B5EF4-FFF2-40B4-BE49-F238E27FC236}">
                    <a16:creationId xmlns:a16="http://schemas.microsoft.com/office/drawing/2014/main" id="{461BB791-AB11-F15C-E1D3-F56DB44AF73D}"/>
                  </a:ext>
                </a:extLst>
              </xdr:cNvPr>
              <xdr:cNvSpPr txBox="1"/>
            </xdr:nvSpPr>
            <xdr:spPr>
              <a:xfrm>
                <a:off x="16509820" y="929673"/>
                <a:ext cx="1205717" cy="38039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l"/>
                <a:fld id="{7EE4413E-7C74-4F29-BEC9-38BF790E6B64}" type="TxLink">
                  <a:rPr lang="en-US" sz="1100" b="1" i="1" u="none" strike="noStrike">
                    <a:solidFill>
                      <a:srgbClr val="000000"/>
                    </a:solidFill>
                    <a:latin typeface="Arial"/>
                    <a:cs typeface="Arial"/>
                  </a:rPr>
                  <a:pPr algn="l"/>
                  <a:t> 1,070,647,933 </a:t>
                </a:fld>
                <a:endParaRPr lang="en-US" sz="1100" b="1" i="1"/>
              </a:p>
            </xdr:txBody>
          </xdr:sp>
        </xdr:grpSp>
      </xdr:grpSp>
      <xdr:sp macro="" textlink="">
        <xdr:nvSpPr>
          <xdr:cNvPr id="56" name="Arrow: Up 55">
            <a:extLst>
              <a:ext uri="{FF2B5EF4-FFF2-40B4-BE49-F238E27FC236}">
                <a16:creationId xmlns:a16="http://schemas.microsoft.com/office/drawing/2014/main" id="{90EDCFE3-8477-E572-4372-CAE7175AB63A}"/>
              </a:ext>
            </a:extLst>
          </xdr:cNvPr>
          <xdr:cNvSpPr/>
        </xdr:nvSpPr>
        <xdr:spPr>
          <a:xfrm>
            <a:off x="16222266" y="921694"/>
            <a:ext cx="163711" cy="193476"/>
          </a:xfrm>
          <a:prstGeom prst="upArrow">
            <a:avLst/>
          </a:prstGeom>
          <a:solidFill>
            <a:schemeClr val="accent6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26</xdr:col>
      <xdr:colOff>236442</xdr:colOff>
      <xdr:row>11</xdr:row>
      <xdr:rowOff>104179</xdr:rowOff>
    </xdr:from>
    <xdr:to>
      <xdr:col>26</xdr:col>
      <xdr:colOff>396581</xdr:colOff>
      <xdr:row>12</xdr:row>
      <xdr:rowOff>137518</xdr:rowOff>
    </xdr:to>
    <xdr:sp macro="" textlink="">
      <xdr:nvSpPr>
        <xdr:cNvPr id="79" name="Arrow: Up 78">
          <a:extLst>
            <a:ext uri="{FF2B5EF4-FFF2-40B4-BE49-F238E27FC236}">
              <a16:creationId xmlns:a16="http://schemas.microsoft.com/office/drawing/2014/main" id="{05ED8F05-93A0-16EC-9037-50D2B4F86199}"/>
            </a:ext>
          </a:extLst>
        </xdr:cNvPr>
        <xdr:cNvSpPr/>
      </xdr:nvSpPr>
      <xdr:spPr>
        <a:xfrm rot="10800000">
          <a:off x="16456957" y="1953150"/>
          <a:ext cx="160139" cy="201427"/>
        </a:xfrm>
        <a:prstGeom prst="upArrow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188222</xdr:colOff>
      <xdr:row>8</xdr:row>
      <xdr:rowOff>29764</xdr:rowOff>
    </xdr:from>
    <xdr:to>
      <xdr:col>26</xdr:col>
      <xdr:colOff>456113</xdr:colOff>
      <xdr:row>9</xdr:row>
      <xdr:rowOff>148829</xdr:rowOff>
    </xdr:to>
    <xdr:sp macro="" textlink="">
      <xdr:nvSpPr>
        <xdr:cNvPr id="60" name="Minus Sign 59">
          <a:extLst>
            <a:ext uri="{FF2B5EF4-FFF2-40B4-BE49-F238E27FC236}">
              <a16:creationId xmlns:a16="http://schemas.microsoft.com/office/drawing/2014/main" id="{8B089082-BF81-33CC-397C-CED0F02BC63E}"/>
            </a:ext>
          </a:extLst>
        </xdr:cNvPr>
        <xdr:cNvSpPr/>
      </xdr:nvSpPr>
      <xdr:spPr>
        <a:xfrm>
          <a:off x="16408737" y="1374470"/>
          <a:ext cx="267891" cy="287153"/>
        </a:xfrm>
        <a:prstGeom prst="mathMinus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346686</xdr:colOff>
      <xdr:row>1</xdr:row>
      <xdr:rowOff>5044</xdr:rowOff>
    </xdr:from>
    <xdr:to>
      <xdr:col>11</xdr:col>
      <xdr:colOff>324275</xdr:colOff>
      <xdr:row>13</xdr:row>
      <xdr:rowOff>139747</xdr:rowOff>
    </xdr:to>
    <xdr:sp macro="" textlink="">
      <xdr:nvSpPr>
        <xdr:cNvPr id="93" name="Rectangle: Rounded Corners 92">
          <a:extLst>
            <a:ext uri="{FF2B5EF4-FFF2-40B4-BE49-F238E27FC236}">
              <a16:creationId xmlns:a16="http://schemas.microsoft.com/office/drawing/2014/main" id="{EF19749E-485F-1890-5433-6533C8A33C6B}"/>
            </a:ext>
          </a:extLst>
        </xdr:cNvPr>
        <xdr:cNvSpPr/>
      </xdr:nvSpPr>
      <xdr:spPr>
        <a:xfrm>
          <a:off x="4583327" y="163794"/>
          <a:ext cx="2398526" cy="2039703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  <a:effectLst>
          <a:outerShdw blurRad="279400" dist="50800" dir="2700000" algn="tl" rotWithShape="0">
            <a:prstClr val="black">
              <a:alpha val="16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1</xdr:colOff>
      <xdr:row>1</xdr:row>
      <xdr:rowOff>134472</xdr:rowOff>
    </xdr:from>
    <xdr:to>
      <xdr:col>11</xdr:col>
      <xdr:colOff>242162</xdr:colOff>
      <xdr:row>6</xdr:row>
      <xdr:rowOff>104443</xdr:rowOff>
    </xdr:to>
    <xdr:grpSp>
      <xdr:nvGrpSpPr>
        <xdr:cNvPr id="70" name="Group 69">
          <a:extLst>
            <a:ext uri="{FF2B5EF4-FFF2-40B4-BE49-F238E27FC236}">
              <a16:creationId xmlns:a16="http://schemas.microsoft.com/office/drawing/2014/main" id="{8ED7F4BB-5B30-0577-66BC-919EF5BBACAC}"/>
            </a:ext>
          </a:extLst>
        </xdr:cNvPr>
        <xdr:cNvGrpSpPr/>
      </xdr:nvGrpSpPr>
      <xdr:grpSpPr>
        <a:xfrm>
          <a:off x="5546913" y="302560"/>
          <a:ext cx="1474808" cy="810412"/>
          <a:chOff x="5446059" y="291354"/>
          <a:chExt cx="1452817" cy="754383"/>
        </a:xfrm>
      </xdr:grpSpPr>
      <xdr:sp macro="" textlink="">
        <xdr:nvSpPr>
          <xdr:cNvPr id="95" name="TextBox 94">
            <a:extLst>
              <a:ext uri="{FF2B5EF4-FFF2-40B4-BE49-F238E27FC236}">
                <a16:creationId xmlns:a16="http://schemas.microsoft.com/office/drawing/2014/main" id="{F969B550-FF17-4ED7-9549-9069C215151B}"/>
              </a:ext>
            </a:extLst>
          </xdr:cNvPr>
          <xdr:cNvSpPr txBox="1"/>
        </xdr:nvSpPr>
        <xdr:spPr>
          <a:xfrm>
            <a:off x="5446059" y="291354"/>
            <a:ext cx="1452817" cy="537882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GB" sz="1200" b="1" i="1">
                <a:solidFill>
                  <a:srgbClr val="FF0000"/>
                </a:solidFill>
              </a:rPr>
              <a:t>Total</a:t>
            </a:r>
            <a:r>
              <a:rPr lang="en-GB" sz="1200" b="1" i="1" baseline="0">
                <a:solidFill>
                  <a:srgbClr val="FF0000"/>
                </a:solidFill>
              </a:rPr>
              <a:t> Ecology Fund to Northern States</a:t>
            </a:r>
            <a:endParaRPr lang="en-GB" sz="1200" b="1" i="1">
              <a:solidFill>
                <a:srgbClr val="FF0000"/>
              </a:solidFill>
            </a:endParaRPr>
          </a:p>
        </xdr:txBody>
      </xdr:sp>
      <xdr:sp macro="" textlink="'Pivot tables'!AZ6">
        <xdr:nvSpPr>
          <xdr:cNvPr id="96" name="TextBox 95">
            <a:extLst>
              <a:ext uri="{FF2B5EF4-FFF2-40B4-BE49-F238E27FC236}">
                <a16:creationId xmlns:a16="http://schemas.microsoft.com/office/drawing/2014/main" id="{1DE40CBD-B131-4533-9E62-798EC979B0A4}"/>
              </a:ext>
            </a:extLst>
          </xdr:cNvPr>
          <xdr:cNvSpPr txBox="1"/>
        </xdr:nvSpPr>
        <xdr:spPr>
          <a:xfrm>
            <a:off x="5508810" y="746313"/>
            <a:ext cx="1360395" cy="299424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6DEBE50D-665B-4483-BBA5-E02C363D80B0}" type="TxLink">
              <a:rPr lang="en-US" sz="1200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ctr"/>
              <a:t> 1,504,400,381 </a:t>
            </a:fld>
            <a:endParaRPr lang="en-GB" sz="1200" b="1" i="1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7</xdr:col>
      <xdr:colOff>562535</xdr:colOff>
      <xdr:row>2</xdr:row>
      <xdr:rowOff>145676</xdr:rowOff>
    </xdr:from>
    <xdr:to>
      <xdr:col>8</xdr:col>
      <xdr:colOff>537883</xdr:colOff>
      <xdr:row>4</xdr:row>
      <xdr:rowOff>89647</xdr:rowOff>
    </xdr:to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3235EA61-9129-45E4-97C0-78891A9322E3}"/>
            </a:ext>
          </a:extLst>
        </xdr:cNvPr>
        <xdr:cNvSpPr txBox="1"/>
      </xdr:nvSpPr>
      <xdr:spPr>
        <a:xfrm>
          <a:off x="4798359" y="459441"/>
          <a:ext cx="580465" cy="25773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 i="1">
              <a:solidFill>
                <a:schemeClr val="accent6">
                  <a:lumMod val="50000"/>
                </a:schemeClr>
              </a:solidFill>
            </a:rPr>
            <a:t>56%</a:t>
          </a:r>
        </a:p>
      </xdr:txBody>
    </xdr:sp>
    <xdr:clientData/>
  </xdr:twoCellAnchor>
  <xdr:twoCellAnchor>
    <xdr:from>
      <xdr:col>7</xdr:col>
      <xdr:colOff>346686</xdr:colOff>
      <xdr:row>7</xdr:row>
      <xdr:rowOff>72396</xdr:rowOff>
    </xdr:from>
    <xdr:to>
      <xdr:col>11</xdr:col>
      <xdr:colOff>324275</xdr:colOff>
      <xdr:row>7</xdr:row>
      <xdr:rowOff>72396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B87E065E-3455-986F-57C1-7AB8446B6406}"/>
            </a:ext>
          </a:extLst>
        </xdr:cNvPr>
        <xdr:cNvCxnSpPr>
          <a:stCxn id="93" idx="1"/>
          <a:endCxn id="93" idx="3"/>
        </xdr:cNvCxnSpPr>
      </xdr:nvCxnSpPr>
      <xdr:spPr>
        <a:xfrm>
          <a:off x="4583327" y="1183646"/>
          <a:ext cx="2398526" cy="0"/>
        </a:xfrm>
        <a:prstGeom prst="line">
          <a:avLst/>
        </a:prstGeom>
        <a:ln w="9525" cap="flat" cmpd="sng" algn="ctr">
          <a:solidFill>
            <a:schemeClr val="accent6">
              <a:lumMod val="60000"/>
              <a:lumOff val="40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336175</xdr:colOff>
      <xdr:row>0</xdr:row>
      <xdr:rowOff>137526</xdr:rowOff>
    </xdr:from>
    <xdr:to>
      <xdr:col>9</xdr:col>
      <xdr:colOff>59651</xdr:colOff>
      <xdr:row>6</xdr:row>
      <xdr:rowOff>123264</xdr:rowOff>
    </xdr:to>
    <xdr:graphicFrame macro="">
      <xdr:nvGraphicFramePr>
        <xdr:cNvPr id="98" name="Chart 97">
          <a:extLst>
            <a:ext uri="{FF2B5EF4-FFF2-40B4-BE49-F238E27FC236}">
              <a16:creationId xmlns:a16="http://schemas.microsoft.com/office/drawing/2014/main" id="{9A4283D8-0FA7-4C5D-80F5-7F5E1166F9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7</xdr:row>
      <xdr:rowOff>129990</xdr:rowOff>
    </xdr:from>
    <xdr:to>
      <xdr:col>11</xdr:col>
      <xdr:colOff>280147</xdr:colOff>
      <xdr:row>12</xdr:row>
      <xdr:rowOff>99961</xdr:rowOff>
    </xdr:to>
    <xdr:grpSp>
      <xdr:nvGrpSpPr>
        <xdr:cNvPr id="100" name="Group 99">
          <a:extLst>
            <a:ext uri="{FF2B5EF4-FFF2-40B4-BE49-F238E27FC236}">
              <a16:creationId xmlns:a16="http://schemas.microsoft.com/office/drawing/2014/main" id="{5BAB153F-3F00-1CA2-D454-65C5693FBDE7}"/>
            </a:ext>
          </a:extLst>
        </xdr:cNvPr>
        <xdr:cNvGrpSpPr/>
      </xdr:nvGrpSpPr>
      <xdr:grpSpPr>
        <a:xfrm>
          <a:off x="5546912" y="1306608"/>
          <a:ext cx="1512794" cy="810412"/>
          <a:chOff x="5446059" y="291354"/>
          <a:chExt cx="1490382" cy="754383"/>
        </a:xfrm>
      </xdr:grpSpPr>
      <xdr:sp macro="" textlink="">
        <xdr:nvSpPr>
          <xdr:cNvPr id="101" name="TextBox 100">
            <a:extLst>
              <a:ext uri="{FF2B5EF4-FFF2-40B4-BE49-F238E27FC236}">
                <a16:creationId xmlns:a16="http://schemas.microsoft.com/office/drawing/2014/main" id="{9D8078E3-CE53-E68D-E413-CAC2587A2946}"/>
              </a:ext>
            </a:extLst>
          </xdr:cNvPr>
          <xdr:cNvSpPr txBox="1"/>
        </xdr:nvSpPr>
        <xdr:spPr>
          <a:xfrm>
            <a:off x="5446059" y="291354"/>
            <a:ext cx="1490382" cy="537882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GB" sz="1200" b="1" i="1">
                <a:solidFill>
                  <a:srgbClr val="FF0000"/>
                </a:solidFill>
              </a:rPr>
              <a:t>Total</a:t>
            </a:r>
            <a:r>
              <a:rPr lang="en-GB" sz="1200" b="1" i="1" baseline="0">
                <a:solidFill>
                  <a:srgbClr val="FF0000"/>
                </a:solidFill>
              </a:rPr>
              <a:t> Ecology Fund to Southern States</a:t>
            </a:r>
            <a:endParaRPr lang="en-GB" sz="1200" b="1" i="1">
              <a:solidFill>
                <a:srgbClr val="FF0000"/>
              </a:solidFill>
            </a:endParaRPr>
          </a:p>
        </xdr:txBody>
      </xdr:sp>
      <xdr:sp macro="" textlink="'Pivot tables'!AZ7">
        <xdr:nvSpPr>
          <xdr:cNvPr id="102" name="TextBox 101">
            <a:extLst>
              <a:ext uri="{FF2B5EF4-FFF2-40B4-BE49-F238E27FC236}">
                <a16:creationId xmlns:a16="http://schemas.microsoft.com/office/drawing/2014/main" id="{B13A0838-BB64-7448-FC0D-65A793D45615}"/>
              </a:ext>
            </a:extLst>
          </xdr:cNvPr>
          <xdr:cNvSpPr txBox="1"/>
        </xdr:nvSpPr>
        <xdr:spPr>
          <a:xfrm>
            <a:off x="5508810" y="746313"/>
            <a:ext cx="1360395" cy="299424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783E41FA-3626-4245-A1F4-61E2BF32AA41}" type="TxLink">
              <a:rPr lang="en-US" sz="1200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ctr"/>
              <a:t> 1,161,196,600 </a:t>
            </a:fld>
            <a:endParaRPr lang="en-GB" sz="1200" b="1" i="1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7</xdr:col>
      <xdr:colOff>268939</xdr:colOff>
      <xdr:row>7</xdr:row>
      <xdr:rowOff>44824</xdr:rowOff>
    </xdr:from>
    <xdr:to>
      <xdr:col>9</xdr:col>
      <xdr:colOff>212911</xdr:colOff>
      <xdr:row>13</xdr:row>
      <xdr:rowOff>145676</xdr:rowOff>
    </xdr:to>
    <xdr:graphicFrame macro="">
      <xdr:nvGraphicFramePr>
        <xdr:cNvPr id="106" name="Chart 105">
          <a:extLst>
            <a:ext uri="{FF2B5EF4-FFF2-40B4-BE49-F238E27FC236}">
              <a16:creationId xmlns:a16="http://schemas.microsoft.com/office/drawing/2014/main" id="{6B3C6608-5EB8-4543-B3A2-EEED01EDD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599152</xdr:colOff>
      <xdr:row>9</xdr:row>
      <xdr:rowOff>104504</xdr:rowOff>
    </xdr:from>
    <xdr:to>
      <xdr:col>8</xdr:col>
      <xdr:colOff>454742</xdr:colOff>
      <xdr:row>11</xdr:row>
      <xdr:rowOff>48474</xdr:rowOff>
    </xdr:to>
    <xdr:sp macro="" textlink="'Pivot tables'!BA7">
      <xdr:nvSpPr>
        <xdr:cNvPr id="107" name="TextBox 106">
          <a:extLst>
            <a:ext uri="{FF2B5EF4-FFF2-40B4-BE49-F238E27FC236}">
              <a16:creationId xmlns:a16="http://schemas.microsoft.com/office/drawing/2014/main" id="{09245292-00DE-7E56-6B12-D9EA80ED7CDD}"/>
            </a:ext>
          </a:extLst>
        </xdr:cNvPr>
        <xdr:cNvSpPr txBox="1"/>
      </xdr:nvSpPr>
      <xdr:spPr>
        <a:xfrm>
          <a:off x="4857749" y="1570125"/>
          <a:ext cx="463961" cy="26966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9DC2B9C7-31D8-40CF-BF93-95B433359528}" type="TxLink">
            <a:rPr lang="en-US" sz="1200" b="1" i="1" u="none" strike="noStrike">
              <a:solidFill>
                <a:schemeClr val="accent6">
                  <a:lumMod val="50000"/>
                </a:schemeClr>
              </a:solidFill>
              <a:latin typeface="+mn-lt"/>
              <a:cs typeface="Arial"/>
            </a:rPr>
            <a:pPr algn="ctr"/>
            <a:t>44%</a:t>
          </a:fld>
          <a:endParaRPr lang="en-US" sz="1200" b="1" i="1">
            <a:solidFill>
              <a:schemeClr val="accent6">
                <a:lumMod val="50000"/>
              </a:schemeClr>
            </a:solidFill>
            <a:latin typeface="+mn-lt"/>
          </a:endParaRPr>
        </a:p>
      </xdr:txBody>
    </xdr:sp>
    <xdr:clientData/>
  </xdr:twoCellAnchor>
  <xdr:twoCellAnchor>
    <xdr:from>
      <xdr:col>24</xdr:col>
      <xdr:colOff>289515</xdr:colOff>
      <xdr:row>2</xdr:row>
      <xdr:rowOff>35565</xdr:rowOff>
    </xdr:from>
    <xdr:to>
      <xdr:col>25</xdr:col>
      <xdr:colOff>37791</xdr:colOff>
      <xdr:row>4</xdr:row>
      <xdr:rowOff>99335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4104A0E1-217D-499A-A939-76A34119F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prstClr val="black"/>
            <a:srgbClr val="92D05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77383" y="371741"/>
          <a:ext cx="364599" cy="399947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</xdr:pic>
    <xdr:clientData/>
  </xdr:twoCellAnchor>
  <xdr:twoCellAnchor>
    <xdr:from>
      <xdr:col>11</xdr:col>
      <xdr:colOff>336703</xdr:colOff>
      <xdr:row>15</xdr:row>
      <xdr:rowOff>84081</xdr:rowOff>
    </xdr:from>
    <xdr:to>
      <xdr:col>15</xdr:col>
      <xdr:colOff>439913</xdr:colOff>
      <xdr:row>37</xdr:row>
      <xdr:rowOff>41414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7D429947-0C74-6D33-06DF-7F2751450455}"/>
            </a:ext>
          </a:extLst>
        </xdr:cNvPr>
        <xdr:cNvGrpSpPr/>
      </xdr:nvGrpSpPr>
      <xdr:grpSpPr>
        <a:xfrm>
          <a:off x="7116262" y="2605405"/>
          <a:ext cx="2764607" cy="3655274"/>
          <a:chOff x="7033638" y="2596472"/>
          <a:chExt cx="2739841" cy="3601680"/>
        </a:xfrm>
      </xdr:grpSpPr>
      <xdr:grpSp>
        <xdr:nvGrpSpPr>
          <xdr:cNvPr id="15" name="Group 14">
            <a:extLst>
              <a:ext uri="{FF2B5EF4-FFF2-40B4-BE49-F238E27FC236}">
                <a16:creationId xmlns:a16="http://schemas.microsoft.com/office/drawing/2014/main" id="{7B1256C2-29DC-C5A9-9153-134E879EF262}"/>
              </a:ext>
            </a:extLst>
          </xdr:cNvPr>
          <xdr:cNvGrpSpPr/>
        </xdr:nvGrpSpPr>
        <xdr:grpSpPr>
          <a:xfrm>
            <a:off x="7033638" y="2596472"/>
            <a:ext cx="2739841" cy="3601680"/>
            <a:chOff x="6992225" y="2527451"/>
            <a:chExt cx="2739841" cy="3530644"/>
          </a:xfrm>
        </xdr:grpSpPr>
        <xdr:sp macro="" textlink="">
          <xdr:nvSpPr>
            <xdr:cNvPr id="73" name="Rectangle: Rounded Corners 72">
              <a:extLst>
                <a:ext uri="{FF2B5EF4-FFF2-40B4-BE49-F238E27FC236}">
                  <a16:creationId xmlns:a16="http://schemas.microsoft.com/office/drawing/2014/main" id="{447F540B-50B3-E13B-2760-156409F6205A}"/>
                </a:ext>
              </a:extLst>
            </xdr:cNvPr>
            <xdr:cNvSpPr/>
          </xdr:nvSpPr>
          <xdr:spPr>
            <a:xfrm>
              <a:off x="6992225" y="2527451"/>
              <a:ext cx="2739841" cy="3530644"/>
            </a:xfrm>
            <a:prstGeom prst="roundRect">
              <a:avLst/>
            </a:prstGeom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>
              <a:outerShdw blurRad="279400" dist="50800" dir="2700000" algn="tl" rotWithShape="0">
                <a:prstClr val="black">
                  <a:alpha val="16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74" name="TextBox 73">
              <a:extLst>
                <a:ext uri="{FF2B5EF4-FFF2-40B4-BE49-F238E27FC236}">
                  <a16:creationId xmlns:a16="http://schemas.microsoft.com/office/drawing/2014/main" id="{81858CDB-218D-C11B-E10F-66A44F17E9E7}"/>
                </a:ext>
              </a:extLst>
            </xdr:cNvPr>
            <xdr:cNvSpPr txBox="1"/>
          </xdr:nvSpPr>
          <xdr:spPr>
            <a:xfrm>
              <a:off x="7579208" y="2778007"/>
              <a:ext cx="1320432" cy="387820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GB" sz="1200" b="1" i="1">
                  <a:solidFill>
                    <a:srgbClr val="FF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Deduction</a:t>
              </a:r>
            </a:p>
          </xdr:txBody>
        </xdr:sp>
        <xdr:pic>
          <xdr:nvPicPr>
            <xdr:cNvPr id="99" name="Picture 98">
              <a:extLst>
                <a:ext uri="{FF2B5EF4-FFF2-40B4-BE49-F238E27FC236}">
                  <a16:creationId xmlns:a16="http://schemas.microsoft.com/office/drawing/2014/main" id="{62BA2CD0-764B-4C58-99FC-C30EAACDCAE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  <a:duotone>
                <a:prstClr val="black"/>
                <a:srgbClr val="92D050">
                  <a:tint val="45000"/>
                  <a:satMod val="400000"/>
                </a:srgbClr>
              </a:duotone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7225166" y="2681219"/>
              <a:ext cx="364880" cy="404420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</xdr:pic>
        <xdr:grpSp>
          <xdr:nvGrpSpPr>
            <xdr:cNvPr id="13" name="Group 12">
              <a:extLst>
                <a:ext uri="{FF2B5EF4-FFF2-40B4-BE49-F238E27FC236}">
                  <a16:creationId xmlns:a16="http://schemas.microsoft.com/office/drawing/2014/main" id="{DCE4578C-D88F-69D7-FE13-11F75BB07D1A}"/>
                </a:ext>
              </a:extLst>
            </xdr:cNvPr>
            <xdr:cNvGrpSpPr/>
          </xdr:nvGrpSpPr>
          <xdr:grpSpPr>
            <a:xfrm>
              <a:off x="7081629" y="3138011"/>
              <a:ext cx="2644179" cy="1109615"/>
              <a:chOff x="6971194" y="3124207"/>
              <a:chExt cx="2644179" cy="1109615"/>
            </a:xfrm>
          </xdr:grpSpPr>
          <xdr:grpSp>
            <xdr:nvGrpSpPr>
              <xdr:cNvPr id="2" name="Group 1">
                <a:extLst>
                  <a:ext uri="{FF2B5EF4-FFF2-40B4-BE49-F238E27FC236}">
                    <a16:creationId xmlns:a16="http://schemas.microsoft.com/office/drawing/2014/main" id="{B37A73AA-BE59-337E-DBCE-72B64C384B0E}"/>
                  </a:ext>
                </a:extLst>
              </xdr:cNvPr>
              <xdr:cNvGrpSpPr/>
            </xdr:nvGrpSpPr>
            <xdr:grpSpPr>
              <a:xfrm>
                <a:off x="6985000" y="3124207"/>
                <a:ext cx="2630373" cy="383725"/>
                <a:chOff x="6995777" y="3073710"/>
                <a:chExt cx="2639234" cy="375308"/>
              </a:xfrm>
            </xdr:grpSpPr>
            <xdr:sp macro="" textlink="'Pivot tables'!BE44">
              <xdr:nvSpPr>
                <xdr:cNvPr id="89" name="TextBox 88">
                  <a:extLst>
                    <a:ext uri="{FF2B5EF4-FFF2-40B4-BE49-F238E27FC236}">
                      <a16:creationId xmlns:a16="http://schemas.microsoft.com/office/drawing/2014/main" id="{47EB0E3F-5334-E0DF-629F-6AC4ECDFA38F}"/>
                    </a:ext>
                  </a:extLst>
                </xdr:cNvPr>
                <xdr:cNvSpPr txBox="1"/>
              </xdr:nvSpPr>
              <xdr:spPr>
                <a:xfrm>
                  <a:off x="6995777" y="3073710"/>
                  <a:ext cx="1592622" cy="375308"/>
                </a:xfrm>
                <a:prstGeom prst="rect">
                  <a:avLst/>
                </a:prstGeom>
                <a:solidFill>
                  <a:schemeClr val="accent4">
                    <a:lumMod val="20000"/>
                    <a:lumOff val="80000"/>
                  </a:schemeClr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algn="ctr"/>
                  <a:fld id="{25C5462A-5596-4CCF-8F95-ABE251345622}" type="TxLink">
                    <a:rPr lang="en-US" sz="1200" b="1" i="1" u="none" strike="noStrike">
                      <a:solidFill>
                        <a:srgbClr val="000000"/>
                      </a:solidFill>
                      <a:latin typeface="Arial"/>
                      <a:cs typeface="Arial"/>
                    </a:rPr>
                    <a:pPr algn="ctr"/>
                    <a:t>1,426,897,930</a:t>
                  </a:fld>
                  <a:endParaRPr lang="en-GB" sz="1200" b="1" i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endParaRPr>
                </a:p>
              </xdr:txBody>
            </xdr:sp>
            <xdr:sp macro="" textlink="">
              <xdr:nvSpPr>
                <xdr:cNvPr id="92" name="TextBox 91">
                  <a:extLst>
                    <a:ext uri="{FF2B5EF4-FFF2-40B4-BE49-F238E27FC236}">
                      <a16:creationId xmlns:a16="http://schemas.microsoft.com/office/drawing/2014/main" id="{DC034931-3004-1904-5F1E-73D6958C8324}"/>
                    </a:ext>
                  </a:extLst>
                </xdr:cNvPr>
                <xdr:cNvSpPr txBox="1"/>
              </xdr:nvSpPr>
              <xdr:spPr>
                <a:xfrm>
                  <a:off x="8304539" y="3073710"/>
                  <a:ext cx="1330472" cy="375308"/>
                </a:xfrm>
                <a:prstGeom prst="rect">
                  <a:avLst/>
                </a:prstGeom>
                <a:solidFill>
                  <a:schemeClr val="accent4">
                    <a:lumMod val="20000"/>
                    <a:lumOff val="80000"/>
                  </a:schemeClr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algn="ctr"/>
                  <a:r>
                    <a:rPr lang="en-GB" sz="1200" b="1" i="1">
                      <a:solidFill>
                        <a:schemeClr val="accent6">
                          <a:lumMod val="50000"/>
                        </a:schemeClr>
                      </a:solidFill>
                      <a:latin typeface="Arial" panose="020B0604020202020204" pitchFamily="34" charset="0"/>
                      <a:cs typeface="Arial" panose="020B0604020202020204" pitchFamily="34" charset="0"/>
                    </a:rPr>
                    <a:t>Total</a:t>
                  </a:r>
                </a:p>
              </xdr:txBody>
            </xdr:sp>
          </xdr:grpSp>
          <xdr:grpSp>
            <xdr:nvGrpSpPr>
              <xdr:cNvPr id="108" name="Group 107">
                <a:extLst>
                  <a:ext uri="{FF2B5EF4-FFF2-40B4-BE49-F238E27FC236}">
                    <a16:creationId xmlns:a16="http://schemas.microsoft.com/office/drawing/2014/main" id="{58E069FE-41A4-A95A-5CEB-59C937C52F3C}"/>
                  </a:ext>
                </a:extLst>
              </xdr:cNvPr>
              <xdr:cNvGrpSpPr/>
            </xdr:nvGrpSpPr>
            <xdr:grpSpPr>
              <a:xfrm>
                <a:off x="6985000" y="3370772"/>
                <a:ext cx="2630373" cy="383725"/>
                <a:chOff x="6995777" y="3073710"/>
                <a:chExt cx="2639234" cy="375308"/>
              </a:xfrm>
            </xdr:grpSpPr>
            <xdr:sp macro="" textlink="'Pivot tables'!BI6">
              <xdr:nvSpPr>
                <xdr:cNvPr id="109" name="TextBox 108">
                  <a:extLst>
                    <a:ext uri="{FF2B5EF4-FFF2-40B4-BE49-F238E27FC236}">
                      <a16:creationId xmlns:a16="http://schemas.microsoft.com/office/drawing/2014/main" id="{2BCCA868-6BBA-E746-E00B-2F9E7ED1A291}"/>
                    </a:ext>
                  </a:extLst>
                </xdr:cNvPr>
                <xdr:cNvSpPr txBox="1"/>
              </xdr:nvSpPr>
              <xdr:spPr>
                <a:xfrm>
                  <a:off x="6995777" y="3073710"/>
                  <a:ext cx="1592622" cy="375308"/>
                </a:xfrm>
                <a:prstGeom prst="rect">
                  <a:avLst/>
                </a:prstGeom>
                <a:solidFill>
                  <a:schemeClr val="accent4">
                    <a:lumMod val="20000"/>
                    <a:lumOff val="80000"/>
                  </a:schemeClr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algn="ctr"/>
                  <a:fld id="{087CECD7-0577-47C0-9ED3-0DDD1EECD965}" type="TxLink">
                    <a:rPr lang="en-US" sz="1200" b="1" i="1" u="none" strike="noStrike">
                      <a:solidFill>
                        <a:srgbClr val="000000"/>
                      </a:solidFill>
                      <a:latin typeface="Arial"/>
                      <a:cs typeface="Arial"/>
                    </a:rPr>
                    <a:pPr algn="ctr"/>
                    <a:t> 349,560 </a:t>
                  </a:fld>
                  <a:endParaRPr lang="en-GB" sz="1200" b="1" i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endParaRPr>
                </a:p>
              </xdr:txBody>
            </xdr:sp>
            <xdr:sp macro="" textlink="">
              <xdr:nvSpPr>
                <xdr:cNvPr id="110" name="TextBox 109">
                  <a:extLst>
                    <a:ext uri="{FF2B5EF4-FFF2-40B4-BE49-F238E27FC236}">
                      <a16:creationId xmlns:a16="http://schemas.microsoft.com/office/drawing/2014/main" id="{56B8E8A6-0385-C763-568C-1A8181DE75DB}"/>
                    </a:ext>
                  </a:extLst>
                </xdr:cNvPr>
                <xdr:cNvSpPr txBox="1"/>
              </xdr:nvSpPr>
              <xdr:spPr>
                <a:xfrm>
                  <a:off x="8304539" y="3073710"/>
                  <a:ext cx="1330472" cy="375308"/>
                </a:xfrm>
                <a:prstGeom prst="rect">
                  <a:avLst/>
                </a:prstGeom>
                <a:solidFill>
                  <a:schemeClr val="accent4">
                    <a:lumMod val="20000"/>
                    <a:lumOff val="80000"/>
                  </a:schemeClr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algn="ctr"/>
                  <a:r>
                    <a:rPr lang="en-GB" sz="1200" b="1" i="1">
                      <a:solidFill>
                        <a:schemeClr val="accent6">
                          <a:lumMod val="50000"/>
                        </a:schemeClr>
                      </a:solidFill>
                      <a:latin typeface="Arial" panose="020B0604020202020204" pitchFamily="34" charset="0"/>
                      <a:cs typeface="Arial" panose="020B0604020202020204" pitchFamily="34" charset="0"/>
                    </a:rPr>
                    <a:t>Minimum</a:t>
                  </a:r>
                </a:p>
              </xdr:txBody>
            </xdr:sp>
          </xdr:grpSp>
          <xdr:grpSp>
            <xdr:nvGrpSpPr>
              <xdr:cNvPr id="111" name="Group 110">
                <a:extLst>
                  <a:ext uri="{FF2B5EF4-FFF2-40B4-BE49-F238E27FC236}">
                    <a16:creationId xmlns:a16="http://schemas.microsoft.com/office/drawing/2014/main" id="{C65ED462-495D-EE0A-6135-F04C0FD17E9E}"/>
                  </a:ext>
                </a:extLst>
              </xdr:cNvPr>
              <xdr:cNvGrpSpPr/>
            </xdr:nvGrpSpPr>
            <xdr:grpSpPr>
              <a:xfrm>
                <a:off x="6971194" y="3617337"/>
                <a:ext cx="2644177" cy="376822"/>
                <a:chOff x="6981926" y="3073710"/>
                <a:chExt cx="2653085" cy="375308"/>
              </a:xfrm>
            </xdr:grpSpPr>
            <xdr:sp macro="" textlink="'Pivot tables'!BI7">
              <xdr:nvSpPr>
                <xdr:cNvPr id="112" name="TextBox 111">
                  <a:extLst>
                    <a:ext uri="{FF2B5EF4-FFF2-40B4-BE49-F238E27FC236}">
                      <a16:creationId xmlns:a16="http://schemas.microsoft.com/office/drawing/2014/main" id="{6E0E0B19-00DE-B966-5B82-460EDE063BA6}"/>
                    </a:ext>
                  </a:extLst>
                </xdr:cNvPr>
                <xdr:cNvSpPr txBox="1"/>
              </xdr:nvSpPr>
              <xdr:spPr>
                <a:xfrm>
                  <a:off x="6981926" y="3073710"/>
                  <a:ext cx="1592622" cy="375308"/>
                </a:xfrm>
                <a:prstGeom prst="rect">
                  <a:avLst/>
                </a:prstGeom>
                <a:solidFill>
                  <a:schemeClr val="accent4">
                    <a:lumMod val="20000"/>
                    <a:lumOff val="80000"/>
                  </a:schemeClr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algn="ctr"/>
                  <a:fld id="{48FAD642-6F90-4143-9E58-4F439DA1223F}" type="TxLink">
                    <a:rPr lang="en-US" sz="1200" b="1" i="1" u="none" strike="noStrike">
                      <a:solidFill>
                        <a:srgbClr val="000000"/>
                      </a:solidFill>
                      <a:latin typeface="Arial"/>
                      <a:cs typeface="Arial"/>
                    </a:rPr>
                    <a:pPr algn="ctr"/>
                    <a:t> 38,564,809 </a:t>
                  </a:fld>
                  <a:endParaRPr lang="en-GB" sz="1200" b="1" i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endParaRPr>
                </a:p>
              </xdr:txBody>
            </xdr:sp>
            <xdr:sp macro="" textlink="">
              <xdr:nvSpPr>
                <xdr:cNvPr id="113" name="TextBox 112">
                  <a:extLst>
                    <a:ext uri="{FF2B5EF4-FFF2-40B4-BE49-F238E27FC236}">
                      <a16:creationId xmlns:a16="http://schemas.microsoft.com/office/drawing/2014/main" id="{112FDC49-1B88-5384-5626-F32E54B265CB}"/>
                    </a:ext>
                  </a:extLst>
                </xdr:cNvPr>
                <xdr:cNvSpPr txBox="1"/>
              </xdr:nvSpPr>
              <xdr:spPr>
                <a:xfrm>
                  <a:off x="8304539" y="3073710"/>
                  <a:ext cx="1330472" cy="375308"/>
                </a:xfrm>
                <a:prstGeom prst="rect">
                  <a:avLst/>
                </a:prstGeom>
                <a:solidFill>
                  <a:schemeClr val="accent4">
                    <a:lumMod val="20000"/>
                    <a:lumOff val="80000"/>
                  </a:schemeClr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algn="ctr"/>
                  <a:r>
                    <a:rPr lang="en-GB" sz="1200" b="1" i="1">
                      <a:solidFill>
                        <a:schemeClr val="accent6">
                          <a:lumMod val="50000"/>
                        </a:schemeClr>
                      </a:solidFill>
                      <a:latin typeface="Arial" panose="020B0604020202020204" pitchFamily="34" charset="0"/>
                      <a:cs typeface="Arial" panose="020B0604020202020204" pitchFamily="34" charset="0"/>
                    </a:rPr>
                    <a:t>Average</a:t>
                  </a:r>
                </a:p>
              </xdr:txBody>
            </xdr:sp>
          </xdr:grpSp>
          <xdr:grpSp>
            <xdr:nvGrpSpPr>
              <xdr:cNvPr id="114" name="Group 113">
                <a:extLst>
                  <a:ext uri="{FF2B5EF4-FFF2-40B4-BE49-F238E27FC236}">
                    <a16:creationId xmlns:a16="http://schemas.microsoft.com/office/drawing/2014/main" id="{30BA96F3-5939-FC8E-9473-D3AB586F5ECB}"/>
                  </a:ext>
                </a:extLst>
              </xdr:cNvPr>
              <xdr:cNvGrpSpPr/>
            </xdr:nvGrpSpPr>
            <xdr:grpSpPr>
              <a:xfrm>
                <a:off x="6985000" y="3857000"/>
                <a:ext cx="2630373" cy="376822"/>
                <a:chOff x="6995777" y="3073710"/>
                <a:chExt cx="2639234" cy="375308"/>
              </a:xfrm>
            </xdr:grpSpPr>
            <xdr:sp macro="" textlink="'Pivot tables'!BI8">
              <xdr:nvSpPr>
                <xdr:cNvPr id="115" name="TextBox 114">
                  <a:extLst>
                    <a:ext uri="{FF2B5EF4-FFF2-40B4-BE49-F238E27FC236}">
                      <a16:creationId xmlns:a16="http://schemas.microsoft.com/office/drawing/2014/main" id="{98564874-34B5-77D3-6D5C-388744A8379C}"/>
                    </a:ext>
                  </a:extLst>
                </xdr:cNvPr>
                <xdr:cNvSpPr txBox="1"/>
              </xdr:nvSpPr>
              <xdr:spPr>
                <a:xfrm>
                  <a:off x="6995777" y="3073710"/>
                  <a:ext cx="1592622" cy="375308"/>
                </a:xfrm>
                <a:prstGeom prst="rect">
                  <a:avLst/>
                </a:prstGeom>
                <a:solidFill>
                  <a:schemeClr val="accent4">
                    <a:lumMod val="20000"/>
                    <a:lumOff val="80000"/>
                  </a:schemeClr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algn="ctr"/>
                  <a:fld id="{C10AC4FE-9A5C-4853-8569-095153C2CBBB}" type="TxLink">
                    <a:rPr lang="en-US" sz="1200" b="1" i="1" u="none" strike="noStrike">
                      <a:solidFill>
                        <a:srgbClr val="000000"/>
                      </a:solidFill>
                      <a:latin typeface="Arial"/>
                      <a:cs typeface="Arial"/>
                    </a:rPr>
                    <a:pPr algn="ctr"/>
                    <a:t> 515,227,884 </a:t>
                  </a:fld>
                  <a:endParaRPr lang="en-GB" sz="1200" b="1" i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endParaRPr>
                </a:p>
              </xdr:txBody>
            </xdr:sp>
            <xdr:sp macro="" textlink="">
              <xdr:nvSpPr>
                <xdr:cNvPr id="116" name="TextBox 115">
                  <a:extLst>
                    <a:ext uri="{FF2B5EF4-FFF2-40B4-BE49-F238E27FC236}">
                      <a16:creationId xmlns:a16="http://schemas.microsoft.com/office/drawing/2014/main" id="{512233CD-DFBC-3C9F-F334-18EB0AE900ED}"/>
                    </a:ext>
                  </a:extLst>
                </xdr:cNvPr>
                <xdr:cNvSpPr txBox="1"/>
              </xdr:nvSpPr>
              <xdr:spPr>
                <a:xfrm>
                  <a:off x="8304539" y="3073710"/>
                  <a:ext cx="1330472" cy="375308"/>
                </a:xfrm>
                <a:prstGeom prst="rect">
                  <a:avLst/>
                </a:prstGeom>
                <a:solidFill>
                  <a:schemeClr val="accent4">
                    <a:lumMod val="20000"/>
                    <a:lumOff val="80000"/>
                  </a:schemeClr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algn="ctr"/>
                  <a:r>
                    <a:rPr lang="en-GB" sz="1200" b="1" i="1">
                      <a:solidFill>
                        <a:schemeClr val="accent6">
                          <a:lumMod val="50000"/>
                        </a:schemeClr>
                      </a:solidFill>
                      <a:latin typeface="Arial" panose="020B0604020202020204" pitchFamily="34" charset="0"/>
                      <a:cs typeface="Arial" panose="020B0604020202020204" pitchFamily="34" charset="0"/>
                    </a:rPr>
                    <a:t>Maximum</a:t>
                  </a:r>
                </a:p>
              </xdr:txBody>
            </xdr:sp>
          </xdr:grpSp>
        </xdr:grpSp>
      </xdr:grpSp>
      <xdr:graphicFrame macro="">
        <xdr:nvGraphicFramePr>
          <xdr:cNvPr id="117" name="Chart 116">
            <a:extLst>
              <a:ext uri="{FF2B5EF4-FFF2-40B4-BE49-F238E27FC236}">
                <a16:creationId xmlns:a16="http://schemas.microsoft.com/office/drawing/2014/main" id="{33C56C65-4773-487B-9009-BD2FE43EED0E}"/>
              </a:ext>
            </a:extLst>
          </xdr:cNvPr>
          <xdr:cNvGraphicFramePr>
            <a:graphicFrameLocks/>
          </xdr:cNvGraphicFramePr>
        </xdr:nvGraphicFramePr>
        <xdr:xfrm>
          <a:off x="7136848" y="4334565"/>
          <a:ext cx="2540000" cy="153899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  <xdr:twoCellAnchor>
    <xdr:from>
      <xdr:col>23</xdr:col>
      <xdr:colOff>0</xdr:colOff>
      <xdr:row>15</xdr:row>
      <xdr:rowOff>84045</xdr:rowOff>
    </xdr:from>
    <xdr:to>
      <xdr:col>28</xdr:col>
      <xdr:colOff>387074</xdr:colOff>
      <xdr:row>37</xdr:row>
      <xdr:rowOff>14358</xdr:rowOff>
    </xdr:to>
    <xdr:grpSp>
      <xdr:nvGrpSpPr>
        <xdr:cNvPr id="103" name="Group 102">
          <a:extLst>
            <a:ext uri="{FF2B5EF4-FFF2-40B4-BE49-F238E27FC236}">
              <a16:creationId xmlns:a16="http://schemas.microsoft.com/office/drawing/2014/main" id="{A5C4A004-D0D6-6EAF-8E15-C34E7D65448D}"/>
            </a:ext>
          </a:extLst>
        </xdr:cNvPr>
        <xdr:cNvGrpSpPr/>
      </xdr:nvGrpSpPr>
      <xdr:grpSpPr>
        <a:xfrm>
          <a:off x="14371544" y="2605369"/>
          <a:ext cx="3468692" cy="3628254"/>
          <a:chOff x="163606" y="2263587"/>
          <a:chExt cx="4792957" cy="3339353"/>
        </a:xfrm>
        <a:solidFill>
          <a:schemeClr val="accent4">
            <a:lumMod val="20000"/>
            <a:lumOff val="80000"/>
          </a:schemeClr>
        </a:solidFill>
      </xdr:grpSpPr>
      <xdr:sp macro="" textlink="">
        <xdr:nvSpPr>
          <xdr:cNvPr id="104" name="Rectangle: Rounded Corners 103">
            <a:extLst>
              <a:ext uri="{FF2B5EF4-FFF2-40B4-BE49-F238E27FC236}">
                <a16:creationId xmlns:a16="http://schemas.microsoft.com/office/drawing/2014/main" id="{794266CC-3F15-F45E-B0CA-FDC0DA5B6FF7}"/>
              </a:ext>
            </a:extLst>
          </xdr:cNvPr>
          <xdr:cNvSpPr/>
        </xdr:nvSpPr>
        <xdr:spPr>
          <a:xfrm>
            <a:off x="163606" y="2263587"/>
            <a:ext cx="4792957" cy="3339353"/>
          </a:xfrm>
          <a:prstGeom prst="roundRect">
            <a:avLst/>
          </a:prstGeom>
          <a:grpFill/>
          <a:ln>
            <a:noFill/>
          </a:ln>
          <a:effectLst>
            <a:outerShdw blurRad="279400" dist="50800" dir="2700000" algn="tl" rotWithShape="0">
              <a:prstClr val="black">
                <a:alpha val="16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/>
              <a:t>VVV</a:t>
            </a:r>
          </a:p>
        </xdr:txBody>
      </xdr:sp>
      <xdr:sp macro="" textlink="">
        <xdr:nvSpPr>
          <xdr:cNvPr id="118" name="TextBox 117">
            <a:extLst>
              <a:ext uri="{FF2B5EF4-FFF2-40B4-BE49-F238E27FC236}">
                <a16:creationId xmlns:a16="http://schemas.microsoft.com/office/drawing/2014/main" id="{3ABFDB1B-667E-0F0C-C04E-0326D19702B6}"/>
              </a:ext>
            </a:extLst>
          </xdr:cNvPr>
          <xdr:cNvSpPr txBox="1"/>
        </xdr:nvSpPr>
        <xdr:spPr>
          <a:xfrm>
            <a:off x="1413210" y="2450102"/>
            <a:ext cx="3005463" cy="509877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GB" sz="1200" b="1" i="1" baseline="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Excess Bank Charges to  Southern States</a:t>
            </a:r>
            <a:endParaRPr lang="en-GB" sz="1200" b="1" i="1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15</xdr:col>
      <xdr:colOff>555347</xdr:colOff>
      <xdr:row>15</xdr:row>
      <xdr:rowOff>56029</xdr:rowOff>
    </xdr:from>
    <xdr:to>
      <xdr:col>22</xdr:col>
      <xdr:colOff>500888</xdr:colOff>
      <xdr:row>36</xdr:row>
      <xdr:rowOff>151848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F5516D09-BC76-D2E4-9797-F854FF94998A}"/>
            </a:ext>
          </a:extLst>
        </xdr:cNvPr>
        <xdr:cNvGrpSpPr/>
      </xdr:nvGrpSpPr>
      <xdr:grpSpPr>
        <a:xfrm>
          <a:off x="9996303" y="2577353"/>
          <a:ext cx="4259806" cy="3625671"/>
          <a:chOff x="9905135" y="2563269"/>
          <a:chExt cx="4197280" cy="3552057"/>
        </a:xfrm>
      </xdr:grpSpPr>
      <xdr:grpSp>
        <xdr:nvGrpSpPr>
          <xdr:cNvPr id="75" name="Group 74">
            <a:extLst>
              <a:ext uri="{FF2B5EF4-FFF2-40B4-BE49-F238E27FC236}">
                <a16:creationId xmlns:a16="http://schemas.microsoft.com/office/drawing/2014/main" id="{3FD70E04-23E0-0C5C-888C-72CA63CB77C4}"/>
              </a:ext>
            </a:extLst>
          </xdr:cNvPr>
          <xdr:cNvGrpSpPr/>
        </xdr:nvGrpSpPr>
        <xdr:grpSpPr>
          <a:xfrm>
            <a:off x="9987962" y="2563269"/>
            <a:ext cx="3982038" cy="3552057"/>
            <a:chOff x="163606" y="2263587"/>
            <a:chExt cx="4792957" cy="3339353"/>
          </a:xfrm>
          <a:solidFill>
            <a:schemeClr val="accent4">
              <a:lumMod val="20000"/>
              <a:lumOff val="80000"/>
            </a:schemeClr>
          </a:solidFill>
        </xdr:grpSpPr>
        <xdr:sp macro="" textlink="">
          <xdr:nvSpPr>
            <xdr:cNvPr id="76" name="Rectangle: Rounded Corners 75">
              <a:extLst>
                <a:ext uri="{FF2B5EF4-FFF2-40B4-BE49-F238E27FC236}">
                  <a16:creationId xmlns:a16="http://schemas.microsoft.com/office/drawing/2014/main" id="{F97CA553-7432-82E2-FF93-6EF11D534D3A}"/>
                </a:ext>
              </a:extLst>
            </xdr:cNvPr>
            <xdr:cNvSpPr/>
          </xdr:nvSpPr>
          <xdr:spPr>
            <a:xfrm>
              <a:off x="163606" y="2263587"/>
              <a:ext cx="4792957" cy="3339353"/>
            </a:xfrm>
            <a:prstGeom prst="roundRect">
              <a:avLst/>
            </a:prstGeom>
            <a:grpFill/>
            <a:ln>
              <a:noFill/>
            </a:ln>
            <a:effectLst>
              <a:outerShdw blurRad="279400" dist="50800" dir="2700000" algn="tl" rotWithShape="0">
                <a:prstClr val="black">
                  <a:alpha val="16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5507CC66-A5E8-DC25-7B7B-D66EBD20C804}"/>
                </a:ext>
              </a:extLst>
            </xdr:cNvPr>
            <xdr:cNvSpPr txBox="1"/>
          </xdr:nvSpPr>
          <xdr:spPr>
            <a:xfrm>
              <a:off x="977508" y="2540736"/>
              <a:ext cx="2908344" cy="388756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GB" sz="1200" b="1" i="1">
                  <a:solidFill>
                    <a:srgbClr val="FF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V.A.T to Southern</a:t>
              </a:r>
              <a:r>
                <a:rPr lang="en-GB" sz="1200" b="1" i="1" baseline="0">
                  <a:solidFill>
                    <a:srgbClr val="FF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 States</a:t>
              </a:r>
              <a:endParaRPr lang="en-GB" sz="1200" b="1" i="1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119" name="Group 118">
            <a:extLst>
              <a:ext uri="{FF2B5EF4-FFF2-40B4-BE49-F238E27FC236}">
                <a16:creationId xmlns:a16="http://schemas.microsoft.com/office/drawing/2014/main" id="{4620399D-EAD0-47BB-9FF2-BE49CF087D2A}"/>
              </a:ext>
            </a:extLst>
          </xdr:cNvPr>
          <xdr:cNvGrpSpPr/>
        </xdr:nvGrpSpPr>
        <xdr:grpSpPr>
          <a:xfrm>
            <a:off x="9905135" y="3212073"/>
            <a:ext cx="4197280" cy="2836565"/>
            <a:chOff x="54659755" y="1894380"/>
            <a:chExt cx="4197280" cy="2836565"/>
          </a:xfrm>
        </xdr:grpSpPr>
        <xdr:graphicFrame macro="">
          <xdr:nvGraphicFramePr>
            <xdr:cNvPr id="120" name="Chart 119">
              <a:extLst>
                <a:ext uri="{FF2B5EF4-FFF2-40B4-BE49-F238E27FC236}">
                  <a16:creationId xmlns:a16="http://schemas.microsoft.com/office/drawing/2014/main" id="{2BEAE967-6749-07B2-D3D6-C10F137FB11D}"/>
                </a:ext>
              </a:extLst>
            </xdr:cNvPr>
            <xdr:cNvGraphicFramePr/>
          </xdr:nvGraphicFramePr>
          <xdr:xfrm>
            <a:off x="54659755" y="1894380"/>
            <a:ext cx="4197280" cy="283656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  <xdr:sp macro="" textlink="">
          <xdr:nvSpPr>
            <xdr:cNvPr id="121" name="Oval 120">
              <a:extLst>
                <a:ext uri="{FF2B5EF4-FFF2-40B4-BE49-F238E27FC236}">
                  <a16:creationId xmlns:a16="http://schemas.microsoft.com/office/drawing/2014/main" id="{4A86945C-8423-BC2F-B793-369E4C67D959}"/>
                </a:ext>
              </a:extLst>
            </xdr:cNvPr>
            <xdr:cNvSpPr/>
          </xdr:nvSpPr>
          <xdr:spPr>
            <a:xfrm>
              <a:off x="55635915" y="2620396"/>
              <a:ext cx="1371600" cy="1371600"/>
            </a:xfrm>
            <a:prstGeom prst="ellipse">
              <a:avLst/>
            </a:prstGeom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</xdr:grpSp>
    </xdr:grpSp>
    <xdr:clientData/>
  </xdr:twoCellAnchor>
  <xdr:twoCellAnchor>
    <xdr:from>
      <xdr:col>16</xdr:col>
      <xdr:colOff>439630</xdr:colOff>
      <xdr:row>16</xdr:row>
      <xdr:rowOff>145563</xdr:rowOff>
    </xdr:from>
    <xdr:to>
      <xdr:col>17</xdr:col>
      <xdr:colOff>199855</xdr:colOff>
      <xdr:row>19</xdr:row>
      <xdr:rowOff>63404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ACDD8A34-2C3D-4AFB-BD3C-A0B833AEDE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prstClr val="black"/>
            <a:srgbClr val="92D05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13433" y="2721338"/>
          <a:ext cx="363922" cy="400798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</xdr:pic>
    <xdr:clientData/>
  </xdr:twoCellAnchor>
  <xdr:twoCellAnchor>
    <xdr:from>
      <xdr:col>23</xdr:col>
      <xdr:colOff>321972</xdr:colOff>
      <xdr:row>17</xdr:row>
      <xdr:rowOff>13415</xdr:rowOff>
    </xdr:from>
    <xdr:to>
      <xdr:col>24</xdr:col>
      <xdr:colOff>82197</xdr:colOff>
      <xdr:row>19</xdr:row>
      <xdr:rowOff>92242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A1929604-571C-4A71-9CA4-FA955AFEA6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prstClr val="black"/>
            <a:srgbClr val="92D05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21655" y="2750176"/>
          <a:ext cx="363922" cy="400798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</xdr:pic>
    <xdr:clientData/>
  </xdr:twoCellAnchor>
  <xdr:twoCellAnchor>
    <xdr:from>
      <xdr:col>23</xdr:col>
      <xdr:colOff>398318</xdr:colOff>
      <xdr:row>18</xdr:row>
      <xdr:rowOff>122903</xdr:rowOff>
    </xdr:from>
    <xdr:to>
      <xdr:col>28</xdr:col>
      <xdr:colOff>34636</xdr:colOff>
      <xdr:row>37</xdr:row>
      <xdr:rowOff>15362</xdr:rowOff>
    </xdr:to>
    <xdr:graphicFrame macro="">
      <xdr:nvGraphicFramePr>
        <xdr:cNvPr id="126" name="Chart 125">
          <a:extLst>
            <a:ext uri="{FF2B5EF4-FFF2-40B4-BE49-F238E27FC236}">
              <a16:creationId xmlns:a16="http://schemas.microsoft.com/office/drawing/2014/main" id="{F22F9851-B6AF-427D-B176-5663BD4A2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yanuloluwa Osuolale" refreshedDate="44613.830500462966" createdVersion="7" refreshedVersion="7" minRefreshableVersion="3" recordCount="38" xr:uid="{644A4EBD-C5CB-419E-801C-02C81DFF3470}">
  <cacheSource type="worksheet">
    <worksheetSource name="Table3"/>
  </cacheSource>
  <cacheFields count="10">
    <cacheField name="S/n" numFmtId="0">
      <sharedItems containsString="0" containsBlank="1" containsNumber="1" containsInteger="1" minValue="1" maxValue="37"/>
    </cacheField>
    <cacheField name="State" numFmtId="0">
      <sharedItems containsBlank="1" count="38">
        <m/>
        <s v="ABIA"/>
        <s v="ADAMAWA"/>
        <s v="AKWA IBOM"/>
        <s v="ANAMBRA"/>
        <s v="BAUCHI"/>
        <s v="BAYELSA"/>
        <s v="BENUE"/>
        <s v="BORNO"/>
        <s v="CROSS RIVER"/>
        <s v="DELTA"/>
        <s v="EBONYI"/>
        <s v="EDO"/>
        <s v="EKITI"/>
        <s v="ENUGU"/>
        <s v="GOMBE"/>
        <s v="IMO"/>
        <s v="JIGAWA"/>
        <s v="KADUNA"/>
        <s v="KANO"/>
        <s v="KATSINA"/>
        <s v="KEBBI"/>
        <s v="KOGI"/>
        <s v="KWARA"/>
        <s v="LAGOS"/>
        <s v="NASSARAWA"/>
        <s v="NIGER"/>
        <s v="OGUN"/>
        <s v="ONDO"/>
        <s v="OSUN"/>
        <s v="OYO"/>
        <s v="PLATEAU"/>
        <s v="RIVERS"/>
        <s v="SOKOTO"/>
        <s v="TARABA"/>
        <s v="YOBE"/>
        <s v="ZAMFARA"/>
        <s v="FCT-ABUJA"/>
      </sharedItems>
    </cacheField>
    <cacheField name="Zone" numFmtId="0">
      <sharedItems containsBlank="1" count="3">
        <m/>
        <s v="SOUTH"/>
        <s v="NORTH"/>
      </sharedItems>
    </cacheField>
    <cacheField name="Gross Statutory Allocation" numFmtId="0">
      <sharedItems containsMixedTypes="1" containsNumber="1" minValue="799822382.2500999" maxValue="5030752823.9502993" count="38">
        <s v="₦"/>
        <n v="1827103489.2199001"/>
        <n v="2304628819.5699997"/>
        <n v="3069630161.3399"/>
        <n v="2317083278.0500998"/>
        <n v="2630348042.48"/>
        <n v="1070647932.79"/>
        <n v="2862225765.8499999"/>
        <n v="3107519441.0599999"/>
        <n v="2003319909.5098999"/>
        <n v="2566967143.96"/>
        <n v="1481926960.3715999"/>
        <n v="1964077306.1900001"/>
        <n v="1559548607.0999999"/>
        <n v="1995531743.0299001"/>
        <n v="1367339744.0599"/>
        <n v="2674456437.9899001"/>
        <n v="2809768296.6898999"/>
        <n v="3159850506.6998997"/>
        <n v="5030752823.9502993"/>
        <n v="3829997755.4898005"/>
        <n v="2417139692.3600998"/>
        <n v="2498290923.9500999"/>
        <n v="1767802511.9799001"/>
        <n v="3011444840.5001998"/>
        <n v="1577184529.1799998"/>
        <n v="2919246904.02"/>
        <n v="2082580186.3899"/>
        <n v="1988995810.4402001"/>
        <n v="2694145113.4599004"/>
        <n v="3398453851.7498002"/>
        <n v="2130375219.9902"/>
        <n v="2640718186.5703001"/>
        <n v="2659611933.5001001"/>
        <n v="1993388042.0599999"/>
        <n v="2004176980.9700999"/>
        <n v="1810907877.8101001"/>
        <n v="799822382.2500999"/>
      </sharedItems>
    </cacheField>
    <cacheField name="Deduction" numFmtId="0">
      <sharedItems containsMixedTypes="1" containsNumber="1" minValue="-515227883.72030002" maxValue="-349559.82010000001"/>
    </cacheField>
    <cacheField name="Exchange Gain" numFmtId="0">
      <sharedItems containsMixedTypes="1" containsNumber="1" minValue="6711370.2719000001" maxValue="42213428.504199997" count="38">
        <s v="₦"/>
        <n v="15331363.9549"/>
        <n v="19338315.220400002"/>
        <n v="25757499.5009"/>
        <n v="19442821.525699999"/>
        <n v="22071449.923700001"/>
        <n v="8983888.0074000005"/>
        <n v="24017153.487300001"/>
        <n v="26075431.3204"/>
        <n v="16810009.3028"/>
        <n v="21539615.997299999"/>
        <n v="12434961.521600001"/>
        <n v="16480721.642000001"/>
        <n v="13086290.646199999"/>
        <n v="16744658.2073"/>
        <n v="11473451.498500001"/>
        <n v="22441566.815699998"/>
        <n v="23576978.885299999"/>
        <n v="26514545.261100002"/>
        <n v="42213428.504199997"/>
        <n v="32137801.653299998"/>
        <n v="20282402.487199999"/>
        <n v="20963348.6263"/>
        <n v="14833764.9573"/>
        <n v="25269262.0601"/>
        <n v="13234275.0065"/>
        <n v="24495622.1822"/>
        <n v="17475088.297600001"/>
        <n v="16689814.700999999"/>
        <n v="22606775.984999999"/>
        <n v="28516684.026299998"/>
        <n v="17876140.049699999"/>
        <n v="22158466.589499999"/>
        <n v="22317005.452599999"/>
        <n v="16726670.2498"/>
        <n v="16817201.0546"/>
        <n v="15195465.351199999"/>
        <n v="6711370.2719000001"/>
      </sharedItems>
    </cacheField>
    <cacheField name="Excess Bank Charges " numFmtId="0">
      <sharedItems containsMixedTypes="1" containsNumber="1" minValue="795781.10849999997" maxValue="5005333.8679" count="38">
        <s v="₦"/>
        <n v="1817871.6576"/>
        <n v="2292984.1893000002"/>
        <n v="3054120.1976999999"/>
        <n v="2305375.7185999998"/>
        <n v="2617057.6457000002"/>
        <n v="1065238.2548"/>
        <n v="2847763.7570000002"/>
        <n v="3091818.0337"/>
        <n v="1993197.7072000001"/>
        <n v="2553996.9929999998"/>
        <n v="1474439.2072000001"/>
        <n v="1954153.3853"/>
        <n v="1551668.6539"/>
        <n v="1985448.8918999999"/>
        <n v="1360430.9674"/>
        <n v="2660943.1735999999"/>
        <n v="2795571.3407000001"/>
        <n v="3143884.6853999998"/>
        <n v="5005333.8679"/>
        <n v="3810645.8719000001"/>
        <n v="2404926.5761000002"/>
        <n v="2485667.7738999999"/>
        <n v="1758870.3112999999"/>
        <n v="2996228.8706"/>
        <n v="1569215.4665000001"/>
        <n v="2904496.784"/>
        <n v="2072057.504"/>
        <n v="1978945.9831000001"/>
        <n v="2680532.3687"/>
        <n v="3381282.4358999999"/>
        <n v="2119611.0432000002"/>
        <n v="2627375.3927000002"/>
        <n v="2646173.6746"/>
        <n v="1983316.0222"/>
        <n v="1994050.4475"/>
        <n v="1801757.8779"/>
        <n v="795781.10849999997"/>
      </sharedItems>
    </cacheField>
    <cacheField name="VAT" numFmtId="0">
      <sharedItems containsMixedTypes="1" containsNumber="1" minValue="638740736.09449995" maxValue="7969073654.5930996" count="38">
        <s v="₦"/>
        <n v="1114482446.5639"/>
        <n v="1347972191.1024001"/>
        <n v="1909403119.9026"/>
        <n v="1523275574.0218"/>
        <n v="1557983381.7346001"/>
        <n v="638740736.09449995"/>
        <n v="1576253144.941"/>
        <n v="1706953419.3036001"/>
        <n v="1162748677.1201"/>
        <n v="1684034583.2467999"/>
        <n v="957335146.18089998"/>
        <n v="1275534112.6033001"/>
        <n v="1051741564.1831"/>
        <n v="1264976025.6285999"/>
        <n v="790315845.56410003"/>
        <n v="1665995637.2880001"/>
        <n v="1802982366.9756999"/>
        <n v="1962237261.0267999"/>
        <n v="3435443912.3339"/>
        <n v="2244790501.1861"/>
        <n v="1348494135.9789"/>
        <n v="1349215375.8108001"/>
        <n v="1046678080.063"/>
        <n v="7969073654.5930996"/>
        <n v="821984147.25650001"/>
        <n v="1631750964.2061999"/>
        <n v="1413214443.5818999"/>
        <n v="1293725723.4061999"/>
        <n v="1735470504.2825999"/>
        <n v="2890291058.3460002"/>
        <n v="1207324428.1573"/>
        <n v="2912694698.3873"/>
        <n v="1560703467.7535"/>
        <n v="996275517.15079999"/>
        <n v="1138206887.95"/>
        <n v="1030139972.7055"/>
        <n v="2919027529.6766"/>
      </sharedItems>
    </cacheField>
    <cacheField name="Total Ecology Fund" numFmtId="0">
      <sharedItems containsMixedTypes="1" containsNumber="1" minValue="24219886.009100001" maxValue="152339147.58999997" count="38">
        <s v="₦"/>
        <n v="55327581.744800001"/>
        <n v="69787803.569100007"/>
        <n v="92953253.430700004"/>
        <n v="70164944.2588"/>
        <n v="79651096.501299992"/>
        <n v="32420911.771700002"/>
        <n v="86672720.492899999"/>
        <n v="94100600.712300003"/>
        <n v="60663693.495500006"/>
        <n v="77731822.708000004"/>
        <n v="44875090.832699999"/>
        <n v="59475365.436099999"/>
        <n v="47225596.991999999"/>
        <n v="60427855.503600001"/>
        <n v="41405208.795400001"/>
        <n v="80986768.439600006"/>
        <n v="85084225.407400012"/>
        <n v="95685268.099199995"/>
        <n v="152339147.58999997"/>
        <n v="115978386.09"/>
        <n v="73194810.642999992"/>
        <n v="75652198.210700005"/>
        <n v="53531854.417599998"/>
        <n v="91191309.943100005"/>
        <n v="47759640.589500003"/>
        <n v="88399410.689300001"/>
        <n v="63063819.965999998"/>
        <n v="60229937.134100005"/>
        <n v="81582972.654199988"/>
        <n v="102910554.54619999"/>
        <n v="64511129.132399999"/>
        <n v="79965120.856600001"/>
        <n v="80537253.379199997"/>
        <n v="60362940.849799998"/>
        <n v="60689646.9745"/>
        <n v="54837153.031400003"/>
        <n v="24219886.009100001"/>
      </sharedItems>
    </cacheField>
    <cacheField name="Total" numFmtId="0">
      <sharedItems containsMixedTypes="1" containsNumber="1" minValue="1751392627.1584001" maxValue="11098810096.5669" count="38">
        <s v="₦"/>
        <n v="3013072333.6511998"/>
        <n v="3742796654.2811999"/>
        <n v="5098992095.3018999"/>
        <n v="3931048534.2048998"/>
        <n v="4291505828.8852997"/>
        <n v="1751392627.1584001"/>
        <n v="4411138070.6981993"/>
        <n v="4936167691.2400007"/>
        <n v="3205935541.4956002"/>
        <n v="4351370663.6550999"/>
        <n v="2451263740.3023996"/>
        <n v="3316472979.7967"/>
        <n v="2672221568.0552001"/>
        <n v="3338675311.7714"/>
        <n v="2157270263.7854004"/>
        <n v="4444968334.516901"/>
        <n v="4722634420.1091003"/>
        <n v="5246091486.4624996"/>
        <n v="8150526762.5259991"/>
        <n v="6224734251.3113003"/>
        <n v="3860292508.6751995"/>
        <n v="3758241056.2316999"/>
        <n v="2883672922.2092004"/>
        <n v="11098810096.5669"/>
        <n v="2421736300.6489997"/>
        <n v="4665340898.6316996"/>
        <n v="3461463445.9394999"/>
        <n v="3313394425.3843999"/>
        <n v="4452709454.5504999"/>
        <n v="6337942270.6344004"/>
        <n v="3421216108.8825998"/>
        <n v="5656823868.4861002"/>
        <n v="4288486816.2799001"/>
        <n v="3067804326.8126001"/>
        <n v="3220894347.9066005"/>
        <n v="2912066587.1960001"/>
        <n v="3750227389.4960999"/>
      </sharedItems>
    </cacheField>
  </cacheFields>
  <extLst>
    <ext xmlns:x14="http://schemas.microsoft.com/office/spreadsheetml/2009/9/main" uri="{725AE2AE-9491-48be-B2B4-4EB974FC3084}">
      <x14:pivotCacheDefinition pivotCacheId="104489221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m/>
    <x v="0"/>
    <x v="0"/>
    <x v="0"/>
    <s v="₦"/>
    <x v="0"/>
    <x v="0"/>
    <x v="0"/>
    <x v="0"/>
    <x v="0"/>
  </r>
  <r>
    <n v="1"/>
    <x v="1"/>
    <x v="1"/>
    <x v="1"/>
    <n v="-990419.48990000004"/>
    <x v="1"/>
    <x v="1"/>
    <x v="1"/>
    <x v="1"/>
    <x v="1"/>
  </r>
  <r>
    <n v="2"/>
    <x v="2"/>
    <x v="2"/>
    <x v="2"/>
    <n v="-1223459.3700000001"/>
    <x v="2"/>
    <x v="2"/>
    <x v="2"/>
    <x v="2"/>
    <x v="2"/>
  </r>
  <r>
    <n v="3"/>
    <x v="3"/>
    <x v="1"/>
    <x v="3"/>
    <n v="-1806059.0699"/>
    <x v="3"/>
    <x v="3"/>
    <x v="3"/>
    <x v="3"/>
    <x v="3"/>
  </r>
  <r>
    <n v="4"/>
    <x v="4"/>
    <x v="1"/>
    <x v="4"/>
    <n v="-1223459.3700999999"/>
    <x v="4"/>
    <x v="4"/>
    <x v="4"/>
    <x v="4"/>
    <x v="4"/>
  </r>
  <r>
    <n v="5"/>
    <x v="5"/>
    <x v="2"/>
    <x v="5"/>
    <n v="-1165199.3999999999"/>
    <x v="5"/>
    <x v="5"/>
    <x v="5"/>
    <x v="5"/>
    <x v="5"/>
  </r>
  <r>
    <n v="6"/>
    <x v="6"/>
    <x v="1"/>
    <x v="6"/>
    <n v="-466079.76"/>
    <x v="6"/>
    <x v="6"/>
    <x v="6"/>
    <x v="6"/>
    <x v="6"/>
  </r>
  <r>
    <n v="7"/>
    <x v="7"/>
    <x v="2"/>
    <x v="7"/>
    <n v="-140878477.83000001"/>
    <x v="7"/>
    <x v="7"/>
    <x v="7"/>
    <x v="7"/>
    <x v="7"/>
  </r>
  <r>
    <n v="8"/>
    <x v="8"/>
    <x v="2"/>
    <x v="8"/>
    <n v="-1573019.19"/>
    <x v="8"/>
    <x v="8"/>
    <x v="8"/>
    <x v="8"/>
    <x v="8"/>
  </r>
  <r>
    <n v="9"/>
    <x v="9"/>
    <x v="1"/>
    <x v="9"/>
    <n v="-39599945.639899999"/>
    <x v="9"/>
    <x v="9"/>
    <x v="9"/>
    <x v="9"/>
    <x v="9"/>
  </r>
  <r>
    <n v="10"/>
    <x v="10"/>
    <x v="1"/>
    <x v="10"/>
    <n v="-1456499.25"/>
    <x v="10"/>
    <x v="10"/>
    <x v="10"/>
    <x v="10"/>
    <x v="10"/>
  </r>
  <r>
    <n v="11"/>
    <x v="11"/>
    <x v="1"/>
    <x v="11"/>
    <n v="-46782857.8116"/>
    <x v="11"/>
    <x v="11"/>
    <x v="11"/>
    <x v="11"/>
    <x v="11"/>
  </r>
  <r>
    <n v="12"/>
    <x v="12"/>
    <x v="1"/>
    <x v="12"/>
    <n v="-1048679.46"/>
    <x v="12"/>
    <x v="12"/>
    <x v="12"/>
    <x v="12"/>
    <x v="12"/>
  </r>
  <r>
    <n v="13"/>
    <x v="13"/>
    <x v="1"/>
    <x v="13"/>
    <n v="-932159.52"/>
    <x v="13"/>
    <x v="13"/>
    <x v="13"/>
    <x v="13"/>
    <x v="13"/>
  </r>
  <r>
    <n v="14"/>
    <x v="14"/>
    <x v="1"/>
    <x v="14"/>
    <n v="-990419.48990000004"/>
    <x v="14"/>
    <x v="14"/>
    <x v="14"/>
    <x v="14"/>
    <x v="14"/>
  </r>
  <r>
    <n v="15"/>
    <x v="15"/>
    <x v="2"/>
    <x v="15"/>
    <n v="-54624417.0999"/>
    <x v="15"/>
    <x v="15"/>
    <x v="15"/>
    <x v="15"/>
    <x v="15"/>
  </r>
  <r>
    <n v="16"/>
    <x v="16"/>
    <x v="1"/>
    <x v="16"/>
    <n v="-1573019.1899000001"/>
    <x v="16"/>
    <x v="16"/>
    <x v="16"/>
    <x v="16"/>
    <x v="16"/>
  </r>
  <r>
    <n v="17"/>
    <x v="17"/>
    <x v="2"/>
    <x v="17"/>
    <n v="-1573019.1899000001"/>
    <x v="17"/>
    <x v="17"/>
    <x v="17"/>
    <x v="17"/>
    <x v="17"/>
  </r>
  <r>
    <n v="18"/>
    <x v="18"/>
    <x v="2"/>
    <x v="18"/>
    <n v="-1339979.3099"/>
    <x v="18"/>
    <x v="18"/>
    <x v="18"/>
    <x v="18"/>
    <x v="18"/>
  </r>
  <r>
    <n v="19"/>
    <x v="19"/>
    <x v="2"/>
    <x v="19"/>
    <n v="-515227883.72030002"/>
    <x v="19"/>
    <x v="19"/>
    <x v="19"/>
    <x v="19"/>
    <x v="19"/>
  </r>
  <r>
    <n v="20"/>
    <x v="20"/>
    <x v="2"/>
    <x v="20"/>
    <n v="-1980838.9798000001"/>
    <x v="20"/>
    <x v="20"/>
    <x v="20"/>
    <x v="20"/>
    <x v="20"/>
  </r>
  <r>
    <n v="21"/>
    <x v="21"/>
    <x v="2"/>
    <x v="21"/>
    <n v="-1223459.3700999999"/>
    <x v="21"/>
    <x v="21"/>
    <x v="21"/>
    <x v="21"/>
    <x v="21"/>
  </r>
  <r>
    <n v="22"/>
    <x v="22"/>
    <x v="2"/>
    <x v="22"/>
    <n v="-188366458.1401"/>
    <x v="22"/>
    <x v="22"/>
    <x v="22"/>
    <x v="22"/>
    <x v="22"/>
  </r>
  <r>
    <n v="23"/>
    <x v="23"/>
    <x v="2"/>
    <x v="23"/>
    <n v="-932159.51989999996"/>
    <x v="23"/>
    <x v="23"/>
    <x v="23"/>
    <x v="23"/>
    <x v="23"/>
  </r>
  <r>
    <n v="24"/>
    <x v="24"/>
    <x v="1"/>
    <x v="24"/>
    <n v="-1165199.4002"/>
    <x v="24"/>
    <x v="24"/>
    <x v="24"/>
    <x v="24"/>
    <x v="24"/>
  </r>
  <r>
    <n v="25"/>
    <x v="25"/>
    <x v="2"/>
    <x v="25"/>
    <n v="-39995506.850000001"/>
    <x v="25"/>
    <x v="25"/>
    <x v="25"/>
    <x v="25"/>
    <x v="25"/>
  </r>
  <r>
    <n v="26"/>
    <x v="26"/>
    <x v="2"/>
    <x v="26"/>
    <n v="-1456499.25"/>
    <x v="26"/>
    <x v="26"/>
    <x v="26"/>
    <x v="26"/>
    <x v="26"/>
  </r>
  <r>
    <n v="27"/>
    <x v="27"/>
    <x v="1"/>
    <x v="27"/>
    <n v="-116942149.7999"/>
    <x v="27"/>
    <x v="27"/>
    <x v="27"/>
    <x v="27"/>
    <x v="27"/>
  </r>
  <r>
    <n v="28"/>
    <x v="28"/>
    <x v="1"/>
    <x v="28"/>
    <n v="-48225806.280199997"/>
    <x v="28"/>
    <x v="28"/>
    <x v="28"/>
    <x v="28"/>
    <x v="28"/>
  </r>
  <r>
    <n v="29"/>
    <x v="29"/>
    <x v="1"/>
    <x v="29"/>
    <n v="-83776444.199900001"/>
    <x v="29"/>
    <x v="29"/>
    <x v="29"/>
    <x v="29"/>
    <x v="29"/>
  </r>
  <r>
    <n v="30"/>
    <x v="30"/>
    <x v="1"/>
    <x v="30"/>
    <n v="-85611160.469799995"/>
    <x v="30"/>
    <x v="30"/>
    <x v="30"/>
    <x v="30"/>
    <x v="30"/>
  </r>
  <r>
    <n v="31"/>
    <x v="31"/>
    <x v="2"/>
    <x v="31"/>
    <n v="-990419.4902"/>
    <x v="31"/>
    <x v="31"/>
    <x v="31"/>
    <x v="31"/>
    <x v="31"/>
  </r>
  <r>
    <n v="32"/>
    <x v="32"/>
    <x v="1"/>
    <x v="32"/>
    <n v="-1339979.3103"/>
    <x v="32"/>
    <x v="32"/>
    <x v="32"/>
    <x v="32"/>
    <x v="32"/>
  </r>
  <r>
    <n v="33"/>
    <x v="33"/>
    <x v="2"/>
    <x v="33"/>
    <n v="-37329017.480099998"/>
    <x v="33"/>
    <x v="33"/>
    <x v="33"/>
    <x v="33"/>
    <x v="33"/>
  </r>
  <r>
    <n v="34"/>
    <x v="34"/>
    <x v="2"/>
    <x v="34"/>
    <n v="-932159.52"/>
    <x v="34"/>
    <x v="34"/>
    <x v="34"/>
    <x v="34"/>
    <x v="34"/>
  </r>
  <r>
    <n v="35"/>
    <x v="35"/>
    <x v="2"/>
    <x v="35"/>
    <n v="-990419.49010000005"/>
    <x v="35"/>
    <x v="35"/>
    <x v="35"/>
    <x v="35"/>
    <x v="35"/>
  </r>
  <r>
    <n v="36"/>
    <x v="36"/>
    <x v="2"/>
    <x v="36"/>
    <n v="-815639.58010000002"/>
    <x v="36"/>
    <x v="36"/>
    <x v="36"/>
    <x v="36"/>
    <x v="36"/>
  </r>
  <r>
    <n v="37"/>
    <x v="37"/>
    <x v="2"/>
    <x v="37"/>
    <n v="-349559.82010000001"/>
    <x v="37"/>
    <x v="37"/>
    <x v="37"/>
    <x v="37"/>
    <x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5641C0-570E-48BA-85E3-EAB951E8C16B}" name="PivotTable7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W5:X44" firstHeaderRow="1" firstDataRow="1" firstDataCol="1"/>
  <pivotFields count="10">
    <pivotField showAll="0"/>
    <pivotField axis="axisRow" showAll="0" sortType="descending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37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2"/>
        <item x="1"/>
        <item x="0"/>
        <item t="default"/>
      </items>
    </pivotField>
    <pivotField showAll="0">
      <items count="39">
        <item x="37"/>
        <item x="6"/>
        <item x="15"/>
        <item x="11"/>
        <item x="13"/>
        <item x="25"/>
        <item x="23"/>
        <item x="36"/>
        <item x="1"/>
        <item x="12"/>
        <item x="28"/>
        <item x="34"/>
        <item x="14"/>
        <item x="9"/>
        <item x="35"/>
        <item x="27"/>
        <item x="31"/>
        <item x="2"/>
        <item x="4"/>
        <item x="21"/>
        <item x="22"/>
        <item x="10"/>
        <item x="5"/>
        <item x="32"/>
        <item x="33"/>
        <item x="16"/>
        <item x="29"/>
        <item x="17"/>
        <item x="7"/>
        <item x="26"/>
        <item x="24"/>
        <item x="3"/>
        <item x="8"/>
        <item x="18"/>
        <item x="30"/>
        <item x="20"/>
        <item x="19"/>
        <item x="0"/>
        <item t="default"/>
      </items>
    </pivotField>
    <pivotField showAll="0"/>
    <pivotField showAll="0">
      <items count="39">
        <item x="37"/>
        <item x="6"/>
        <item x="15"/>
        <item x="11"/>
        <item x="13"/>
        <item x="25"/>
        <item x="23"/>
        <item x="36"/>
        <item x="1"/>
        <item x="12"/>
        <item x="28"/>
        <item x="34"/>
        <item x="14"/>
        <item x="9"/>
        <item x="35"/>
        <item x="27"/>
        <item x="31"/>
        <item x="2"/>
        <item x="4"/>
        <item x="21"/>
        <item x="22"/>
        <item x="10"/>
        <item x="5"/>
        <item x="32"/>
        <item x="33"/>
        <item x="16"/>
        <item x="29"/>
        <item x="17"/>
        <item x="7"/>
        <item x="26"/>
        <item x="24"/>
        <item x="3"/>
        <item x="8"/>
        <item x="18"/>
        <item x="30"/>
        <item x="20"/>
        <item x="19"/>
        <item x="0"/>
        <item t="default"/>
      </items>
    </pivotField>
    <pivotField showAll="0"/>
    <pivotField showAll="0"/>
    <pivotField showAll="0"/>
    <pivotField dataField="1" showAll="0">
      <items count="39">
        <item x="6"/>
        <item x="15"/>
        <item x="25"/>
        <item x="11"/>
        <item x="13"/>
        <item x="23"/>
        <item x="36"/>
        <item x="1"/>
        <item x="34"/>
        <item x="9"/>
        <item x="35"/>
        <item x="28"/>
        <item x="12"/>
        <item x="14"/>
        <item x="31"/>
        <item x="27"/>
        <item x="2"/>
        <item x="37"/>
        <item x="22"/>
        <item x="21"/>
        <item x="4"/>
        <item x="33"/>
        <item x="5"/>
        <item x="10"/>
        <item x="7"/>
        <item x="16"/>
        <item x="29"/>
        <item x="26"/>
        <item x="17"/>
        <item x="8"/>
        <item x="3"/>
        <item x="18"/>
        <item x="32"/>
        <item x="20"/>
        <item x="30"/>
        <item x="19"/>
        <item x="24"/>
        <item x="0"/>
        <item t="default"/>
      </items>
    </pivotField>
  </pivotFields>
  <rowFields count="1">
    <field x="1"/>
  </rowFields>
  <rowItems count="39">
    <i>
      <x v="24"/>
    </i>
    <i>
      <x v="19"/>
    </i>
    <i>
      <x v="30"/>
    </i>
    <i>
      <x v="20"/>
    </i>
    <i>
      <x v="32"/>
    </i>
    <i>
      <x v="18"/>
    </i>
    <i>
      <x v="2"/>
    </i>
    <i>
      <x v="7"/>
    </i>
    <i>
      <x v="17"/>
    </i>
    <i>
      <x v="26"/>
    </i>
    <i>
      <x v="29"/>
    </i>
    <i>
      <x v="16"/>
    </i>
    <i>
      <x v="6"/>
    </i>
    <i>
      <x v="9"/>
    </i>
    <i>
      <x v="4"/>
    </i>
    <i>
      <x v="33"/>
    </i>
    <i>
      <x v="3"/>
    </i>
    <i>
      <x v="21"/>
    </i>
    <i>
      <x v="22"/>
    </i>
    <i>
      <x v="14"/>
    </i>
    <i>
      <x v="1"/>
    </i>
    <i>
      <x v="27"/>
    </i>
    <i>
      <x v="31"/>
    </i>
    <i>
      <x v="13"/>
    </i>
    <i>
      <x v="11"/>
    </i>
    <i>
      <x v="28"/>
    </i>
    <i>
      <x v="35"/>
    </i>
    <i>
      <x v="8"/>
    </i>
    <i>
      <x v="34"/>
    </i>
    <i>
      <x/>
    </i>
    <i>
      <x v="36"/>
    </i>
    <i>
      <x v="23"/>
    </i>
    <i>
      <x v="12"/>
    </i>
    <i>
      <x v="10"/>
    </i>
    <i>
      <x v="25"/>
    </i>
    <i>
      <x v="15"/>
    </i>
    <i>
      <x v="5"/>
    </i>
    <i>
      <x v="37"/>
    </i>
    <i t="grand">
      <x/>
    </i>
  </rowItems>
  <colItems count="1">
    <i/>
  </colItems>
  <dataFields count="1">
    <dataField name="Sum of Total" fld="9" baseField="1" baseItem="0" numFmtId="3"/>
  </dataFields>
  <formats count="7">
    <format dxfId="6">
      <pivotArea dataOnly="0" labelOnly="1" outline="0" axis="axisValues" fieldPosition="0"/>
    </format>
    <format dxfId="5">
      <pivotArea dataOnly="0" labelOnly="1" outline="0" axis="axisValues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dataOnly="0" labelOnly="1" outline="0" axis="axisValues" fieldPosition="0"/>
    </format>
    <format dxfId="1">
      <pivotArea dataOnly="0" labelOnly="1" outline="0" axis="axisValues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882175-417C-4FE8-91DB-723D88F3CB23}" name="PivotTable10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chartFormat="9">
  <location ref="BD5:BE44" firstHeaderRow="1" firstDataRow="1" firstDataCol="1"/>
  <pivotFields count="10">
    <pivotField showAll="0"/>
    <pivotField axis="axisRow" showAl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37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39">
        <item x="37"/>
        <item x="6"/>
        <item x="15"/>
        <item x="11"/>
        <item x="13"/>
        <item x="25"/>
        <item x="23"/>
        <item x="36"/>
        <item x="1"/>
        <item x="12"/>
        <item x="28"/>
        <item x="34"/>
        <item x="14"/>
        <item x="9"/>
        <item x="35"/>
        <item x="27"/>
        <item x="31"/>
        <item x="2"/>
        <item x="4"/>
        <item x="21"/>
        <item x="22"/>
        <item x="10"/>
        <item x="5"/>
        <item x="32"/>
        <item x="33"/>
        <item x="16"/>
        <item x="29"/>
        <item x="17"/>
        <item x="7"/>
        <item x="26"/>
        <item x="24"/>
        <item x="3"/>
        <item x="8"/>
        <item x="18"/>
        <item x="30"/>
        <item x="20"/>
        <item x="19"/>
        <item x="0"/>
        <item t="default"/>
      </items>
    </pivotField>
    <pivotField dataField="1" showAll="0"/>
    <pivotField showAll="0">
      <items count="39">
        <item x="37"/>
        <item x="6"/>
        <item x="15"/>
        <item x="11"/>
        <item x="13"/>
        <item x="25"/>
        <item x="23"/>
        <item x="36"/>
        <item x="1"/>
        <item x="12"/>
        <item x="28"/>
        <item x="34"/>
        <item x="14"/>
        <item x="9"/>
        <item x="35"/>
        <item x="27"/>
        <item x="31"/>
        <item x="2"/>
        <item x="4"/>
        <item x="21"/>
        <item x="22"/>
        <item x="10"/>
        <item x="5"/>
        <item x="32"/>
        <item x="33"/>
        <item x="16"/>
        <item x="29"/>
        <item x="17"/>
        <item x="7"/>
        <item x="26"/>
        <item x="24"/>
        <item x="3"/>
        <item x="8"/>
        <item x="18"/>
        <item x="30"/>
        <item x="20"/>
        <item x="19"/>
        <item x="0"/>
        <item t="default"/>
      </items>
    </pivotField>
    <pivotField showAll="0"/>
    <pivotField showAll="0"/>
    <pivotField showAll="0"/>
    <pivotField showAll="0">
      <items count="39">
        <item x="6"/>
        <item x="15"/>
        <item x="25"/>
        <item x="11"/>
        <item x="13"/>
        <item x="23"/>
        <item x="36"/>
        <item x="1"/>
        <item x="34"/>
        <item x="9"/>
        <item x="35"/>
        <item x="28"/>
        <item x="12"/>
        <item x="14"/>
        <item x="31"/>
        <item x="27"/>
        <item x="2"/>
        <item x="37"/>
        <item x="22"/>
        <item x="21"/>
        <item x="4"/>
        <item x="33"/>
        <item x="5"/>
        <item x="10"/>
        <item x="7"/>
        <item x="16"/>
        <item x="29"/>
        <item x="26"/>
        <item x="17"/>
        <item x="8"/>
        <item x="3"/>
        <item x="18"/>
        <item x="32"/>
        <item x="20"/>
        <item x="30"/>
        <item x="19"/>
        <item x="24"/>
        <item x="0"/>
        <item t="default"/>
      </items>
    </pivotField>
  </pivotFields>
  <rowFields count="1">
    <field x="1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dataFields count="1">
    <dataField name="Sum of Deduction" fld="4" baseField="1" baseItem="3" numFmtId="170"/>
  </dataFields>
  <formats count="7">
    <format dxfId="68">
      <pivotArea dataOnly="0" labelOnly="1" outline="0" axis="axisValues" fieldPosition="0"/>
    </format>
    <format dxfId="67">
      <pivotArea dataOnly="0" labelOnly="1" outline="0" axis="axisValues" fieldPosition="0"/>
    </format>
    <format dxfId="66">
      <pivotArea type="all" dataOnly="0" outline="0" fieldPosition="0"/>
    </format>
    <format dxfId="65">
      <pivotArea outline="0" collapsedLevelsAreSubtotals="1" fieldPosition="0"/>
    </format>
    <format dxfId="64">
      <pivotArea dataOnly="0" labelOnly="1" outline="0" axis="axisValues" fieldPosition="0"/>
    </format>
    <format dxfId="63">
      <pivotArea dataOnly="0" labelOnly="1" outline="0" axis="axisValues" fieldPosition="0"/>
    </format>
    <format dxfId="6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2F23FA-EE72-497B-9E60-9A7DFE8ABD37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E5:E6" firstHeaderRow="1" firstDataRow="1" firstDataCol="0"/>
  <pivotFields count="10">
    <pivotField showAll="0"/>
    <pivotField showAll="0"/>
    <pivotField showAll="0"/>
    <pivotField showAll="0">
      <items count="39">
        <item x="37"/>
        <item x="6"/>
        <item x="15"/>
        <item x="11"/>
        <item x="13"/>
        <item x="25"/>
        <item x="23"/>
        <item x="36"/>
        <item x="1"/>
        <item x="12"/>
        <item x="28"/>
        <item x="34"/>
        <item x="14"/>
        <item x="9"/>
        <item x="35"/>
        <item x="27"/>
        <item x="31"/>
        <item x="2"/>
        <item x="4"/>
        <item x="21"/>
        <item x="22"/>
        <item x="10"/>
        <item x="5"/>
        <item x="32"/>
        <item x="33"/>
        <item x="16"/>
        <item x="29"/>
        <item x="17"/>
        <item x="7"/>
        <item x="26"/>
        <item x="24"/>
        <item x="3"/>
        <item x="8"/>
        <item x="18"/>
        <item x="30"/>
        <item x="20"/>
        <item x="19"/>
        <item x="0"/>
        <item t="default"/>
      </items>
    </pivotField>
    <pivotField showAll="0"/>
    <pivotField dataField="1" showAll="0">
      <items count="39">
        <item x="37"/>
        <item x="6"/>
        <item x="15"/>
        <item x="11"/>
        <item x="13"/>
        <item x="25"/>
        <item x="23"/>
        <item x="36"/>
        <item x="1"/>
        <item x="12"/>
        <item x="28"/>
        <item x="34"/>
        <item x="14"/>
        <item x="9"/>
        <item x="35"/>
        <item x="27"/>
        <item x="31"/>
        <item x="2"/>
        <item x="4"/>
        <item x="21"/>
        <item x="22"/>
        <item x="10"/>
        <item x="5"/>
        <item x="32"/>
        <item x="33"/>
        <item x="16"/>
        <item x="29"/>
        <item x="17"/>
        <item x="7"/>
        <item x="26"/>
        <item x="24"/>
        <item x="3"/>
        <item x="8"/>
        <item x="18"/>
        <item x="30"/>
        <item x="20"/>
        <item x="19"/>
        <item x="0"/>
        <item t="default"/>
      </items>
    </pivotField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Exchange Gain" fld="5" baseField="0" baseItem="0" numFmtId="3"/>
  </dataFields>
  <formats count="7">
    <format dxfId="75">
      <pivotArea dataOnly="0" labelOnly="1" outline="0" axis="axisValues" fieldPosition="0"/>
    </format>
    <format dxfId="74">
      <pivotArea dataOnly="0" labelOnly="1" outline="0" axis="axisValues" fieldPosition="0"/>
    </format>
    <format dxfId="73">
      <pivotArea type="all" dataOnly="0" outline="0" fieldPosition="0"/>
    </format>
    <format dxfId="72">
      <pivotArea outline="0" collapsedLevelsAreSubtotals="1" fieldPosition="0"/>
    </format>
    <format dxfId="71">
      <pivotArea dataOnly="0" labelOnly="1" outline="0" axis="axisValues" fieldPosition="0"/>
    </format>
    <format dxfId="70">
      <pivotArea outline="0" fieldPosition="0">
        <references count="1">
          <reference field="4294967294" count="1">
            <x v="0"/>
          </reference>
        </references>
      </pivotArea>
    </format>
    <format dxfId="6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58F543-7762-4769-A04C-F31C44DFF8B4}" name="PivotTable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H5:I8" firstHeaderRow="1" firstDataRow="1" firstDataCol="1"/>
  <pivotFields count="10">
    <pivotField showAll="0"/>
    <pivotField showAll="0"/>
    <pivotField axis="axisRow" showAll="0">
      <items count="4">
        <item x="2"/>
        <item x="1"/>
        <item h="1" x="0"/>
        <item t="default"/>
      </items>
    </pivotField>
    <pivotField dataField="1" showAll="0">
      <items count="39">
        <item x="37"/>
        <item x="6"/>
        <item x="15"/>
        <item x="11"/>
        <item x="13"/>
        <item x="25"/>
        <item x="23"/>
        <item x="36"/>
        <item x="1"/>
        <item x="12"/>
        <item x="28"/>
        <item x="34"/>
        <item x="14"/>
        <item x="9"/>
        <item x="35"/>
        <item x="27"/>
        <item x="31"/>
        <item x="2"/>
        <item x="4"/>
        <item x="21"/>
        <item x="22"/>
        <item x="10"/>
        <item x="5"/>
        <item x="32"/>
        <item x="33"/>
        <item x="16"/>
        <item x="29"/>
        <item x="17"/>
        <item x="7"/>
        <item x="26"/>
        <item x="24"/>
        <item x="3"/>
        <item x="8"/>
        <item x="18"/>
        <item x="30"/>
        <item x="20"/>
        <item x="19"/>
        <item x="0"/>
        <item t="default"/>
      </items>
    </pivotField>
    <pivotField showAll="0"/>
    <pivotField showAll="0">
      <items count="39">
        <item x="37"/>
        <item x="6"/>
        <item x="15"/>
        <item x="11"/>
        <item x="13"/>
        <item x="25"/>
        <item x="23"/>
        <item x="36"/>
        <item x="1"/>
        <item x="12"/>
        <item x="28"/>
        <item x="34"/>
        <item x="14"/>
        <item x="9"/>
        <item x="35"/>
        <item x="27"/>
        <item x="31"/>
        <item x="2"/>
        <item x="4"/>
        <item x="21"/>
        <item x="22"/>
        <item x="10"/>
        <item x="5"/>
        <item x="32"/>
        <item x="33"/>
        <item x="16"/>
        <item x="29"/>
        <item x="17"/>
        <item x="7"/>
        <item x="26"/>
        <item x="24"/>
        <item x="3"/>
        <item x="8"/>
        <item x="18"/>
        <item x="30"/>
        <item x="20"/>
        <item x="19"/>
        <item x="0"/>
        <item t="default"/>
      </items>
    </pivotField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Gross Statutory Allocation" fld="3" baseField="2" baseItem="0" numFmtId="3"/>
  </dataFields>
  <formats count="7">
    <format dxfId="82">
      <pivotArea dataOnly="0" labelOnly="1" outline="0" axis="axisValues" fieldPosition="0"/>
    </format>
    <format dxfId="81">
      <pivotArea dataOnly="0" labelOnly="1" outline="0" axis="axisValues" fieldPosition="0"/>
    </format>
    <format dxfId="80">
      <pivotArea type="all" dataOnly="0" outline="0" fieldPosition="0"/>
    </format>
    <format dxfId="79">
      <pivotArea outline="0" collapsedLevelsAreSubtotals="1" fieldPosition="0"/>
    </format>
    <format dxfId="78">
      <pivotArea dataOnly="0" labelOnly="1" outline="0" axis="axisValues" fieldPosition="0"/>
    </format>
    <format dxfId="77">
      <pivotArea dataOnly="0" labelOnly="1" outline="0" axis="axisValues" fieldPosition="0"/>
    </format>
    <format dxfId="7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F7DF0E-5111-4322-969A-B2D934817F16}" name="PivotTable11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7" indent="0" outline="1" outlineData="1" multipleFieldFilters="0" chartFormat="25">
  <location ref="BL5:BM22" firstHeaderRow="1" firstDataRow="1" firstDataCol="1" rowPageCount="1" colPageCount="1"/>
  <pivotFields count="10">
    <pivotField showAll="0"/>
    <pivotField axis="axisRow" showAl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37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  <item t="default"/>
      </items>
    </pivotField>
    <pivotField axis="axisPage" multipleItemSelectionAllowed="1" showAll="0">
      <items count="4">
        <item h="1" x="2"/>
        <item x="1"/>
        <item h="1" x="0"/>
        <item t="default"/>
      </items>
    </pivotField>
    <pivotField showAll="0">
      <items count="39">
        <item x="37"/>
        <item x="6"/>
        <item x="15"/>
        <item x="11"/>
        <item x="13"/>
        <item x="25"/>
        <item x="23"/>
        <item x="36"/>
        <item x="1"/>
        <item x="12"/>
        <item x="28"/>
        <item x="34"/>
        <item x="14"/>
        <item x="9"/>
        <item x="35"/>
        <item x="27"/>
        <item x="31"/>
        <item x="2"/>
        <item x="4"/>
        <item x="21"/>
        <item x="22"/>
        <item x="10"/>
        <item x="5"/>
        <item x="32"/>
        <item x="33"/>
        <item x="16"/>
        <item x="29"/>
        <item x="17"/>
        <item x="7"/>
        <item x="26"/>
        <item x="24"/>
        <item x="3"/>
        <item x="8"/>
        <item x="18"/>
        <item x="30"/>
        <item x="20"/>
        <item x="19"/>
        <item x="0"/>
        <item t="default"/>
      </items>
    </pivotField>
    <pivotField showAll="0"/>
    <pivotField showAll="0">
      <items count="39">
        <item x="37"/>
        <item x="6"/>
        <item x="15"/>
        <item x="11"/>
        <item x="13"/>
        <item x="25"/>
        <item x="23"/>
        <item x="36"/>
        <item x="1"/>
        <item x="12"/>
        <item x="28"/>
        <item x="34"/>
        <item x="14"/>
        <item x="9"/>
        <item x="35"/>
        <item x="27"/>
        <item x="31"/>
        <item x="2"/>
        <item x="4"/>
        <item x="21"/>
        <item x="22"/>
        <item x="10"/>
        <item x="5"/>
        <item x="32"/>
        <item x="33"/>
        <item x="16"/>
        <item x="29"/>
        <item x="17"/>
        <item x="7"/>
        <item x="26"/>
        <item x="24"/>
        <item x="3"/>
        <item x="8"/>
        <item x="18"/>
        <item x="30"/>
        <item x="20"/>
        <item x="19"/>
        <item x="0"/>
        <item t="default"/>
      </items>
    </pivotField>
    <pivotField showAll="0">
      <items count="39">
        <item x="37"/>
        <item x="6"/>
        <item x="15"/>
        <item x="11"/>
        <item x="13"/>
        <item x="25"/>
        <item x="23"/>
        <item x="36"/>
        <item x="1"/>
        <item x="12"/>
        <item x="28"/>
        <item x="34"/>
        <item x="14"/>
        <item x="9"/>
        <item x="35"/>
        <item x="27"/>
        <item x="31"/>
        <item x="2"/>
        <item x="4"/>
        <item x="21"/>
        <item x="22"/>
        <item x="10"/>
        <item x="5"/>
        <item x="32"/>
        <item x="33"/>
        <item x="16"/>
        <item x="29"/>
        <item x="17"/>
        <item x="7"/>
        <item x="26"/>
        <item x="24"/>
        <item x="3"/>
        <item x="8"/>
        <item x="18"/>
        <item x="30"/>
        <item x="20"/>
        <item x="19"/>
        <item x="0"/>
        <item t="default"/>
      </items>
    </pivotField>
    <pivotField dataField="1" showAll="0">
      <items count="39">
        <item x="6"/>
        <item x="15"/>
        <item x="25"/>
        <item x="11"/>
        <item x="34"/>
        <item x="36"/>
        <item x="23"/>
        <item x="13"/>
        <item x="1"/>
        <item x="35"/>
        <item x="9"/>
        <item x="31"/>
        <item x="14"/>
        <item x="12"/>
        <item x="28"/>
        <item x="2"/>
        <item x="21"/>
        <item x="22"/>
        <item x="27"/>
        <item x="4"/>
        <item x="5"/>
        <item x="33"/>
        <item x="7"/>
        <item x="26"/>
        <item x="16"/>
        <item x="10"/>
        <item x="8"/>
        <item x="29"/>
        <item x="17"/>
        <item x="3"/>
        <item x="18"/>
        <item x="20"/>
        <item x="30"/>
        <item x="32"/>
        <item x="37"/>
        <item x="19"/>
        <item x="24"/>
        <item x="0"/>
        <item t="default"/>
      </items>
    </pivotField>
    <pivotField showAll="0"/>
    <pivotField showAll="0">
      <items count="39">
        <item x="6"/>
        <item x="15"/>
        <item x="25"/>
        <item x="11"/>
        <item x="13"/>
        <item x="23"/>
        <item x="36"/>
        <item x="1"/>
        <item x="34"/>
        <item x="9"/>
        <item x="35"/>
        <item x="28"/>
        <item x="12"/>
        <item x="14"/>
        <item x="31"/>
        <item x="27"/>
        <item x="2"/>
        <item x="37"/>
        <item x="22"/>
        <item x="21"/>
        <item x="4"/>
        <item x="33"/>
        <item x="5"/>
        <item x="10"/>
        <item x="7"/>
        <item x="16"/>
        <item x="29"/>
        <item x="26"/>
        <item x="17"/>
        <item x="8"/>
        <item x="3"/>
        <item x="18"/>
        <item x="32"/>
        <item x="20"/>
        <item x="30"/>
        <item x="19"/>
        <item x="24"/>
        <item x="0"/>
        <item t="default"/>
      </items>
    </pivotField>
  </pivotFields>
  <rowFields count="1">
    <field x="1"/>
  </rowFields>
  <rowItems count="17">
    <i>
      <x/>
    </i>
    <i>
      <x v="2"/>
    </i>
    <i>
      <x v="3"/>
    </i>
    <i>
      <x v="5"/>
    </i>
    <i>
      <x v="8"/>
    </i>
    <i>
      <x v="9"/>
    </i>
    <i>
      <x v="10"/>
    </i>
    <i>
      <x v="11"/>
    </i>
    <i>
      <x v="12"/>
    </i>
    <i>
      <x v="13"/>
    </i>
    <i>
      <x v="16"/>
    </i>
    <i>
      <x v="24"/>
    </i>
    <i>
      <x v="27"/>
    </i>
    <i>
      <x v="28"/>
    </i>
    <i>
      <x v="29"/>
    </i>
    <i>
      <x v="30"/>
    </i>
    <i>
      <x v="32"/>
    </i>
  </rowItems>
  <colItems count="1">
    <i/>
  </colItems>
  <pageFields count="1">
    <pageField fld="2" hier="-1"/>
  </pageFields>
  <dataFields count="1">
    <dataField name="Sum of VAT" fld="7" baseField="1" baseItem="32" numFmtId="168"/>
  </dataFields>
  <formats count="7">
    <format dxfId="13">
      <pivotArea dataOnly="0" labelOnly="1" outline="0" axis="axisValues" fieldPosition="0"/>
    </format>
    <format dxfId="12">
      <pivotArea dataOnly="0" labelOnly="1" outline="0" axis="axisValues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dataOnly="0" labelOnly="1" outline="0" axis="axisValues" fieldPosition="0"/>
    </format>
    <format dxfId="8">
      <pivotArea dataOnly="0" labelOnly="1" outline="0" axis="axisValues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chartFormats count="19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4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4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4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4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4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4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4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4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4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4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24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24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24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24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24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24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6DAA18-6D97-4F66-8421-0B9613D84752}" name="PivotTable8" cacheId="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7" indent="0" outline="1" outlineData="1" multipleFieldFilters="0" chartFormat="19">
  <location ref="AK5:AL22" firstHeaderRow="1" firstDataRow="1" firstDataCol="1" rowPageCount="1" colPageCount="1"/>
  <pivotFields count="10">
    <pivotField showAll="0"/>
    <pivotField axis="axisRow" showAl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37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  <item t="default"/>
      </items>
    </pivotField>
    <pivotField axis="axisPage" multipleItemSelectionAllowed="1" showAll="0">
      <items count="4">
        <item h="1" x="2"/>
        <item x="1"/>
        <item h="1" x="0"/>
        <item t="default"/>
      </items>
    </pivotField>
    <pivotField dataField="1" showAll="0">
      <items count="39">
        <item x="37"/>
        <item x="6"/>
        <item x="15"/>
        <item x="11"/>
        <item x="13"/>
        <item x="25"/>
        <item x="23"/>
        <item x="36"/>
        <item x="1"/>
        <item x="12"/>
        <item x="28"/>
        <item x="34"/>
        <item x="14"/>
        <item x="9"/>
        <item x="35"/>
        <item x="27"/>
        <item x="31"/>
        <item x="2"/>
        <item x="4"/>
        <item x="21"/>
        <item x="22"/>
        <item x="10"/>
        <item x="5"/>
        <item x="32"/>
        <item x="33"/>
        <item x="16"/>
        <item x="29"/>
        <item x="17"/>
        <item x="7"/>
        <item x="26"/>
        <item x="24"/>
        <item x="3"/>
        <item x="8"/>
        <item x="18"/>
        <item x="30"/>
        <item x="20"/>
        <item x="19"/>
        <item x="0"/>
        <item t="default"/>
      </items>
    </pivotField>
    <pivotField showAll="0"/>
    <pivotField showAll="0">
      <items count="39">
        <item x="37"/>
        <item x="6"/>
        <item x="15"/>
        <item x="11"/>
        <item x="13"/>
        <item x="25"/>
        <item x="23"/>
        <item x="36"/>
        <item x="1"/>
        <item x="12"/>
        <item x="28"/>
        <item x="34"/>
        <item x="14"/>
        <item x="9"/>
        <item x="35"/>
        <item x="27"/>
        <item x="31"/>
        <item x="2"/>
        <item x="4"/>
        <item x="21"/>
        <item x="22"/>
        <item x="10"/>
        <item x="5"/>
        <item x="32"/>
        <item x="33"/>
        <item x="16"/>
        <item x="29"/>
        <item x="17"/>
        <item x="7"/>
        <item x="26"/>
        <item x="24"/>
        <item x="3"/>
        <item x="8"/>
        <item x="18"/>
        <item x="30"/>
        <item x="20"/>
        <item x="19"/>
        <item x="0"/>
        <item t="default"/>
      </items>
    </pivotField>
    <pivotField showAll="0"/>
    <pivotField showAll="0"/>
    <pivotField showAll="0"/>
    <pivotField showAll="0">
      <items count="39">
        <item x="6"/>
        <item x="15"/>
        <item x="25"/>
        <item x="11"/>
        <item x="13"/>
        <item x="23"/>
        <item x="36"/>
        <item x="1"/>
        <item x="34"/>
        <item x="9"/>
        <item x="35"/>
        <item x="28"/>
        <item x="12"/>
        <item x="14"/>
        <item x="31"/>
        <item x="27"/>
        <item x="2"/>
        <item x="37"/>
        <item x="22"/>
        <item x="21"/>
        <item x="4"/>
        <item x="33"/>
        <item x="5"/>
        <item x="10"/>
        <item x="7"/>
        <item x="16"/>
        <item x="29"/>
        <item x="26"/>
        <item x="17"/>
        <item x="8"/>
        <item x="3"/>
        <item x="18"/>
        <item x="32"/>
        <item x="20"/>
        <item x="30"/>
        <item x="19"/>
        <item x="24"/>
        <item x="0"/>
        <item t="default"/>
      </items>
    </pivotField>
  </pivotFields>
  <rowFields count="1">
    <field x="1"/>
  </rowFields>
  <rowItems count="17">
    <i>
      <x/>
    </i>
    <i>
      <x v="2"/>
    </i>
    <i>
      <x v="3"/>
    </i>
    <i>
      <x v="5"/>
    </i>
    <i>
      <x v="8"/>
    </i>
    <i>
      <x v="9"/>
    </i>
    <i>
      <x v="10"/>
    </i>
    <i>
      <x v="11"/>
    </i>
    <i>
      <x v="12"/>
    </i>
    <i>
      <x v="13"/>
    </i>
    <i>
      <x v="16"/>
    </i>
    <i>
      <x v="24"/>
    </i>
    <i>
      <x v="27"/>
    </i>
    <i>
      <x v="28"/>
    </i>
    <i>
      <x v="29"/>
    </i>
    <i>
      <x v="30"/>
    </i>
    <i>
      <x v="32"/>
    </i>
  </rowItems>
  <colItems count="1">
    <i/>
  </colItems>
  <pageFields count="1">
    <pageField fld="2" hier="-1"/>
  </pageFields>
  <dataFields count="1">
    <dataField name="Sum of Gross Statutory Allocation2" fld="3" baseField="1" baseItem="2" numFmtId="168"/>
  </dataFields>
  <formats count="7">
    <format dxfId="20">
      <pivotArea dataOnly="0" labelOnly="1" outline="0" axis="axisValues" fieldPosition="0"/>
    </format>
    <format dxfId="19">
      <pivotArea dataOnly="0" labelOnly="1" outline="0" axis="axisValues" fieldPosition="0"/>
    </format>
    <format dxfId="18">
      <pivotArea type="all" dataOnly="0" outline="0" fieldPosition="0"/>
    </format>
    <format dxfId="17">
      <pivotArea outline="0" collapsedLevelsAreSubtotals="1" fieldPosition="0"/>
    </format>
    <format dxfId="16">
      <pivotArea dataOnly="0" labelOnly="1" outline="0" axis="axisValues" fieldPosition="0"/>
    </format>
    <format dxfId="15">
      <pivotArea dataOnly="0" labelOnly="1" outline="0" axis="axisValues" fieldPosition="0"/>
    </format>
    <format dxfId="14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CEB2AD-BBAC-426F-B236-F68BD166A335}" name="PivotTable9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chartFormat="43">
  <location ref="AV5:AW8" firstHeaderRow="1" firstDataRow="1" firstDataCol="1"/>
  <pivotFields count="10">
    <pivotField showAll="0"/>
    <pivotField showAl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37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  <item t="default"/>
      </items>
    </pivotField>
    <pivotField axis="axisRow" multipleItemSelectionAllowed="1" showAll="0" sortType="ascending">
      <items count="4">
        <item x="2"/>
        <item x="1"/>
        <item h="1" x="0"/>
        <item t="default"/>
      </items>
    </pivotField>
    <pivotField showAll="0">
      <items count="39">
        <item x="37"/>
        <item x="6"/>
        <item x="15"/>
        <item x="11"/>
        <item x="13"/>
        <item x="25"/>
        <item x="23"/>
        <item x="36"/>
        <item x="1"/>
        <item x="12"/>
        <item x="28"/>
        <item x="34"/>
        <item x="14"/>
        <item x="9"/>
        <item x="35"/>
        <item x="27"/>
        <item x="31"/>
        <item x="2"/>
        <item x="4"/>
        <item x="21"/>
        <item x="22"/>
        <item x="10"/>
        <item x="5"/>
        <item x="32"/>
        <item x="33"/>
        <item x="16"/>
        <item x="29"/>
        <item x="17"/>
        <item x="7"/>
        <item x="26"/>
        <item x="24"/>
        <item x="3"/>
        <item x="8"/>
        <item x="18"/>
        <item x="30"/>
        <item x="20"/>
        <item x="19"/>
        <item x="0"/>
        <item t="default"/>
      </items>
    </pivotField>
    <pivotField showAll="0"/>
    <pivotField showAll="0">
      <items count="39">
        <item x="37"/>
        <item x="6"/>
        <item x="15"/>
        <item x="11"/>
        <item x="13"/>
        <item x="25"/>
        <item x="23"/>
        <item x="36"/>
        <item x="1"/>
        <item x="12"/>
        <item x="28"/>
        <item x="34"/>
        <item x="14"/>
        <item x="9"/>
        <item x="35"/>
        <item x="27"/>
        <item x="31"/>
        <item x="2"/>
        <item x="4"/>
        <item x="21"/>
        <item x="22"/>
        <item x="10"/>
        <item x="5"/>
        <item x="32"/>
        <item x="33"/>
        <item x="16"/>
        <item x="29"/>
        <item x="17"/>
        <item x="7"/>
        <item x="26"/>
        <item x="24"/>
        <item x="3"/>
        <item x="8"/>
        <item x="18"/>
        <item x="30"/>
        <item x="20"/>
        <item x="19"/>
        <item x="0"/>
        <item t="default"/>
      </items>
    </pivotField>
    <pivotField showAll="0"/>
    <pivotField showAll="0"/>
    <pivotField dataField="1" showAll="0">
      <items count="39">
        <item x="37"/>
        <item x="6"/>
        <item x="15"/>
        <item x="11"/>
        <item x="13"/>
        <item x="25"/>
        <item x="23"/>
        <item x="36"/>
        <item x="1"/>
        <item x="12"/>
        <item x="28"/>
        <item x="34"/>
        <item x="14"/>
        <item x="9"/>
        <item x="35"/>
        <item x="27"/>
        <item x="31"/>
        <item x="2"/>
        <item x="4"/>
        <item x="21"/>
        <item x="22"/>
        <item x="10"/>
        <item x="5"/>
        <item x="32"/>
        <item x="33"/>
        <item x="16"/>
        <item x="29"/>
        <item x="17"/>
        <item x="7"/>
        <item x="26"/>
        <item x="24"/>
        <item x="3"/>
        <item x="8"/>
        <item x="18"/>
        <item x="30"/>
        <item x="20"/>
        <item x="19"/>
        <item x="0"/>
        <item t="default"/>
      </items>
    </pivotField>
    <pivotField showAll="0">
      <items count="39">
        <item x="6"/>
        <item x="15"/>
        <item x="25"/>
        <item x="11"/>
        <item x="13"/>
        <item x="23"/>
        <item x="36"/>
        <item x="1"/>
        <item x="34"/>
        <item x="9"/>
        <item x="35"/>
        <item x="28"/>
        <item x="12"/>
        <item x="14"/>
        <item x="31"/>
        <item x="27"/>
        <item x="2"/>
        <item x="37"/>
        <item x="22"/>
        <item x="21"/>
        <item x="4"/>
        <item x="33"/>
        <item x="5"/>
        <item x="10"/>
        <item x="7"/>
        <item x="16"/>
        <item x="29"/>
        <item x="26"/>
        <item x="17"/>
        <item x="8"/>
        <item x="3"/>
        <item x="18"/>
        <item x="32"/>
        <item x="20"/>
        <item x="30"/>
        <item x="19"/>
        <item x="24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Total Ecology Fund" fld="8" baseField="2" baseItem="0" numFmtId="3"/>
  </dataFields>
  <formats count="7">
    <format dxfId="27">
      <pivotArea dataOnly="0" labelOnly="1" outline="0" axis="axisValues" fieldPosition="0"/>
    </format>
    <format dxfId="26">
      <pivotArea dataOnly="0" labelOnly="1" outline="0" axis="axisValues" fieldPosition="0"/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dataOnly="0" labelOnly="1" outline="0" axis="axisValues" fieldPosition="0"/>
    </format>
    <format dxfId="22">
      <pivotArea dataOnly="0" labelOnly="1" outline="0" axis="axisValues" fieldPosition="0"/>
    </format>
    <format dxfId="21">
      <pivotArea outline="0" fieldPosition="0">
        <references count="1">
          <reference field="4294967294" count="1">
            <x v="0"/>
          </reference>
        </references>
      </pivotArea>
    </format>
  </formats>
  <chartFormats count="12">
    <chartFormat chart="2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8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8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0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2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2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DE5C45-F146-47B5-938E-D3B2FE580033}" name="PivotTable6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7" indent="0" outline="1" outlineData="1" multipleFieldFilters="0">
  <location ref="AD5:AE43" firstHeaderRow="1" firstDataRow="1" firstDataCol="1"/>
  <pivotFields count="10">
    <pivotField showAll="0"/>
    <pivotField axis="axisRow" showAll="0" sortType="descending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37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2"/>
        <item x="1"/>
        <item x="0"/>
        <item t="default"/>
      </items>
    </pivotField>
    <pivotField dataField="1" showAll="0">
      <items count="39">
        <item x="37"/>
        <item x="6"/>
        <item x="15"/>
        <item x="11"/>
        <item x="13"/>
        <item x="25"/>
        <item x="23"/>
        <item x="36"/>
        <item x="1"/>
        <item x="12"/>
        <item x="28"/>
        <item x="34"/>
        <item x="14"/>
        <item x="9"/>
        <item x="35"/>
        <item x="27"/>
        <item x="31"/>
        <item x="2"/>
        <item x="4"/>
        <item x="21"/>
        <item x="22"/>
        <item x="10"/>
        <item x="5"/>
        <item x="32"/>
        <item x="33"/>
        <item x="16"/>
        <item x="29"/>
        <item x="17"/>
        <item x="7"/>
        <item x="26"/>
        <item x="24"/>
        <item x="3"/>
        <item x="8"/>
        <item x="18"/>
        <item x="30"/>
        <item x="20"/>
        <item x="19"/>
        <item x="0"/>
        <item t="default"/>
      </items>
    </pivotField>
    <pivotField showAll="0"/>
    <pivotField showAll="0">
      <items count="39">
        <item x="37"/>
        <item x="6"/>
        <item x="15"/>
        <item x="11"/>
        <item x="13"/>
        <item x="25"/>
        <item x="23"/>
        <item x="36"/>
        <item x="1"/>
        <item x="12"/>
        <item x="28"/>
        <item x="34"/>
        <item x="14"/>
        <item x="9"/>
        <item x="35"/>
        <item x="27"/>
        <item x="31"/>
        <item x="2"/>
        <item x="4"/>
        <item x="21"/>
        <item x="22"/>
        <item x="10"/>
        <item x="5"/>
        <item x="32"/>
        <item x="33"/>
        <item x="16"/>
        <item x="29"/>
        <item x="17"/>
        <item x="7"/>
        <item x="26"/>
        <item x="24"/>
        <item x="3"/>
        <item x="8"/>
        <item x="18"/>
        <item x="30"/>
        <item x="20"/>
        <item x="19"/>
        <item x="0"/>
        <item t="default"/>
      </items>
    </pivotField>
    <pivotField showAll="0"/>
    <pivotField showAll="0"/>
    <pivotField showAll="0"/>
    <pivotField showAll="0">
      <items count="39">
        <item x="6"/>
        <item x="15"/>
        <item x="25"/>
        <item x="11"/>
        <item x="13"/>
        <item x="23"/>
        <item x="36"/>
        <item x="1"/>
        <item x="34"/>
        <item x="9"/>
        <item x="35"/>
        <item x="28"/>
        <item x="12"/>
        <item x="14"/>
        <item x="31"/>
        <item x="27"/>
        <item x="2"/>
        <item x="37"/>
        <item x="22"/>
        <item x="21"/>
        <item x="4"/>
        <item x="33"/>
        <item x="5"/>
        <item x="10"/>
        <item x="7"/>
        <item x="16"/>
        <item x="29"/>
        <item x="26"/>
        <item x="17"/>
        <item x="8"/>
        <item x="3"/>
        <item x="18"/>
        <item x="32"/>
        <item x="20"/>
        <item x="30"/>
        <item x="19"/>
        <item x="24"/>
        <item x="0"/>
        <item t="default"/>
      </items>
    </pivotField>
  </pivotFields>
  <rowFields count="1">
    <field x="1"/>
  </rowFields>
  <rowItems count="38">
    <i>
      <x v="19"/>
    </i>
    <i>
      <x v="20"/>
    </i>
    <i>
      <x v="30"/>
    </i>
    <i>
      <x v="18"/>
    </i>
    <i>
      <x v="7"/>
    </i>
    <i>
      <x v="2"/>
    </i>
    <i>
      <x v="24"/>
    </i>
    <i>
      <x v="26"/>
    </i>
    <i>
      <x v="6"/>
    </i>
    <i>
      <x v="17"/>
    </i>
    <i>
      <x v="29"/>
    </i>
    <i>
      <x v="16"/>
    </i>
    <i>
      <x v="33"/>
    </i>
    <i>
      <x v="32"/>
    </i>
    <i>
      <x v="4"/>
    </i>
    <i>
      <x v="9"/>
    </i>
    <i>
      <x v="22"/>
    </i>
    <i>
      <x v="21"/>
    </i>
    <i>
      <x v="3"/>
    </i>
    <i>
      <x v="1"/>
    </i>
    <i>
      <x v="31"/>
    </i>
    <i>
      <x v="27"/>
    </i>
    <i>
      <x v="35"/>
    </i>
    <i>
      <x v="8"/>
    </i>
    <i>
      <x v="13"/>
    </i>
    <i>
      <x v="34"/>
    </i>
    <i>
      <x v="28"/>
    </i>
    <i>
      <x v="11"/>
    </i>
    <i>
      <x/>
    </i>
    <i>
      <x v="36"/>
    </i>
    <i>
      <x v="23"/>
    </i>
    <i>
      <x v="25"/>
    </i>
    <i>
      <x v="12"/>
    </i>
    <i>
      <x v="10"/>
    </i>
    <i>
      <x v="15"/>
    </i>
    <i>
      <x v="5"/>
    </i>
    <i>
      <x v="14"/>
    </i>
    <i>
      <x v="37"/>
    </i>
  </rowItems>
  <colItems count="1">
    <i/>
  </colItems>
  <dataFields count="1">
    <dataField name="Sum of Gross Statutory Allocation" fld="3" baseField="1" baseItem="0" numFmtId="3"/>
  </dataFields>
  <formats count="7">
    <format dxfId="34">
      <pivotArea dataOnly="0" labelOnly="1" outline="0" axis="axisValues" fieldPosition="0"/>
    </format>
    <format dxfId="33">
      <pivotArea dataOnly="0" labelOnly="1" outline="0" axis="axisValues" fieldPosition="0"/>
    </format>
    <format dxfId="32">
      <pivotArea type="all" dataOnly="0" outline="0" fieldPosition="0"/>
    </format>
    <format dxfId="31">
      <pivotArea outline="0" collapsedLevelsAreSubtotals="1" fieldPosition="0"/>
    </format>
    <format dxfId="30">
      <pivotArea dataOnly="0" labelOnly="1" outline="0" axis="axisValues" fieldPosition="0"/>
    </format>
    <format dxfId="29">
      <pivotArea dataOnly="0" labelOnly="1" outline="0" axis="axisValues" fieldPosition="0"/>
    </format>
    <format dxfId="2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EAF08B-5705-47E7-BDD3-D0772AE422B0}" name="PivotTable12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7" indent="0" outline="1" outlineData="1" multipleFieldFilters="0" chartFormat="38">
  <location ref="BP5:BQ22" firstHeaderRow="1" firstDataRow="1" firstDataCol="1" rowPageCount="1" colPageCount="1"/>
  <pivotFields count="10">
    <pivotField showAll="0"/>
    <pivotField axis="axisRow" showAl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37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  <item t="default"/>
      </items>
    </pivotField>
    <pivotField axis="axisPage" multipleItemSelectionAllowed="1" showAll="0">
      <items count="4">
        <item h="1" x="2"/>
        <item x="1"/>
        <item h="1" x="0"/>
        <item t="default"/>
      </items>
    </pivotField>
    <pivotField showAll="0">
      <items count="39">
        <item x="37"/>
        <item x="6"/>
        <item x="15"/>
        <item x="11"/>
        <item x="13"/>
        <item x="25"/>
        <item x="23"/>
        <item x="36"/>
        <item x="1"/>
        <item x="12"/>
        <item x="28"/>
        <item x="34"/>
        <item x="14"/>
        <item x="9"/>
        <item x="35"/>
        <item x="27"/>
        <item x="31"/>
        <item x="2"/>
        <item x="4"/>
        <item x="21"/>
        <item x="22"/>
        <item x="10"/>
        <item x="5"/>
        <item x="32"/>
        <item x="33"/>
        <item x="16"/>
        <item x="29"/>
        <item x="17"/>
        <item x="7"/>
        <item x="26"/>
        <item x="24"/>
        <item x="3"/>
        <item x="8"/>
        <item x="18"/>
        <item x="30"/>
        <item x="20"/>
        <item x="19"/>
        <item x="0"/>
        <item t="default"/>
      </items>
    </pivotField>
    <pivotField showAll="0"/>
    <pivotField showAll="0">
      <items count="39">
        <item x="37"/>
        <item x="6"/>
        <item x="15"/>
        <item x="11"/>
        <item x="13"/>
        <item x="25"/>
        <item x="23"/>
        <item x="36"/>
        <item x="1"/>
        <item x="12"/>
        <item x="28"/>
        <item x="34"/>
        <item x="14"/>
        <item x="9"/>
        <item x="35"/>
        <item x="27"/>
        <item x="31"/>
        <item x="2"/>
        <item x="4"/>
        <item x="21"/>
        <item x="22"/>
        <item x="10"/>
        <item x="5"/>
        <item x="32"/>
        <item x="33"/>
        <item x="16"/>
        <item x="29"/>
        <item x="17"/>
        <item x="7"/>
        <item x="26"/>
        <item x="24"/>
        <item x="3"/>
        <item x="8"/>
        <item x="18"/>
        <item x="30"/>
        <item x="20"/>
        <item x="19"/>
        <item x="0"/>
        <item t="default"/>
      </items>
    </pivotField>
    <pivotField dataField="1" showAll="0">
      <items count="39">
        <item h="1" x="37"/>
        <item h="1" x="6"/>
        <item h="1" x="15"/>
        <item h="1" x="11"/>
        <item h="1" x="13"/>
        <item h="1" x="25"/>
        <item h="1" x="23"/>
        <item h="1" x="36"/>
        <item h="1" x="1"/>
        <item h="1" x="12"/>
        <item h="1" x="28"/>
        <item h="1" x="34"/>
        <item h="1" x="14"/>
        <item h="1" x="9"/>
        <item h="1" x="35"/>
        <item h="1" x="27"/>
        <item h="1" x="31"/>
        <item h="1" x="2"/>
        <item h="1" x="4"/>
        <item h="1" x="21"/>
        <item h="1" x="22"/>
        <item h="1" x="10"/>
        <item h="1" x="5"/>
        <item h="1" x="32"/>
        <item h="1" x="33"/>
        <item h="1" x="16"/>
        <item h="1" x="29"/>
        <item h="1" x="17"/>
        <item h="1" x="7"/>
        <item h="1" x="26"/>
        <item h="1" x="24"/>
        <item h="1" x="3"/>
        <item h="1" x="8"/>
        <item h="1" x="18"/>
        <item x="30"/>
        <item h="1" x="20"/>
        <item h="1" x="19"/>
        <item h="1" x="0"/>
        <item t="default"/>
      </items>
    </pivotField>
    <pivotField showAll="0">
      <items count="39">
        <item x="6"/>
        <item x="15"/>
        <item x="25"/>
        <item x="11"/>
        <item x="34"/>
        <item x="36"/>
        <item x="23"/>
        <item x="13"/>
        <item x="1"/>
        <item x="35"/>
        <item x="9"/>
        <item x="31"/>
        <item x="14"/>
        <item x="12"/>
        <item x="28"/>
        <item x="2"/>
        <item x="21"/>
        <item x="22"/>
        <item x="27"/>
        <item x="4"/>
        <item x="5"/>
        <item x="33"/>
        <item x="7"/>
        <item x="26"/>
        <item x="16"/>
        <item x="10"/>
        <item x="8"/>
        <item x="29"/>
        <item x="17"/>
        <item x="3"/>
        <item x="18"/>
        <item x="20"/>
        <item x="30"/>
        <item x="32"/>
        <item x="37"/>
        <item x="19"/>
        <item x="24"/>
        <item x="0"/>
        <item t="default"/>
      </items>
    </pivotField>
    <pivotField showAll="0"/>
    <pivotField showAll="0">
      <items count="39">
        <item x="6"/>
        <item x="15"/>
        <item x="25"/>
        <item x="11"/>
        <item x="13"/>
        <item x="23"/>
        <item x="36"/>
        <item x="1"/>
        <item x="34"/>
        <item x="9"/>
        <item x="35"/>
        <item x="28"/>
        <item x="12"/>
        <item x="14"/>
        <item x="31"/>
        <item x="27"/>
        <item x="2"/>
        <item x="37"/>
        <item x="22"/>
        <item x="21"/>
        <item x="4"/>
        <item x="33"/>
        <item x="5"/>
        <item x="10"/>
        <item x="7"/>
        <item x="16"/>
        <item x="29"/>
        <item x="26"/>
        <item x="17"/>
        <item x="8"/>
        <item x="3"/>
        <item x="18"/>
        <item x="32"/>
        <item x="20"/>
        <item x="30"/>
        <item x="19"/>
        <item x="24"/>
        <item x="0"/>
        <item t="default"/>
      </items>
    </pivotField>
  </pivotFields>
  <rowFields count="1">
    <field x="1"/>
  </rowFields>
  <rowItems count="17">
    <i>
      <x/>
    </i>
    <i>
      <x v="2"/>
    </i>
    <i>
      <x v="3"/>
    </i>
    <i>
      <x v="5"/>
    </i>
    <i>
      <x v="8"/>
    </i>
    <i>
      <x v="9"/>
    </i>
    <i>
      <x v="10"/>
    </i>
    <i>
      <x v="11"/>
    </i>
    <i>
      <x v="12"/>
    </i>
    <i>
      <x v="13"/>
    </i>
    <i>
      <x v="16"/>
    </i>
    <i>
      <x v="24"/>
    </i>
    <i>
      <x v="27"/>
    </i>
    <i>
      <x v="28"/>
    </i>
    <i>
      <x v="29"/>
    </i>
    <i>
      <x v="30"/>
    </i>
    <i>
      <x v="32"/>
    </i>
  </rowItems>
  <colItems count="1">
    <i/>
  </colItems>
  <pageFields count="1">
    <pageField fld="2" hier="-1"/>
  </pageFields>
  <dataFields count="1">
    <dataField name="Sum of Excess Bank Charges " fld="6" baseField="1" baseItem="0" numFmtId="168"/>
  </dataFields>
  <formats count="7">
    <format dxfId="41">
      <pivotArea dataOnly="0" labelOnly="1" outline="0" axis="axisValues" fieldPosition="0"/>
    </format>
    <format dxfId="40">
      <pivotArea dataOnly="0" labelOnly="1" outline="0" axis="axisValues" fieldPosition="0"/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dataOnly="0" labelOnly="1" outline="0" axis="axisValues" fieldPosition="0"/>
    </format>
    <format dxfId="36">
      <pivotArea dataOnly="0" labelOnly="1" outline="0" axis="axisValues" fieldPosition="0"/>
    </format>
    <format dxfId="35">
      <pivotArea outline="0" fieldPosition="0">
        <references count="1">
          <reference field="4294967294" count="1">
            <x v="0"/>
          </reference>
        </references>
      </pivotArea>
    </format>
  </formats>
  <chartFormats count="3">
    <chartFormat chart="3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9AA17F-42DB-4C09-AB1E-7663C11B1F55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L5:M43" firstHeaderRow="1" firstDataRow="1" firstDataCol="1"/>
  <pivotFields count="10">
    <pivotField showAll="0"/>
    <pivotField axis="axisRow" showAl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37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h="1" x="0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39">
        <item x="37"/>
        <item x="6"/>
        <item x="15"/>
        <item x="11"/>
        <item x="13"/>
        <item x="25"/>
        <item x="23"/>
        <item x="36"/>
        <item x="1"/>
        <item x="12"/>
        <item x="28"/>
        <item x="34"/>
        <item x="14"/>
        <item x="9"/>
        <item x="35"/>
        <item x="27"/>
        <item x="31"/>
        <item x="2"/>
        <item x="4"/>
        <item x="21"/>
        <item x="22"/>
        <item x="10"/>
        <item x="5"/>
        <item x="32"/>
        <item x="33"/>
        <item x="16"/>
        <item x="29"/>
        <item x="17"/>
        <item x="7"/>
        <item x="26"/>
        <item x="24"/>
        <item x="3"/>
        <item x="8"/>
        <item x="18"/>
        <item x="30"/>
        <item x="20"/>
        <item x="19"/>
        <item x="0"/>
        <item t="default"/>
      </items>
    </pivotField>
    <pivotField showAll="0"/>
    <pivotField showAll="0">
      <items count="39">
        <item x="37"/>
        <item x="6"/>
        <item x="15"/>
        <item x="11"/>
        <item x="13"/>
        <item x="25"/>
        <item x="23"/>
        <item x="36"/>
        <item x="1"/>
        <item x="12"/>
        <item x="28"/>
        <item x="34"/>
        <item x="14"/>
        <item x="9"/>
        <item x="35"/>
        <item x="27"/>
        <item x="31"/>
        <item x="2"/>
        <item x="4"/>
        <item x="21"/>
        <item x="22"/>
        <item x="10"/>
        <item x="5"/>
        <item x="32"/>
        <item x="33"/>
        <item x="16"/>
        <item x="29"/>
        <item x="17"/>
        <item x="7"/>
        <item x="26"/>
        <item x="24"/>
        <item x="3"/>
        <item x="8"/>
        <item x="18"/>
        <item x="30"/>
        <item x="20"/>
        <item x="19"/>
        <item x="0"/>
        <item t="default"/>
      </items>
    </pivotField>
    <pivotField showAll="0"/>
    <pivotField showAll="0"/>
    <pivotField showAll="0"/>
    <pivotField dataField="1" showAll="0">
      <items count="39">
        <item x="6"/>
        <item x="15"/>
        <item x="25"/>
        <item x="11"/>
        <item x="13"/>
        <item x="23"/>
        <item x="36"/>
        <item x="1"/>
        <item x="34"/>
        <item x="9"/>
        <item x="35"/>
        <item x="28"/>
        <item x="12"/>
        <item x="14"/>
        <item x="31"/>
        <item x="27"/>
        <item x="2"/>
        <item x="37"/>
        <item x="22"/>
        <item x="21"/>
        <item x="4"/>
        <item x="33"/>
        <item x="5"/>
        <item x="10"/>
        <item x="7"/>
        <item x="16"/>
        <item x="29"/>
        <item x="26"/>
        <item x="17"/>
        <item x="8"/>
        <item x="3"/>
        <item x="18"/>
        <item x="32"/>
        <item x="20"/>
        <item x="30"/>
        <item x="19"/>
        <item x="24"/>
        <item x="0"/>
        <item t="default"/>
      </items>
    </pivotField>
  </pivotFields>
  <rowFields count="1">
    <field x="1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Sum of Total" fld="9" baseField="1" baseItem="0" numFmtId="3"/>
  </dataFields>
  <formats count="7">
    <format dxfId="48">
      <pivotArea dataOnly="0" labelOnly="1" outline="0" axis="axisValues" fieldPosition="0"/>
    </format>
    <format dxfId="47">
      <pivotArea dataOnly="0" labelOnly="1" outline="0" axis="axisValues" fieldPosition="0"/>
    </format>
    <format dxfId="46">
      <pivotArea type="all" dataOnly="0" outline="0" fieldPosition="0"/>
    </format>
    <format dxfId="45">
      <pivotArea outline="0" collapsedLevelsAreSubtotals="1" fieldPosition="0"/>
    </format>
    <format dxfId="44">
      <pivotArea dataOnly="0" labelOnly="1" outline="0" axis="axisValues" fieldPosition="0"/>
    </format>
    <format dxfId="43">
      <pivotArea dataOnly="0" labelOnly="1" outline="0" axis="axisValues" fieldPosition="0"/>
    </format>
    <format dxfId="4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89ED46-E11C-4ADA-966A-611CEDA3FE61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5:B6" firstHeaderRow="1" firstDataRow="1" firstDataCol="0"/>
  <pivotFields count="10">
    <pivotField showAll="0"/>
    <pivotField showAll="0"/>
    <pivotField showAll="0"/>
    <pivotField dataField="1" showAll="0">
      <items count="39">
        <item x="37"/>
        <item x="6"/>
        <item x="15"/>
        <item x="11"/>
        <item x="13"/>
        <item x="25"/>
        <item x="23"/>
        <item x="36"/>
        <item x="1"/>
        <item x="12"/>
        <item x="28"/>
        <item x="34"/>
        <item x="14"/>
        <item x="9"/>
        <item x="35"/>
        <item x="27"/>
        <item x="31"/>
        <item x="2"/>
        <item x="4"/>
        <item x="21"/>
        <item x="22"/>
        <item x="10"/>
        <item x="5"/>
        <item x="32"/>
        <item x="33"/>
        <item x="16"/>
        <item x="29"/>
        <item x="17"/>
        <item x="7"/>
        <item x="26"/>
        <item x="24"/>
        <item x="3"/>
        <item x="8"/>
        <item x="18"/>
        <item x="30"/>
        <item x="20"/>
        <item x="19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Gross Statutory Allocation" fld="3" baseField="0" baseItem="0" numFmtId="3"/>
  </dataFields>
  <formats count="6">
    <format dxfId="54">
      <pivotArea dataOnly="0" labelOnly="1" outline="0" axis="axisValues" fieldPosition="0"/>
    </format>
    <format dxfId="53">
      <pivotArea dataOnly="0" labelOnly="1" outline="0" axis="axisValues" fieldPosition="0"/>
    </format>
    <format dxfId="52">
      <pivotArea outline="0" fieldPosition="0">
        <references count="1">
          <reference field="4294967294" count="1">
            <x v="0"/>
          </reference>
        </references>
      </pivotArea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0261C3-8786-4C38-B9B1-4F0D920240B0}" name="PivotTable4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P5:Q9" firstHeaderRow="1" firstDataRow="1" firstDataCol="1"/>
  <pivotFields count="10">
    <pivotField showAll="0"/>
    <pivotField showAll="0"/>
    <pivotField axis="axisRow" showAll="0">
      <items count="4">
        <item x="2"/>
        <item x="1"/>
        <item x="0"/>
        <item t="default"/>
      </items>
    </pivotField>
    <pivotField dataField="1" showAll="0">
      <items count="39">
        <item x="37"/>
        <item x="6"/>
        <item x="15"/>
        <item x="11"/>
        <item x="13"/>
        <item x="25"/>
        <item x="23"/>
        <item x="36"/>
        <item x="1"/>
        <item x="12"/>
        <item x="28"/>
        <item x="34"/>
        <item x="14"/>
        <item x="9"/>
        <item x="35"/>
        <item x="27"/>
        <item x="31"/>
        <item x="2"/>
        <item x="4"/>
        <item x="21"/>
        <item x="22"/>
        <item x="10"/>
        <item x="5"/>
        <item x="32"/>
        <item x="33"/>
        <item x="16"/>
        <item x="29"/>
        <item x="17"/>
        <item x="7"/>
        <item x="26"/>
        <item x="24"/>
        <item x="3"/>
        <item x="8"/>
        <item x="18"/>
        <item x="30"/>
        <item x="20"/>
        <item x="19"/>
        <item x="0"/>
        <item t="default"/>
      </items>
    </pivotField>
    <pivotField showAll="0"/>
    <pivotField showAll="0">
      <items count="39">
        <item x="37"/>
        <item x="6"/>
        <item x="15"/>
        <item x="11"/>
        <item x="13"/>
        <item x="25"/>
        <item x="23"/>
        <item x="36"/>
        <item x="1"/>
        <item x="12"/>
        <item x="28"/>
        <item x="34"/>
        <item x="14"/>
        <item x="9"/>
        <item x="35"/>
        <item x="27"/>
        <item x="31"/>
        <item x="2"/>
        <item x="4"/>
        <item x="21"/>
        <item x="22"/>
        <item x="10"/>
        <item x="5"/>
        <item x="32"/>
        <item x="33"/>
        <item x="16"/>
        <item x="29"/>
        <item x="17"/>
        <item x="7"/>
        <item x="26"/>
        <item x="24"/>
        <item x="3"/>
        <item x="8"/>
        <item x="18"/>
        <item x="30"/>
        <item x="20"/>
        <item x="19"/>
        <item x="0"/>
        <item t="default"/>
      </items>
    </pivotField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Gross Statutory Allocation" fld="3" baseField="2" baseItem="1" numFmtId="3"/>
  </dataFields>
  <formats count="7">
    <format dxfId="61">
      <pivotArea dataOnly="0" labelOnly="1" outline="0" axis="axisValues" fieldPosition="0"/>
    </format>
    <format dxfId="60">
      <pivotArea dataOnly="0" labelOnly="1" outline="0" axis="axisValues" fieldPosition="0"/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dataOnly="0" labelOnly="1" outline="0" axis="axisValues" fieldPosition="0"/>
    </format>
    <format dxfId="56">
      <pivotArea dataOnly="0" labelOnly="1" outline="0" axis="axisValues" fieldPosition="0"/>
    </format>
    <format dxfId="5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70E075-F697-4D40-B540-37ACD1885E3D}" name="Table3" displayName="Table3" ref="C10:L48" totalsRowShown="0" headerRowDxfId="97" dataDxfId="95" headerRowBorderDxfId="96" tableBorderDxfId="94" totalsRowBorderDxfId="93" headerRowCellStyle="Normal_TOTALDATA_1" dataCellStyle="Comma">
  <autoFilter ref="C10:L48" xr:uid="{0D70E075-F697-4D40-B540-37ACD1885E3D}">
    <filterColumn colId="0" hiddenButton="1"/>
    <filterColumn colId="1" hiddenButton="1"/>
    <filterColumn colId="2" hiddenButton="1">
      <filters>
        <filter val="NORTH"/>
        <filter val="SOUTH"/>
      </filters>
    </filterColumn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26296671-BE10-46A4-B807-707F68E08CB1}" name="S/n" dataDxfId="92" dataCellStyle="Normal_lgc eco dec 21"/>
    <tableColumn id="2" xr3:uid="{90E84625-3275-48F5-BBE5-06564D5495BF}" name="State" dataDxfId="91" dataCellStyle="Normal_lgc eco dec 21"/>
    <tableColumn id="10" xr3:uid="{C35FBC77-8CF5-416A-B894-67761444EDE3}" name="Zone" dataDxfId="90" dataCellStyle="Normal_lgc eco dec 21"/>
    <tableColumn id="3" xr3:uid="{66EE08F9-9786-4B8E-B34D-56FB508B1E5D}" name="Gross Statutory Allocation" dataDxfId="89" dataCellStyle="Comma"/>
    <tableColumn id="4" xr3:uid="{70038114-F256-478B-9928-3799376077C0}" name="Deduction" dataDxfId="88" dataCellStyle="Comma"/>
    <tableColumn id="5" xr3:uid="{0218F1CA-F56C-49D1-ABDF-DC06FEA63A8B}" name="Exchange Gain" dataDxfId="87" dataCellStyle="Comma"/>
    <tableColumn id="6" xr3:uid="{0CADA0F3-3676-4FC0-8FF6-55C27DA4FFBB}" name="Excess Bank Charges " dataDxfId="86" dataCellStyle="Comma"/>
    <tableColumn id="7" xr3:uid="{2D4B86DC-E5BF-46CE-AD74-E1AB1E790DD8}" name="VAT" dataDxfId="85" dataCellStyle="Comma"/>
    <tableColumn id="8" xr3:uid="{B40E353D-6399-4CED-8ED7-476FF1AD4C6F}" name="Total Ecology Fund" dataDxfId="84" dataCellStyle="Normal_lgc eco dec 21"/>
    <tableColumn id="9" xr3:uid="{8FACFC4B-BBA8-42C0-BF83-A89A4B2CFE19}" name="Total" dataDxfId="8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rinterSettings" Target="../printerSettings/printerSettings3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661B0-67D4-46C1-95F2-BDA5C92D0E11}">
  <sheetPr>
    <tabColor rgb="FFC00000"/>
    <pageSetUpPr fitToPage="1"/>
  </sheetPr>
  <dimension ref="B2:Q54"/>
  <sheetViews>
    <sheetView showGridLines="0" showRowColHeaders="0" topLeftCell="A2" zoomScale="50" zoomScaleNormal="50" workbookViewId="0">
      <selection activeCell="L37" sqref="C10:L37"/>
    </sheetView>
  </sheetViews>
  <sheetFormatPr defaultColWidth="8.85546875" defaultRowHeight="18.75" x14ac:dyDescent="0.3"/>
  <cols>
    <col min="1" max="2" width="8.85546875" style="1"/>
    <col min="3" max="3" width="7.140625" style="1" customWidth="1"/>
    <col min="4" max="4" width="20.140625" style="1" customWidth="1"/>
    <col min="5" max="5" width="32.85546875" style="1" customWidth="1"/>
    <col min="6" max="6" width="25.42578125" style="1" customWidth="1"/>
    <col min="7" max="7" width="23.5703125" style="1" bestFit="1" customWidth="1"/>
    <col min="8" max="8" width="26.5703125" style="1" customWidth="1"/>
    <col min="9" max="9" width="26.42578125" style="1" customWidth="1"/>
    <col min="10" max="10" width="26.28515625" style="1" customWidth="1"/>
    <col min="11" max="11" width="27.85546875" style="1" customWidth="1"/>
    <col min="12" max="12" width="29.7109375" style="1" bestFit="1" customWidth="1"/>
    <col min="13" max="13" width="8.85546875" style="1"/>
    <col min="14" max="14" width="21.7109375" style="1" bestFit="1" customWidth="1"/>
    <col min="15" max="15" width="20.42578125" style="1" bestFit="1" customWidth="1"/>
    <col min="16" max="16" width="21.7109375" style="1" bestFit="1" customWidth="1"/>
    <col min="17" max="16384" width="8.85546875" style="1"/>
  </cols>
  <sheetData>
    <row r="2" spans="2:17" ht="20.100000000000001" customHeight="1" x14ac:dyDescent="0.3">
      <c r="B2" s="47" t="s">
        <v>53</v>
      </c>
      <c r="C2" s="47"/>
      <c r="D2" s="47"/>
      <c r="E2" s="47"/>
      <c r="F2" s="4"/>
    </row>
    <row r="3" spans="2:17" ht="20.100000000000001" customHeight="1" x14ac:dyDescent="0.3">
      <c r="B3" s="47" t="s">
        <v>51</v>
      </c>
      <c r="C3" s="47"/>
      <c r="D3" s="47"/>
      <c r="E3" s="47"/>
      <c r="F3" s="4"/>
    </row>
    <row r="4" spans="2:17" ht="20.100000000000001" customHeight="1" x14ac:dyDescent="0.3">
      <c r="B4" s="11" t="s">
        <v>52</v>
      </c>
      <c r="C4" s="11"/>
      <c r="D4" s="11"/>
      <c r="E4" s="11"/>
      <c r="F4" s="4"/>
    </row>
    <row r="6" spans="2:17" x14ac:dyDescent="0.3">
      <c r="C6" s="48" t="s">
        <v>0</v>
      </c>
      <c r="D6" s="48"/>
      <c r="E6" s="48"/>
      <c r="F6" s="48"/>
      <c r="G6" s="48"/>
      <c r="H6" s="48"/>
      <c r="I6" s="48"/>
      <c r="J6" s="48"/>
      <c r="K6" s="48"/>
    </row>
    <row r="7" spans="2:17" x14ac:dyDescent="0.3">
      <c r="C7" s="48" t="s">
        <v>1</v>
      </c>
      <c r="D7" s="48"/>
      <c r="E7" s="48"/>
      <c r="F7" s="48"/>
      <c r="G7" s="48"/>
      <c r="H7" s="48"/>
      <c r="I7" s="48"/>
      <c r="J7" s="48"/>
      <c r="K7" s="48"/>
    </row>
    <row r="8" spans="2:17" x14ac:dyDescent="0.3">
      <c r="C8" s="25" t="s">
        <v>2</v>
      </c>
      <c r="D8" s="25"/>
      <c r="E8" s="25"/>
      <c r="F8" s="25"/>
      <c r="G8" s="25"/>
      <c r="H8" s="25"/>
      <c r="I8" s="25"/>
      <c r="J8" s="25"/>
      <c r="K8" s="25"/>
    </row>
    <row r="9" spans="2:17" x14ac:dyDescent="0.3">
      <c r="C9" s="12"/>
      <c r="D9" s="12"/>
      <c r="E9" s="12"/>
      <c r="F9" s="12"/>
      <c r="G9" s="12"/>
      <c r="H9" s="12"/>
      <c r="I9" s="12"/>
      <c r="J9" s="12"/>
      <c r="K9" s="12"/>
    </row>
    <row r="10" spans="2:17" ht="20.100000000000001" customHeight="1" x14ac:dyDescent="0.3">
      <c r="C10" s="13" t="s">
        <v>3</v>
      </c>
      <c r="D10" s="14" t="s">
        <v>4</v>
      </c>
      <c r="E10" s="14" t="s">
        <v>54</v>
      </c>
      <c r="F10" s="15" t="s">
        <v>5</v>
      </c>
      <c r="G10" s="15" t="s">
        <v>6</v>
      </c>
      <c r="H10" s="16" t="s">
        <v>7</v>
      </c>
      <c r="I10" s="16" t="s">
        <v>8</v>
      </c>
      <c r="J10" s="16" t="s">
        <v>9</v>
      </c>
      <c r="K10" s="16" t="s">
        <v>10</v>
      </c>
      <c r="L10" s="17" t="s">
        <v>11</v>
      </c>
    </row>
    <row r="11" spans="2:17" hidden="1" x14ac:dyDescent="0.3">
      <c r="C11" s="13"/>
      <c r="D11" s="14"/>
      <c r="E11" s="14"/>
      <c r="F11" s="18" t="s">
        <v>12</v>
      </c>
      <c r="G11" s="18" t="s">
        <v>12</v>
      </c>
      <c r="H11" s="18" t="s">
        <v>12</v>
      </c>
      <c r="I11" s="18" t="s">
        <v>12</v>
      </c>
      <c r="J11" s="18" t="s">
        <v>12</v>
      </c>
      <c r="K11" s="18" t="s">
        <v>12</v>
      </c>
      <c r="L11" s="18" t="s">
        <v>12</v>
      </c>
      <c r="O11" s="2"/>
      <c r="P11" s="2"/>
      <c r="Q11" s="3"/>
    </row>
    <row r="12" spans="2:17" x14ac:dyDescent="0.3">
      <c r="C12" s="10">
        <v>1</v>
      </c>
      <c r="D12" s="6" t="s">
        <v>13</v>
      </c>
      <c r="E12" s="26" t="s">
        <v>56</v>
      </c>
      <c r="F12" s="7">
        <v>1827103489.2199001</v>
      </c>
      <c r="G12" s="7">
        <f>-990419.4899</f>
        <v>-990419.48990000004</v>
      </c>
      <c r="H12" s="7">
        <v>15331363.9549</v>
      </c>
      <c r="I12" s="7">
        <v>1817871.6576</v>
      </c>
      <c r="J12" s="7">
        <v>1114482446.5639</v>
      </c>
      <c r="K12" s="8">
        <v>55327581.744800001</v>
      </c>
      <c r="L12" s="9">
        <f>SUM(F12:K12)</f>
        <v>3013072333.6511998</v>
      </c>
      <c r="P12" s="2"/>
      <c r="Q12" s="3"/>
    </row>
    <row r="13" spans="2:17" x14ac:dyDescent="0.3">
      <c r="C13" s="19">
        <v>2</v>
      </c>
      <c r="D13" s="20" t="s">
        <v>14</v>
      </c>
      <c r="E13" s="27" t="s">
        <v>55</v>
      </c>
      <c r="F13" s="21">
        <v>2304628819.5699997</v>
      </c>
      <c r="G13" s="21">
        <f>-1223459.37</f>
        <v>-1223459.3700000001</v>
      </c>
      <c r="H13" s="21">
        <v>19338315.220400002</v>
      </c>
      <c r="I13" s="21">
        <v>2292984.1893000002</v>
      </c>
      <c r="J13" s="21">
        <v>1347972191.1024001</v>
      </c>
      <c r="K13" s="22">
        <v>69787803.569100007</v>
      </c>
      <c r="L13" s="23">
        <f t="shared" ref="L13:L48" si="0">SUM(F13:K13)</f>
        <v>3742796654.2811999</v>
      </c>
      <c r="O13" s="2"/>
      <c r="P13" s="2"/>
      <c r="Q13" s="3"/>
    </row>
    <row r="14" spans="2:17" x14ac:dyDescent="0.3">
      <c r="C14" s="10">
        <v>3</v>
      </c>
      <c r="D14" s="6" t="s">
        <v>15</v>
      </c>
      <c r="E14" s="26" t="s">
        <v>56</v>
      </c>
      <c r="F14" s="7">
        <v>3069630161.3399</v>
      </c>
      <c r="G14" s="7">
        <f>-1806059.0699</f>
        <v>-1806059.0699</v>
      </c>
      <c r="H14" s="7">
        <v>25757499.5009</v>
      </c>
      <c r="I14" s="7">
        <v>3054120.1976999999</v>
      </c>
      <c r="J14" s="7">
        <v>1909403119.9026</v>
      </c>
      <c r="K14" s="8">
        <v>92953253.430700004</v>
      </c>
      <c r="L14" s="9">
        <f t="shared" si="0"/>
        <v>5098992095.3018999</v>
      </c>
      <c r="O14" s="2"/>
      <c r="P14" s="2"/>
      <c r="Q14" s="3"/>
    </row>
    <row r="15" spans="2:17" x14ac:dyDescent="0.3">
      <c r="C15" s="19">
        <v>4</v>
      </c>
      <c r="D15" s="20" t="s">
        <v>16</v>
      </c>
      <c r="E15" s="27" t="s">
        <v>56</v>
      </c>
      <c r="F15" s="21">
        <v>2317083278.0500998</v>
      </c>
      <c r="G15" s="21">
        <f>-1223459.3701</f>
        <v>-1223459.3700999999</v>
      </c>
      <c r="H15" s="21">
        <v>19442821.525699999</v>
      </c>
      <c r="I15" s="21">
        <v>2305375.7185999998</v>
      </c>
      <c r="J15" s="21">
        <v>1523275574.0218</v>
      </c>
      <c r="K15" s="22">
        <v>70164944.2588</v>
      </c>
      <c r="L15" s="23">
        <f t="shared" si="0"/>
        <v>3931048534.2048998</v>
      </c>
      <c r="O15" s="2"/>
      <c r="P15" s="2"/>
      <c r="Q15" s="3"/>
    </row>
    <row r="16" spans="2:17" x14ac:dyDescent="0.3">
      <c r="C16" s="10">
        <v>5</v>
      </c>
      <c r="D16" s="6" t="s">
        <v>17</v>
      </c>
      <c r="E16" s="26" t="s">
        <v>55</v>
      </c>
      <c r="F16" s="7">
        <v>2630348042.48</v>
      </c>
      <c r="G16" s="7">
        <f>-1165199.4</f>
        <v>-1165199.3999999999</v>
      </c>
      <c r="H16" s="7">
        <v>22071449.923700001</v>
      </c>
      <c r="I16" s="7">
        <v>2617057.6457000002</v>
      </c>
      <c r="J16" s="7">
        <v>1557983381.7346001</v>
      </c>
      <c r="K16" s="8">
        <v>79651096.501299992</v>
      </c>
      <c r="L16" s="9">
        <f t="shared" si="0"/>
        <v>4291505828.8852997</v>
      </c>
      <c r="O16" s="2"/>
      <c r="P16" s="2"/>
      <c r="Q16" s="3"/>
    </row>
    <row r="17" spans="3:17" x14ac:dyDescent="0.3">
      <c r="C17" s="19">
        <v>6</v>
      </c>
      <c r="D17" s="20" t="s">
        <v>18</v>
      </c>
      <c r="E17" s="27" t="s">
        <v>56</v>
      </c>
      <c r="F17" s="21">
        <v>1070647932.79</v>
      </c>
      <c r="G17" s="21">
        <f>-466079.76</f>
        <v>-466079.76</v>
      </c>
      <c r="H17" s="21">
        <v>8983888.0074000005</v>
      </c>
      <c r="I17" s="21">
        <v>1065238.2548</v>
      </c>
      <c r="J17" s="21">
        <v>638740736.09449995</v>
      </c>
      <c r="K17" s="22">
        <v>32420911.771700002</v>
      </c>
      <c r="L17" s="23">
        <f t="shared" si="0"/>
        <v>1751392627.1584001</v>
      </c>
      <c r="O17" s="2"/>
      <c r="P17" s="2"/>
      <c r="Q17" s="3"/>
    </row>
    <row r="18" spans="3:17" x14ac:dyDescent="0.3">
      <c r="C18" s="10">
        <v>7</v>
      </c>
      <c r="D18" s="6" t="s">
        <v>19</v>
      </c>
      <c r="E18" s="26" t="s">
        <v>55</v>
      </c>
      <c r="F18" s="7">
        <v>2862225765.8499999</v>
      </c>
      <c r="G18" s="7">
        <f>-140878477.83</f>
        <v>-140878477.83000001</v>
      </c>
      <c r="H18" s="7">
        <v>24017153.487300001</v>
      </c>
      <c r="I18" s="7">
        <v>2847763.7570000002</v>
      </c>
      <c r="J18" s="7">
        <v>1576253144.941</v>
      </c>
      <c r="K18" s="8">
        <v>86672720.492899999</v>
      </c>
      <c r="L18" s="9">
        <f t="shared" si="0"/>
        <v>4411138070.6981993</v>
      </c>
      <c r="O18" s="2"/>
      <c r="P18" s="2"/>
      <c r="Q18" s="3"/>
    </row>
    <row r="19" spans="3:17" x14ac:dyDescent="0.3">
      <c r="C19" s="19">
        <v>8</v>
      </c>
      <c r="D19" s="20" t="s">
        <v>20</v>
      </c>
      <c r="E19" s="27" t="s">
        <v>55</v>
      </c>
      <c r="F19" s="21">
        <v>3107519441.0599999</v>
      </c>
      <c r="G19" s="21">
        <f>-1573019.19</f>
        <v>-1573019.19</v>
      </c>
      <c r="H19" s="21">
        <v>26075431.3204</v>
      </c>
      <c r="I19" s="21">
        <v>3091818.0337</v>
      </c>
      <c r="J19" s="21">
        <v>1706953419.3036001</v>
      </c>
      <c r="K19" s="22">
        <v>94100600.712300003</v>
      </c>
      <c r="L19" s="23">
        <f t="shared" si="0"/>
        <v>4936167691.2400007</v>
      </c>
      <c r="O19" s="2"/>
      <c r="P19" s="2"/>
      <c r="Q19" s="3"/>
    </row>
    <row r="20" spans="3:17" x14ac:dyDescent="0.3">
      <c r="C20" s="10">
        <v>9</v>
      </c>
      <c r="D20" s="6" t="s">
        <v>21</v>
      </c>
      <c r="E20" s="26" t="s">
        <v>56</v>
      </c>
      <c r="F20" s="7">
        <v>2003319909.5098999</v>
      </c>
      <c r="G20" s="7">
        <f>-39599945.6399</f>
        <v>-39599945.639899999</v>
      </c>
      <c r="H20" s="7">
        <v>16810009.3028</v>
      </c>
      <c r="I20" s="7">
        <v>1993197.7072000001</v>
      </c>
      <c r="J20" s="7">
        <v>1162748677.1201</v>
      </c>
      <c r="K20" s="8">
        <v>60663693.495500006</v>
      </c>
      <c r="L20" s="9">
        <f t="shared" si="0"/>
        <v>3205935541.4956002</v>
      </c>
      <c r="O20" s="2"/>
      <c r="P20" s="2"/>
      <c r="Q20" s="3"/>
    </row>
    <row r="21" spans="3:17" x14ac:dyDescent="0.3">
      <c r="C21" s="19">
        <v>10</v>
      </c>
      <c r="D21" s="20" t="s">
        <v>22</v>
      </c>
      <c r="E21" s="27" t="s">
        <v>56</v>
      </c>
      <c r="F21" s="21">
        <v>2566967143.96</v>
      </c>
      <c r="G21" s="21">
        <f>-1456499.25</f>
        <v>-1456499.25</v>
      </c>
      <c r="H21" s="21">
        <v>21539615.997299999</v>
      </c>
      <c r="I21" s="21">
        <v>2553996.9929999998</v>
      </c>
      <c r="J21" s="21">
        <v>1684034583.2467999</v>
      </c>
      <c r="K21" s="22">
        <v>77731822.708000004</v>
      </c>
      <c r="L21" s="23">
        <f t="shared" si="0"/>
        <v>4351370663.6550999</v>
      </c>
      <c r="O21" s="2"/>
      <c r="P21" s="2"/>
      <c r="Q21" s="3"/>
    </row>
    <row r="22" spans="3:17" x14ac:dyDescent="0.3">
      <c r="C22" s="10">
        <v>11</v>
      </c>
      <c r="D22" s="6" t="s">
        <v>23</v>
      </c>
      <c r="E22" s="26" t="s">
        <v>56</v>
      </c>
      <c r="F22" s="7">
        <v>1481926960.3715999</v>
      </c>
      <c r="G22" s="7">
        <f>-46782857.8116</f>
        <v>-46782857.8116</v>
      </c>
      <c r="H22" s="7">
        <v>12434961.521600001</v>
      </c>
      <c r="I22" s="7">
        <v>1474439.2072000001</v>
      </c>
      <c r="J22" s="7">
        <v>957335146.18089998</v>
      </c>
      <c r="K22" s="8">
        <v>44875090.832699999</v>
      </c>
      <c r="L22" s="9">
        <f t="shared" si="0"/>
        <v>2451263740.3023996</v>
      </c>
      <c r="O22" s="2"/>
      <c r="P22" s="2"/>
      <c r="Q22" s="3"/>
    </row>
    <row r="23" spans="3:17" x14ac:dyDescent="0.3">
      <c r="C23" s="19">
        <v>12</v>
      </c>
      <c r="D23" s="20" t="s">
        <v>24</v>
      </c>
      <c r="E23" s="27" t="s">
        <v>56</v>
      </c>
      <c r="F23" s="21">
        <v>1964077306.1900001</v>
      </c>
      <c r="G23" s="21">
        <f>-1048679.46</f>
        <v>-1048679.46</v>
      </c>
      <c r="H23" s="21">
        <v>16480721.642000001</v>
      </c>
      <c r="I23" s="21">
        <v>1954153.3853</v>
      </c>
      <c r="J23" s="21">
        <v>1275534112.6033001</v>
      </c>
      <c r="K23" s="22">
        <v>59475365.436099999</v>
      </c>
      <c r="L23" s="23">
        <f t="shared" si="0"/>
        <v>3316472979.7967</v>
      </c>
      <c r="O23" s="2"/>
      <c r="P23" s="2"/>
      <c r="Q23" s="3"/>
    </row>
    <row r="24" spans="3:17" x14ac:dyDescent="0.3">
      <c r="C24" s="10">
        <v>13</v>
      </c>
      <c r="D24" s="6" t="s">
        <v>25</v>
      </c>
      <c r="E24" s="26" t="s">
        <v>56</v>
      </c>
      <c r="F24" s="7">
        <v>1559548607.0999999</v>
      </c>
      <c r="G24" s="7">
        <f>-932159.52</f>
        <v>-932159.52</v>
      </c>
      <c r="H24" s="7">
        <v>13086290.646199999</v>
      </c>
      <c r="I24" s="7">
        <v>1551668.6539</v>
      </c>
      <c r="J24" s="7">
        <v>1051741564.1831</v>
      </c>
      <c r="K24" s="8">
        <v>47225596.991999999</v>
      </c>
      <c r="L24" s="9">
        <f t="shared" si="0"/>
        <v>2672221568.0552001</v>
      </c>
      <c r="O24" s="2"/>
      <c r="P24" s="2"/>
      <c r="Q24" s="3"/>
    </row>
    <row r="25" spans="3:17" x14ac:dyDescent="0.3">
      <c r="C25" s="19">
        <v>14</v>
      </c>
      <c r="D25" s="20" t="s">
        <v>26</v>
      </c>
      <c r="E25" s="27" t="s">
        <v>56</v>
      </c>
      <c r="F25" s="21">
        <v>1995531743.0299001</v>
      </c>
      <c r="G25" s="21">
        <f>-990419.4899</f>
        <v>-990419.48990000004</v>
      </c>
      <c r="H25" s="21">
        <v>16744658.2073</v>
      </c>
      <c r="I25" s="21">
        <v>1985448.8918999999</v>
      </c>
      <c r="J25" s="21">
        <v>1264976025.6285999</v>
      </c>
      <c r="K25" s="22">
        <v>60427855.503600001</v>
      </c>
      <c r="L25" s="23">
        <f t="shared" si="0"/>
        <v>3338675311.7714</v>
      </c>
      <c r="O25" s="2"/>
      <c r="P25" s="2"/>
      <c r="Q25" s="3"/>
    </row>
    <row r="26" spans="3:17" x14ac:dyDescent="0.3">
      <c r="C26" s="10">
        <v>15</v>
      </c>
      <c r="D26" s="6" t="s">
        <v>27</v>
      </c>
      <c r="E26" s="26" t="s">
        <v>55</v>
      </c>
      <c r="F26" s="7">
        <v>1367339744.0599</v>
      </c>
      <c r="G26" s="7">
        <f>-54624417.0999</f>
        <v>-54624417.0999</v>
      </c>
      <c r="H26" s="7">
        <v>11473451.498500001</v>
      </c>
      <c r="I26" s="7">
        <v>1360430.9674</v>
      </c>
      <c r="J26" s="7">
        <v>790315845.56410003</v>
      </c>
      <c r="K26" s="8">
        <v>41405208.795400001</v>
      </c>
      <c r="L26" s="9">
        <f t="shared" si="0"/>
        <v>2157270263.7854004</v>
      </c>
      <c r="O26" s="2"/>
      <c r="P26" s="2"/>
      <c r="Q26" s="3"/>
    </row>
    <row r="27" spans="3:17" x14ac:dyDescent="0.3">
      <c r="C27" s="19">
        <v>16</v>
      </c>
      <c r="D27" s="20" t="s">
        <v>28</v>
      </c>
      <c r="E27" s="27" t="s">
        <v>56</v>
      </c>
      <c r="F27" s="21">
        <v>2674456437.9899001</v>
      </c>
      <c r="G27" s="21">
        <f>-1573019.1899</f>
        <v>-1573019.1899000001</v>
      </c>
      <c r="H27" s="21">
        <v>22441566.815699998</v>
      </c>
      <c r="I27" s="21">
        <v>2660943.1735999999</v>
      </c>
      <c r="J27" s="21">
        <v>1665995637.2880001</v>
      </c>
      <c r="K27" s="22">
        <v>80986768.439600006</v>
      </c>
      <c r="L27" s="23">
        <f t="shared" si="0"/>
        <v>4444968334.516901</v>
      </c>
      <c r="O27" s="2"/>
      <c r="P27" s="2"/>
      <c r="Q27" s="3"/>
    </row>
    <row r="28" spans="3:17" x14ac:dyDescent="0.3">
      <c r="C28" s="10">
        <v>17</v>
      </c>
      <c r="D28" s="6" t="s">
        <v>29</v>
      </c>
      <c r="E28" s="26" t="s">
        <v>55</v>
      </c>
      <c r="F28" s="7">
        <v>2809768296.6898999</v>
      </c>
      <c r="G28" s="7">
        <f>-1573019.1899</f>
        <v>-1573019.1899000001</v>
      </c>
      <c r="H28" s="7">
        <v>23576978.885299999</v>
      </c>
      <c r="I28" s="7">
        <v>2795571.3407000001</v>
      </c>
      <c r="J28" s="7">
        <v>1802982366.9756999</v>
      </c>
      <c r="K28" s="8">
        <v>85084225.407400012</v>
      </c>
      <c r="L28" s="9">
        <f t="shared" si="0"/>
        <v>4722634420.1091003</v>
      </c>
      <c r="O28" s="2"/>
      <c r="P28" s="2"/>
      <c r="Q28" s="3"/>
    </row>
    <row r="29" spans="3:17" x14ac:dyDescent="0.3">
      <c r="C29" s="19">
        <v>18</v>
      </c>
      <c r="D29" s="20" t="s">
        <v>30</v>
      </c>
      <c r="E29" s="27" t="s">
        <v>55</v>
      </c>
      <c r="F29" s="21">
        <v>3159850506.6998997</v>
      </c>
      <c r="G29" s="21">
        <f>-1339979.3099</f>
        <v>-1339979.3099</v>
      </c>
      <c r="H29" s="21">
        <v>26514545.261100002</v>
      </c>
      <c r="I29" s="21">
        <v>3143884.6853999998</v>
      </c>
      <c r="J29" s="21">
        <v>1962237261.0267999</v>
      </c>
      <c r="K29" s="22">
        <v>95685268.099199995</v>
      </c>
      <c r="L29" s="23">
        <f t="shared" si="0"/>
        <v>5246091486.4624996</v>
      </c>
      <c r="O29" s="2"/>
      <c r="P29" s="2"/>
      <c r="Q29" s="3"/>
    </row>
    <row r="30" spans="3:17" x14ac:dyDescent="0.3">
      <c r="C30" s="10">
        <v>19</v>
      </c>
      <c r="D30" s="6" t="s">
        <v>31</v>
      </c>
      <c r="E30" s="26" t="s">
        <v>55</v>
      </c>
      <c r="F30" s="7">
        <v>5030752823.9502993</v>
      </c>
      <c r="G30" s="7">
        <f>-515227883.7203</f>
        <v>-515227883.72030002</v>
      </c>
      <c r="H30" s="7">
        <v>42213428.504199997</v>
      </c>
      <c r="I30" s="7">
        <v>5005333.8679</v>
      </c>
      <c r="J30" s="7">
        <v>3435443912.3339</v>
      </c>
      <c r="K30" s="8">
        <v>152339147.58999997</v>
      </c>
      <c r="L30" s="9">
        <f t="shared" si="0"/>
        <v>8150526762.5259991</v>
      </c>
      <c r="O30" s="2"/>
      <c r="P30" s="2"/>
      <c r="Q30" s="3"/>
    </row>
    <row r="31" spans="3:17" x14ac:dyDescent="0.3">
      <c r="C31" s="19">
        <v>20</v>
      </c>
      <c r="D31" s="20" t="s">
        <v>32</v>
      </c>
      <c r="E31" s="27" t="s">
        <v>55</v>
      </c>
      <c r="F31" s="21">
        <v>3829997755.4898005</v>
      </c>
      <c r="G31" s="21">
        <f>-1980838.9798</f>
        <v>-1980838.9798000001</v>
      </c>
      <c r="H31" s="21">
        <v>32137801.653299998</v>
      </c>
      <c r="I31" s="21">
        <v>3810645.8719000001</v>
      </c>
      <c r="J31" s="21">
        <v>2244790501.1861</v>
      </c>
      <c r="K31" s="22">
        <v>115978386.09</v>
      </c>
      <c r="L31" s="23">
        <f t="shared" si="0"/>
        <v>6224734251.3113003</v>
      </c>
      <c r="O31" s="2"/>
      <c r="P31" s="2"/>
      <c r="Q31" s="3"/>
    </row>
    <row r="32" spans="3:17" x14ac:dyDescent="0.3">
      <c r="C32" s="10">
        <v>21</v>
      </c>
      <c r="D32" s="6" t="s">
        <v>33</v>
      </c>
      <c r="E32" s="26" t="s">
        <v>55</v>
      </c>
      <c r="F32" s="7">
        <v>2417139692.3600998</v>
      </c>
      <c r="G32" s="7">
        <f>-1223459.3701</f>
        <v>-1223459.3700999999</v>
      </c>
      <c r="H32" s="7">
        <v>20282402.487199999</v>
      </c>
      <c r="I32" s="7">
        <v>2404926.5761000002</v>
      </c>
      <c r="J32" s="7">
        <v>1348494135.9789</v>
      </c>
      <c r="K32" s="8">
        <v>73194810.642999992</v>
      </c>
      <c r="L32" s="9">
        <f t="shared" si="0"/>
        <v>3860292508.6751995</v>
      </c>
      <c r="O32" s="2"/>
      <c r="P32" s="2"/>
      <c r="Q32" s="3"/>
    </row>
    <row r="33" spans="3:17" x14ac:dyDescent="0.3">
      <c r="C33" s="19">
        <v>22</v>
      </c>
      <c r="D33" s="20" t="s">
        <v>34</v>
      </c>
      <c r="E33" s="27" t="s">
        <v>55</v>
      </c>
      <c r="F33" s="21">
        <v>2498290923.9500999</v>
      </c>
      <c r="G33" s="21">
        <f>-188366458.1401</f>
        <v>-188366458.1401</v>
      </c>
      <c r="H33" s="21">
        <v>20963348.6263</v>
      </c>
      <c r="I33" s="21">
        <v>2485667.7738999999</v>
      </c>
      <c r="J33" s="21">
        <v>1349215375.8108001</v>
      </c>
      <c r="K33" s="22">
        <v>75652198.210700005</v>
      </c>
      <c r="L33" s="23">
        <f t="shared" si="0"/>
        <v>3758241056.2316999</v>
      </c>
      <c r="O33" s="2"/>
      <c r="P33" s="2"/>
      <c r="Q33" s="3"/>
    </row>
    <row r="34" spans="3:17" x14ac:dyDescent="0.3">
      <c r="C34" s="10">
        <v>23</v>
      </c>
      <c r="D34" s="6" t="s">
        <v>35</v>
      </c>
      <c r="E34" s="26" t="s">
        <v>55</v>
      </c>
      <c r="F34" s="7">
        <v>1767802511.9799001</v>
      </c>
      <c r="G34" s="7">
        <f>-932159.5199</f>
        <v>-932159.51989999996</v>
      </c>
      <c r="H34" s="7">
        <v>14833764.9573</v>
      </c>
      <c r="I34" s="7">
        <v>1758870.3112999999</v>
      </c>
      <c r="J34" s="7">
        <v>1046678080.063</v>
      </c>
      <c r="K34" s="8">
        <v>53531854.417599998</v>
      </c>
      <c r="L34" s="9">
        <f t="shared" si="0"/>
        <v>2883672922.2092004</v>
      </c>
      <c r="O34" s="2"/>
      <c r="P34" s="2"/>
      <c r="Q34" s="3"/>
    </row>
    <row r="35" spans="3:17" ht="24" customHeight="1" x14ac:dyDescent="0.3">
      <c r="C35" s="19">
        <v>24</v>
      </c>
      <c r="D35" s="20" t="s">
        <v>36</v>
      </c>
      <c r="E35" s="27" t="s">
        <v>56</v>
      </c>
      <c r="F35" s="21">
        <v>3011444840.5001998</v>
      </c>
      <c r="G35" s="21">
        <f>-1165199.4002</f>
        <v>-1165199.4002</v>
      </c>
      <c r="H35" s="21">
        <v>25269262.0601</v>
      </c>
      <c r="I35" s="21">
        <v>2996228.8706</v>
      </c>
      <c r="J35" s="21">
        <v>7969073654.5930996</v>
      </c>
      <c r="K35" s="22">
        <v>91191309.943100005</v>
      </c>
      <c r="L35" s="23">
        <f t="shared" si="0"/>
        <v>11098810096.5669</v>
      </c>
      <c r="O35" s="2"/>
      <c r="P35" s="2"/>
      <c r="Q35" s="3"/>
    </row>
    <row r="36" spans="3:17" x14ac:dyDescent="0.3">
      <c r="C36" s="10">
        <v>25</v>
      </c>
      <c r="D36" s="6" t="s">
        <v>37</v>
      </c>
      <c r="E36" s="26" t="s">
        <v>55</v>
      </c>
      <c r="F36" s="7">
        <v>1577184529.1799998</v>
      </c>
      <c r="G36" s="7">
        <f>-39995506.85</f>
        <v>-39995506.850000001</v>
      </c>
      <c r="H36" s="7">
        <v>13234275.0065</v>
      </c>
      <c r="I36" s="7">
        <v>1569215.4665000001</v>
      </c>
      <c r="J36" s="7">
        <v>821984147.25650001</v>
      </c>
      <c r="K36" s="8">
        <v>47759640.589500003</v>
      </c>
      <c r="L36" s="9">
        <f t="shared" si="0"/>
        <v>2421736300.6489997</v>
      </c>
      <c r="O36" s="2"/>
      <c r="P36" s="2"/>
      <c r="Q36" s="3"/>
    </row>
    <row r="37" spans="3:17" x14ac:dyDescent="0.3">
      <c r="C37" s="19">
        <v>26</v>
      </c>
      <c r="D37" s="20" t="s">
        <v>38</v>
      </c>
      <c r="E37" s="27" t="s">
        <v>55</v>
      </c>
      <c r="F37" s="21">
        <v>2919246904.02</v>
      </c>
      <c r="G37" s="21">
        <f>-1456499.25</f>
        <v>-1456499.25</v>
      </c>
      <c r="H37" s="21">
        <v>24495622.1822</v>
      </c>
      <c r="I37" s="21">
        <v>2904496.784</v>
      </c>
      <c r="J37" s="21">
        <v>1631750964.2061999</v>
      </c>
      <c r="K37" s="22">
        <v>88399410.689300001</v>
      </c>
      <c r="L37" s="23">
        <f t="shared" si="0"/>
        <v>4665340898.6316996</v>
      </c>
      <c r="O37" s="2"/>
      <c r="P37" s="2"/>
      <c r="Q37" s="3"/>
    </row>
    <row r="38" spans="3:17" x14ac:dyDescent="0.3">
      <c r="C38" s="10">
        <v>27</v>
      </c>
      <c r="D38" s="6" t="s">
        <v>39</v>
      </c>
      <c r="E38" s="26" t="s">
        <v>56</v>
      </c>
      <c r="F38" s="7">
        <v>2082580186.3899</v>
      </c>
      <c r="G38" s="7">
        <f>-116942149.7999</f>
        <v>-116942149.7999</v>
      </c>
      <c r="H38" s="7">
        <v>17475088.297600001</v>
      </c>
      <c r="I38" s="7">
        <v>2072057.504</v>
      </c>
      <c r="J38" s="7">
        <v>1413214443.5818999</v>
      </c>
      <c r="K38" s="8">
        <v>63063819.965999998</v>
      </c>
      <c r="L38" s="9">
        <f t="shared" si="0"/>
        <v>3461463445.9394999</v>
      </c>
      <c r="O38" s="2"/>
      <c r="P38" s="2"/>
      <c r="Q38" s="3"/>
    </row>
    <row r="39" spans="3:17" x14ac:dyDescent="0.3">
      <c r="C39" s="19">
        <v>28</v>
      </c>
      <c r="D39" s="20" t="s">
        <v>40</v>
      </c>
      <c r="E39" s="27" t="s">
        <v>56</v>
      </c>
      <c r="F39" s="21">
        <v>1988995810.4402001</v>
      </c>
      <c r="G39" s="21">
        <f>-48225806.2802</f>
        <v>-48225806.280199997</v>
      </c>
      <c r="H39" s="21">
        <v>16689814.700999999</v>
      </c>
      <c r="I39" s="21">
        <v>1978945.9831000001</v>
      </c>
      <c r="J39" s="21">
        <v>1293725723.4061999</v>
      </c>
      <c r="K39" s="22">
        <v>60229937.134100005</v>
      </c>
      <c r="L39" s="23">
        <f t="shared" si="0"/>
        <v>3313394425.3843999</v>
      </c>
      <c r="O39" s="2"/>
      <c r="P39" s="2"/>
      <c r="Q39" s="3"/>
    </row>
    <row r="40" spans="3:17" x14ac:dyDescent="0.3">
      <c r="C40" s="10">
        <v>29</v>
      </c>
      <c r="D40" s="6" t="s">
        <v>41</v>
      </c>
      <c r="E40" s="26" t="s">
        <v>56</v>
      </c>
      <c r="F40" s="7">
        <v>2694145113.4599004</v>
      </c>
      <c r="G40" s="7">
        <f>-83776444.1999</f>
        <v>-83776444.199900001</v>
      </c>
      <c r="H40" s="7">
        <v>22606775.984999999</v>
      </c>
      <c r="I40" s="7">
        <v>2680532.3687</v>
      </c>
      <c r="J40" s="7">
        <v>1735470504.2825999</v>
      </c>
      <c r="K40" s="8">
        <v>81582972.654199988</v>
      </c>
      <c r="L40" s="9">
        <f t="shared" si="0"/>
        <v>4452709454.5504999</v>
      </c>
      <c r="O40" s="2"/>
      <c r="P40" s="2"/>
      <c r="Q40" s="3"/>
    </row>
    <row r="41" spans="3:17" x14ac:dyDescent="0.3">
      <c r="C41" s="19">
        <v>30</v>
      </c>
      <c r="D41" s="20" t="s">
        <v>42</v>
      </c>
      <c r="E41" s="27" t="s">
        <v>56</v>
      </c>
      <c r="F41" s="21">
        <v>3398453851.7498002</v>
      </c>
      <c r="G41" s="21">
        <f>-85611160.4698</f>
        <v>-85611160.469799995</v>
      </c>
      <c r="H41" s="21">
        <v>28516684.026299998</v>
      </c>
      <c r="I41" s="21">
        <v>3381282.4358999999</v>
      </c>
      <c r="J41" s="21">
        <v>2890291058.3460002</v>
      </c>
      <c r="K41" s="22">
        <v>102910554.54619999</v>
      </c>
      <c r="L41" s="23">
        <f t="shared" si="0"/>
        <v>6337942270.6344004</v>
      </c>
      <c r="O41" s="2"/>
      <c r="P41" s="2"/>
      <c r="Q41" s="3"/>
    </row>
    <row r="42" spans="3:17" x14ac:dyDescent="0.3">
      <c r="C42" s="10">
        <v>31</v>
      </c>
      <c r="D42" s="6" t="s">
        <v>43</v>
      </c>
      <c r="E42" s="26" t="s">
        <v>55</v>
      </c>
      <c r="F42" s="7">
        <v>2130375219.9902</v>
      </c>
      <c r="G42" s="7">
        <f>-990419.4902</f>
        <v>-990419.4902</v>
      </c>
      <c r="H42" s="7">
        <v>17876140.049699999</v>
      </c>
      <c r="I42" s="7">
        <v>2119611.0432000002</v>
      </c>
      <c r="J42" s="7">
        <v>1207324428.1573</v>
      </c>
      <c r="K42" s="8">
        <v>64511129.132399999</v>
      </c>
      <c r="L42" s="9">
        <f t="shared" si="0"/>
        <v>3421216108.8825998</v>
      </c>
      <c r="O42" s="2"/>
      <c r="P42" s="2"/>
      <c r="Q42" s="3"/>
    </row>
    <row r="43" spans="3:17" x14ac:dyDescent="0.3">
      <c r="C43" s="19">
        <v>32</v>
      </c>
      <c r="D43" s="20" t="s">
        <v>44</v>
      </c>
      <c r="E43" s="27" t="s">
        <v>56</v>
      </c>
      <c r="F43" s="21">
        <v>2640718186.5703001</v>
      </c>
      <c r="G43" s="21">
        <f>-1339979.3103</f>
        <v>-1339979.3103</v>
      </c>
      <c r="H43" s="21">
        <v>22158466.589499999</v>
      </c>
      <c r="I43" s="21">
        <v>2627375.3927000002</v>
      </c>
      <c r="J43" s="21">
        <v>2912694698.3873</v>
      </c>
      <c r="K43" s="22">
        <v>79965120.856600001</v>
      </c>
      <c r="L43" s="23">
        <f t="shared" si="0"/>
        <v>5656823868.4861002</v>
      </c>
      <c r="O43" s="2"/>
      <c r="P43" s="2"/>
      <c r="Q43" s="3"/>
    </row>
    <row r="44" spans="3:17" x14ac:dyDescent="0.3">
      <c r="C44" s="10">
        <v>33</v>
      </c>
      <c r="D44" s="6" t="s">
        <v>45</v>
      </c>
      <c r="E44" s="26" t="s">
        <v>55</v>
      </c>
      <c r="F44" s="7">
        <v>2659611933.5001001</v>
      </c>
      <c r="G44" s="7">
        <f>-37329017.4801</f>
        <v>-37329017.480099998</v>
      </c>
      <c r="H44" s="7">
        <v>22317005.452599999</v>
      </c>
      <c r="I44" s="7">
        <v>2646173.6746</v>
      </c>
      <c r="J44" s="7">
        <v>1560703467.7535</v>
      </c>
      <c r="K44" s="8">
        <v>80537253.379199997</v>
      </c>
      <c r="L44" s="9">
        <f t="shared" si="0"/>
        <v>4288486816.2799001</v>
      </c>
      <c r="O44" s="2"/>
      <c r="P44" s="2"/>
      <c r="Q44" s="3"/>
    </row>
    <row r="45" spans="3:17" x14ac:dyDescent="0.3">
      <c r="C45" s="19">
        <v>34</v>
      </c>
      <c r="D45" s="20" t="s">
        <v>46</v>
      </c>
      <c r="E45" s="27" t="s">
        <v>55</v>
      </c>
      <c r="F45" s="21">
        <v>1993388042.0599999</v>
      </c>
      <c r="G45" s="21">
        <f>-932159.52</f>
        <v>-932159.52</v>
      </c>
      <c r="H45" s="21">
        <v>16726670.2498</v>
      </c>
      <c r="I45" s="21">
        <v>1983316.0222</v>
      </c>
      <c r="J45" s="21">
        <v>996275517.15079999</v>
      </c>
      <c r="K45" s="22">
        <v>60362940.849799998</v>
      </c>
      <c r="L45" s="23">
        <f t="shared" si="0"/>
        <v>3067804326.8126001</v>
      </c>
      <c r="O45" s="2"/>
      <c r="P45" s="2"/>
      <c r="Q45" s="3"/>
    </row>
    <row r="46" spans="3:17" x14ac:dyDescent="0.3">
      <c r="C46" s="10">
        <v>35</v>
      </c>
      <c r="D46" s="6" t="s">
        <v>47</v>
      </c>
      <c r="E46" s="26" t="s">
        <v>55</v>
      </c>
      <c r="F46" s="7">
        <v>2004176980.9700999</v>
      </c>
      <c r="G46" s="7">
        <f>-990419.4901</f>
        <v>-990419.49010000005</v>
      </c>
      <c r="H46" s="7">
        <v>16817201.0546</v>
      </c>
      <c r="I46" s="7">
        <v>1994050.4475</v>
      </c>
      <c r="J46" s="7">
        <v>1138206887.95</v>
      </c>
      <c r="K46" s="8">
        <v>60689646.9745</v>
      </c>
      <c r="L46" s="9">
        <f t="shared" si="0"/>
        <v>3220894347.9066005</v>
      </c>
      <c r="O46" s="2"/>
      <c r="P46" s="2"/>
      <c r="Q46" s="3"/>
    </row>
    <row r="47" spans="3:17" x14ac:dyDescent="0.3">
      <c r="C47" s="19">
        <v>36</v>
      </c>
      <c r="D47" s="20" t="s">
        <v>48</v>
      </c>
      <c r="E47" s="27" t="s">
        <v>55</v>
      </c>
      <c r="F47" s="21">
        <v>1810907877.8101001</v>
      </c>
      <c r="G47" s="21">
        <f>-815639.5801</f>
        <v>-815639.58010000002</v>
      </c>
      <c r="H47" s="21">
        <v>15195465.351199999</v>
      </c>
      <c r="I47" s="21">
        <v>1801757.8779</v>
      </c>
      <c r="J47" s="21">
        <v>1030139972.7055</v>
      </c>
      <c r="K47" s="22">
        <v>54837153.031400003</v>
      </c>
      <c r="L47" s="23">
        <f t="shared" si="0"/>
        <v>2912066587.1960001</v>
      </c>
      <c r="O47" s="2"/>
      <c r="P47" s="2"/>
      <c r="Q47" s="3"/>
    </row>
    <row r="48" spans="3:17" x14ac:dyDescent="0.3">
      <c r="C48" s="10">
        <v>37</v>
      </c>
      <c r="D48" s="6" t="s">
        <v>49</v>
      </c>
      <c r="E48" s="26" t="s">
        <v>55</v>
      </c>
      <c r="F48" s="7">
        <v>799822382.2500999</v>
      </c>
      <c r="G48" s="7">
        <f>-349559.8201</f>
        <v>-349559.82010000001</v>
      </c>
      <c r="H48" s="7">
        <v>6711370.2719000001</v>
      </c>
      <c r="I48" s="7">
        <v>795781.10849999997</v>
      </c>
      <c r="J48" s="7">
        <v>2919027529.6766</v>
      </c>
      <c r="K48" s="8">
        <v>24219886.009100001</v>
      </c>
      <c r="L48" s="9">
        <f t="shared" si="0"/>
        <v>3750227389.4960999</v>
      </c>
    </row>
    <row r="50" spans="2:13" ht="20.25" x14ac:dyDescent="0.3">
      <c r="C50" s="5"/>
      <c r="D50" s="5"/>
      <c r="E50" s="5"/>
      <c r="F50" s="5"/>
      <c r="G50" s="5"/>
      <c r="H50" s="5"/>
      <c r="I50" s="5"/>
      <c r="J50" s="5"/>
      <c r="K50" s="5"/>
      <c r="L50" s="5"/>
    </row>
    <row r="51" spans="2:13" ht="20.25" customHeight="1" x14ac:dyDescent="0.3">
      <c r="B51" s="49" t="s">
        <v>50</v>
      </c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</row>
    <row r="52" spans="2:13" ht="18.75" customHeight="1" x14ac:dyDescent="0.3"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</row>
    <row r="53" spans="2:13" ht="18.75" customHeight="1" x14ac:dyDescent="0.3"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</row>
    <row r="54" spans="2:13" ht="18.75" customHeight="1" x14ac:dyDescent="0.3"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</row>
  </sheetData>
  <mergeCells count="5">
    <mergeCell ref="B3:E3"/>
    <mergeCell ref="B2:E2"/>
    <mergeCell ref="C6:K6"/>
    <mergeCell ref="C7:K7"/>
    <mergeCell ref="B51:M54"/>
  </mergeCells>
  <phoneticPr fontId="10" type="noConversion"/>
  <pageMargins left="0.70866141732283472" right="0.70866141732283472" top="0.74803149606299213" bottom="0.74803149606299213" header="0.31496062992125984" footer="0.31496062992125984"/>
  <pageSetup paperSize="9" scale="5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0BF48-F4EC-4EB4-94C4-921A6130367A}">
  <sheetPr>
    <tabColor rgb="FF00B050"/>
    <pageSetUpPr fitToPage="1"/>
  </sheetPr>
  <dimension ref="A1:L16"/>
  <sheetViews>
    <sheetView showGridLines="0" showRowColHeaders="0" tabSelected="1" zoomScale="68" zoomScaleNormal="68" workbookViewId="0">
      <selection activeCell="M45" sqref="M45"/>
    </sheetView>
  </sheetViews>
  <sheetFormatPr defaultRowHeight="12.75" x14ac:dyDescent="0.2"/>
  <cols>
    <col min="14" max="14" width="12.28515625" bestFit="1" customWidth="1"/>
  </cols>
  <sheetData>
    <row r="1" spans="1:12" x14ac:dyDescent="0.2">
      <c r="A1" t="s">
        <v>57</v>
      </c>
    </row>
    <row r="3" spans="1:12" x14ac:dyDescent="0.2">
      <c r="J3" s="44">
        <f>'Pivot tables'!AZ6</f>
        <v>1504400381.1841004</v>
      </c>
    </row>
    <row r="5" spans="1:12" x14ac:dyDescent="0.2">
      <c r="D5" s="24"/>
    </row>
    <row r="16" spans="1:12" x14ac:dyDescent="0.2">
      <c r="L16" t="s">
        <v>57</v>
      </c>
    </row>
  </sheetData>
  <pageMargins left="0.7" right="0.7" top="0.75" bottom="0.75" header="0.3" footer="0.3"/>
  <pageSetup paperSize="8" scale="7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AC8DD-719E-47B2-8B7E-F4FD08B1017C}">
  <sheetPr>
    <tabColor rgb="FFFFC000"/>
  </sheetPr>
  <dimension ref="B1:BQ188"/>
  <sheetViews>
    <sheetView showGridLines="0" topLeftCell="AL1" zoomScale="91" zoomScaleNormal="91" workbookViewId="0">
      <selection activeCell="AT12" sqref="AT12"/>
    </sheetView>
  </sheetViews>
  <sheetFormatPr defaultRowHeight="12.75" x14ac:dyDescent="0.2"/>
  <cols>
    <col min="1" max="1" width="10.140625" customWidth="1"/>
    <col min="2" max="2" width="32.140625" bestFit="1" customWidth="1"/>
    <col min="3" max="3" width="10.7109375" customWidth="1"/>
    <col min="4" max="4" width="16.42578125" style="29" customWidth="1"/>
    <col min="5" max="5" width="23.42578125" bestFit="1" customWidth="1"/>
    <col min="7" max="7" width="9.140625" style="34"/>
    <col min="8" max="8" width="14" bestFit="1" customWidth="1"/>
    <col min="9" max="9" width="32.140625" bestFit="1" customWidth="1"/>
    <col min="11" max="11" width="9.140625" style="34"/>
    <col min="12" max="12" width="14" bestFit="1" customWidth="1"/>
    <col min="13" max="13" width="15.85546875" bestFit="1" customWidth="1"/>
    <col min="15" max="15" width="9.140625" style="34"/>
    <col min="16" max="16" width="13.85546875" bestFit="1" customWidth="1"/>
    <col min="17" max="17" width="32.140625" bestFit="1" customWidth="1"/>
    <col min="20" max="20" width="17.7109375" bestFit="1" customWidth="1"/>
    <col min="22" max="22" width="9.140625" style="29"/>
    <col min="23" max="23" width="13.85546875" bestFit="1" customWidth="1"/>
    <col min="24" max="24" width="14.85546875" bestFit="1" customWidth="1"/>
    <col min="27" max="27" width="19.7109375" bestFit="1" customWidth="1"/>
    <col min="30" max="30" width="14" bestFit="1" customWidth="1"/>
    <col min="31" max="31" width="32.140625" bestFit="1" customWidth="1"/>
    <col min="34" max="34" width="16.5703125" bestFit="1" customWidth="1"/>
    <col min="37" max="37" width="14" bestFit="1" customWidth="1"/>
    <col min="38" max="38" width="33.140625" bestFit="1" customWidth="1"/>
    <col min="45" max="45" width="17.5703125" bestFit="1" customWidth="1"/>
    <col min="46" max="46" width="12.140625" bestFit="1" customWidth="1"/>
    <col min="48" max="48" width="14" bestFit="1" customWidth="1"/>
    <col min="49" max="49" width="26" bestFit="1" customWidth="1"/>
    <col min="52" max="52" width="17.5703125" bestFit="1" customWidth="1"/>
    <col min="55" max="55" width="9.140625" style="29"/>
    <col min="56" max="56" width="14" bestFit="1" customWidth="1"/>
    <col min="57" max="57" width="17.42578125" bestFit="1" customWidth="1"/>
    <col min="59" max="59" width="16" bestFit="1" customWidth="1"/>
    <col min="61" max="61" width="16" bestFit="1" customWidth="1"/>
    <col min="63" max="63" width="9.140625" style="29"/>
    <col min="64" max="64" width="14" bestFit="1" customWidth="1"/>
    <col min="65" max="65" width="11.7109375" bestFit="1" customWidth="1"/>
    <col min="67" max="67" width="9.140625" style="29"/>
    <col min="68" max="68" width="14" bestFit="1" customWidth="1"/>
    <col min="69" max="69" width="28.5703125" bestFit="1" customWidth="1"/>
  </cols>
  <sheetData>
    <row r="1" spans="2:69" x14ac:dyDescent="0.2">
      <c r="V1" s="34"/>
      <c r="AC1" s="34"/>
      <c r="AJ1" s="34"/>
      <c r="BC1" s="34"/>
      <c r="BK1" s="34"/>
      <c r="BO1" s="34"/>
    </row>
    <row r="2" spans="2:69" x14ac:dyDescent="0.2">
      <c r="V2" s="34"/>
      <c r="AC2" s="34"/>
      <c r="AJ2" s="34"/>
      <c r="AU2" s="34"/>
      <c r="BC2" s="34"/>
      <c r="BK2" s="34"/>
      <c r="BO2" s="34"/>
    </row>
    <row r="3" spans="2:69" x14ac:dyDescent="0.2">
      <c r="B3" t="s">
        <v>64</v>
      </c>
      <c r="E3" t="s">
        <v>65</v>
      </c>
      <c r="H3" t="s">
        <v>66</v>
      </c>
      <c r="V3" s="34"/>
      <c r="AC3" s="34"/>
      <c r="AJ3" s="34"/>
      <c r="AK3" s="36" t="s">
        <v>54</v>
      </c>
      <c r="AL3" t="s">
        <v>56</v>
      </c>
      <c r="AU3" s="34"/>
      <c r="BC3" s="34"/>
      <c r="BK3" s="34"/>
      <c r="BL3" s="31" t="s">
        <v>54</v>
      </c>
      <c r="BM3" s="46" t="s">
        <v>56</v>
      </c>
      <c r="BO3" s="34"/>
      <c r="BP3" s="31" t="s">
        <v>54</v>
      </c>
      <c r="BQ3" s="46" t="s">
        <v>56</v>
      </c>
    </row>
    <row r="4" spans="2:69" x14ac:dyDescent="0.2">
      <c r="V4" s="34"/>
      <c r="AC4" s="34"/>
      <c r="AJ4" s="34"/>
      <c r="AU4" s="34"/>
      <c r="BC4" s="34"/>
      <c r="BK4" s="34"/>
      <c r="BO4" s="34"/>
    </row>
    <row r="5" spans="2:69" ht="13.5" thickBot="1" x14ac:dyDescent="0.25">
      <c r="B5" s="28" t="s">
        <v>58</v>
      </c>
      <c r="E5" s="33" t="s">
        <v>61</v>
      </c>
      <c r="H5" s="36" t="s">
        <v>59</v>
      </c>
      <c r="I5" s="39" t="s">
        <v>58</v>
      </c>
      <c r="L5" s="36" t="s">
        <v>59</v>
      </c>
      <c r="M5" s="39" t="s">
        <v>63</v>
      </c>
      <c r="P5" s="31" t="s">
        <v>59</v>
      </c>
      <c r="Q5" s="33" t="s">
        <v>58</v>
      </c>
      <c r="V5" s="34"/>
      <c r="W5" s="36" t="s">
        <v>59</v>
      </c>
      <c r="X5" s="39" t="s">
        <v>63</v>
      </c>
      <c r="AC5" s="34"/>
      <c r="AD5" s="36" t="s">
        <v>59</v>
      </c>
      <c r="AE5" s="39" t="s">
        <v>58</v>
      </c>
      <c r="AJ5" s="34"/>
      <c r="AK5" s="36" t="s">
        <v>59</v>
      </c>
      <c r="AL5" s="39" t="s">
        <v>67</v>
      </c>
      <c r="AN5" s="32" t="s">
        <v>13</v>
      </c>
      <c r="AO5" s="40">
        <v>1827103489.2199001</v>
      </c>
      <c r="AP5" s="41">
        <f>AO5-500000000</f>
        <v>1327103489.2199001</v>
      </c>
      <c r="AR5" t="s">
        <v>68</v>
      </c>
      <c r="AS5" s="35">
        <f>MAX(AL6:AL22)</f>
        <v>3398453851.7498002</v>
      </c>
      <c r="AT5" t="str">
        <f>INDEX(AN5:AN21,MATCH(AS5,AO5:AO21,0))</f>
        <v>OYO</v>
      </c>
      <c r="AU5" s="34"/>
      <c r="AV5" s="36" t="s">
        <v>59</v>
      </c>
      <c r="AW5" s="39" t="s">
        <v>71</v>
      </c>
      <c r="BC5" s="34"/>
      <c r="BD5" s="31" t="s">
        <v>59</v>
      </c>
      <c r="BE5" s="33" t="s">
        <v>72</v>
      </c>
      <c r="BK5" s="34"/>
      <c r="BL5" s="31" t="s">
        <v>59</v>
      </c>
      <c r="BM5" s="33" t="s">
        <v>76</v>
      </c>
      <c r="BO5" s="34"/>
      <c r="BP5" s="31" t="s">
        <v>59</v>
      </c>
      <c r="BQ5" s="33" t="s">
        <v>77</v>
      </c>
    </row>
    <row r="6" spans="2:69" x14ac:dyDescent="0.2">
      <c r="B6" s="30">
        <v>88027009152.582001</v>
      </c>
      <c r="E6" s="30">
        <v>738641310.22479999</v>
      </c>
      <c r="H6" s="37" t="s">
        <v>55</v>
      </c>
      <c r="I6" s="38">
        <v>49680378193.920479</v>
      </c>
      <c r="L6" s="37" t="s">
        <v>13</v>
      </c>
      <c r="M6" s="38">
        <v>3013072333.6511998</v>
      </c>
      <c r="P6" s="32" t="s">
        <v>55</v>
      </c>
      <c r="Q6" s="30">
        <v>49680378193.920486</v>
      </c>
      <c r="S6" t="s">
        <v>55</v>
      </c>
      <c r="T6" s="35">
        <f>IFERROR(VLOOKUP(S6,P:Q,2,0),"-")</f>
        <v>49680378193.920486</v>
      </c>
      <c r="V6" s="34"/>
      <c r="W6" s="37" t="s">
        <v>36</v>
      </c>
      <c r="X6" s="38">
        <v>11098810096.5669</v>
      </c>
      <c r="Z6" t="str">
        <f xml:space="preserve"> IFERROR(W6,"-")</f>
        <v>LAGOS</v>
      </c>
      <c r="AA6" s="35">
        <f>IFERROR(VLOOKUP(Z6,W:X,2,0),"-")</f>
        <v>11098810096.5669</v>
      </c>
      <c r="AC6" s="34"/>
      <c r="AD6" s="37" t="s">
        <v>31</v>
      </c>
      <c r="AE6" s="38">
        <v>5030752823.9502993</v>
      </c>
      <c r="AG6" t="str">
        <f>IFERROR(AD6,"-")</f>
        <v>KANO</v>
      </c>
      <c r="AH6" s="35">
        <f>IFERROR(AE6,"-")</f>
        <v>5030752823.9502993</v>
      </c>
      <c r="AJ6" s="34"/>
      <c r="AK6" s="37" t="s">
        <v>13</v>
      </c>
      <c r="AL6" s="42">
        <v>1827103489.2199001</v>
      </c>
      <c r="AN6" s="32" t="s">
        <v>15</v>
      </c>
      <c r="AO6" s="40">
        <v>3069630161.3399</v>
      </c>
      <c r="AP6" s="41">
        <f t="shared" ref="AP6:AP21" si="0">AO6-500000000</f>
        <v>2569630161.3399</v>
      </c>
      <c r="AR6" t="s">
        <v>69</v>
      </c>
      <c r="AS6" s="35">
        <f>MIN(AL6:AL22)</f>
        <v>1070647932.79</v>
      </c>
      <c r="AT6" t="str">
        <f>INDEX(AN5:AN21,MATCH(AS6,AO5:AO21,0))</f>
        <v>BAYELSA</v>
      </c>
      <c r="AU6" s="34"/>
      <c r="AV6" s="37" t="s">
        <v>55</v>
      </c>
      <c r="AW6" s="38">
        <v>1504400381.1841004</v>
      </c>
      <c r="AY6" s="32" t="s">
        <v>55</v>
      </c>
      <c r="AZ6" s="35">
        <f>IFERROR(VLOOKUP(AY6,AV:AW,2,0),"-")</f>
        <v>1504400381.1841004</v>
      </c>
      <c r="BA6" s="43">
        <f>AZ6/GETPIVOTDATA("Total Ecology Fund",$AV$5)</f>
        <v>0.56437653252345854</v>
      </c>
      <c r="BC6" s="34"/>
      <c r="BD6" s="32" t="s">
        <v>13</v>
      </c>
      <c r="BE6" s="45">
        <v>-990419.48990000004</v>
      </c>
      <c r="BG6" s="35">
        <f>ABS(BE6)</f>
        <v>990419.48990000004</v>
      </c>
      <c r="BH6" s="46" t="s">
        <v>73</v>
      </c>
      <c r="BI6" s="35">
        <f>MIN(BG:BG)</f>
        <v>349559.82010000001</v>
      </c>
      <c r="BK6" s="34"/>
      <c r="BL6" s="32" t="s">
        <v>13</v>
      </c>
      <c r="BM6" s="40">
        <v>1114482446.5639</v>
      </c>
      <c r="BO6" s="34"/>
      <c r="BP6" s="32" t="s">
        <v>13</v>
      </c>
      <c r="BQ6" s="40">
        <v>1817871.6576</v>
      </c>
    </row>
    <row r="7" spans="2:69" x14ac:dyDescent="0.2">
      <c r="H7" s="37" t="s">
        <v>56</v>
      </c>
      <c r="I7" s="38">
        <v>38346630958.661491</v>
      </c>
      <c r="L7" s="37" t="s">
        <v>14</v>
      </c>
      <c r="M7" s="38">
        <v>3742796654.2811999</v>
      </c>
      <c r="P7" s="32" t="s">
        <v>56</v>
      </c>
      <c r="Q7" s="30">
        <v>38346630958.661491</v>
      </c>
      <c r="S7" t="s">
        <v>56</v>
      </c>
      <c r="T7" s="35">
        <f>IFERROR(VLOOKUP(S7,P:Q,2,0),"-")</f>
        <v>38346630958.661491</v>
      </c>
      <c r="V7" s="34"/>
      <c r="W7" s="37" t="s">
        <v>31</v>
      </c>
      <c r="X7" s="38">
        <v>8150526762.5259991</v>
      </c>
      <c r="Z7" t="str">
        <f t="shared" ref="Z7:Z10" si="1" xml:space="preserve"> IFERROR(W7,"-")</f>
        <v>KANO</v>
      </c>
      <c r="AA7" s="35">
        <f t="shared" ref="AA7:AA10" si="2">IFERROR(VLOOKUP(Z7,W:X,2,0),"-")</f>
        <v>8150526762.5259991</v>
      </c>
      <c r="AC7" s="34"/>
      <c r="AD7" s="37" t="s">
        <v>32</v>
      </c>
      <c r="AE7" s="38">
        <v>3829997755.4898005</v>
      </c>
      <c r="AG7" t="str">
        <f t="shared" ref="AG7:AG15" si="3">IFERROR(AD7,"-")</f>
        <v>KATSINA</v>
      </c>
      <c r="AH7" s="35">
        <f t="shared" ref="AH7:AH15" si="4">IFERROR(AE7,"-")</f>
        <v>3829997755.4898005</v>
      </c>
      <c r="AJ7" s="34"/>
      <c r="AK7" s="37" t="s">
        <v>15</v>
      </c>
      <c r="AL7" s="42">
        <v>3069630161.3399</v>
      </c>
      <c r="AN7" s="32" t="s">
        <v>16</v>
      </c>
      <c r="AO7" s="40">
        <v>2317083278.0500998</v>
      </c>
      <c r="AP7" s="41">
        <f t="shared" si="0"/>
        <v>1817083278.0500998</v>
      </c>
      <c r="AR7" t="s">
        <v>70</v>
      </c>
      <c r="AS7" s="35">
        <f>AVERAGE(AL6:AL22)</f>
        <v>2255684174.0389113</v>
      </c>
      <c r="AU7" s="34"/>
      <c r="AV7" s="37" t="s">
        <v>56</v>
      </c>
      <c r="AW7" s="38">
        <v>1161196599.7136998</v>
      </c>
      <c r="AY7" s="32" t="s">
        <v>56</v>
      </c>
      <c r="AZ7" s="35">
        <f>IFERROR(VLOOKUP(AY7,AV:AW,2,0),"-")</f>
        <v>1161196599.7136998</v>
      </c>
      <c r="BA7" s="43">
        <f>AZ7/GETPIVOTDATA("Total Ecology Fund",$AV$5)</f>
        <v>0.43562346747654135</v>
      </c>
      <c r="BC7" s="34"/>
      <c r="BD7" s="32" t="s">
        <v>14</v>
      </c>
      <c r="BE7" s="45">
        <v>-1223459.3700000001</v>
      </c>
      <c r="BG7" s="35">
        <f t="shared" ref="BG7:BG42" si="5">ABS(BE7)</f>
        <v>1223459.3700000001</v>
      </c>
      <c r="BH7" s="46" t="s">
        <v>74</v>
      </c>
      <c r="BI7" s="35">
        <f>AVERAGE(BG:BG)</f>
        <v>38564808.921945944</v>
      </c>
      <c r="BK7" s="34"/>
      <c r="BL7" s="32" t="s">
        <v>15</v>
      </c>
      <c r="BM7" s="40">
        <v>1909403119.9026</v>
      </c>
      <c r="BO7" s="34"/>
      <c r="BP7" s="32" t="s">
        <v>15</v>
      </c>
      <c r="BQ7" s="40">
        <v>3054120.1976999999</v>
      </c>
    </row>
    <row r="8" spans="2:69" x14ac:dyDescent="0.2">
      <c r="H8" s="37" t="s">
        <v>60</v>
      </c>
      <c r="I8" s="38">
        <v>88027009152.58197</v>
      </c>
      <c r="L8" s="37" t="s">
        <v>15</v>
      </c>
      <c r="M8" s="38">
        <v>5098992095.3018999</v>
      </c>
      <c r="P8" s="32" t="s">
        <v>62</v>
      </c>
      <c r="Q8" s="30">
        <v>0</v>
      </c>
      <c r="V8" s="34"/>
      <c r="W8" s="37" t="s">
        <v>42</v>
      </c>
      <c r="X8" s="38">
        <v>6337942270.6344004</v>
      </c>
      <c r="Z8" t="str">
        <f t="shared" si="1"/>
        <v>OYO</v>
      </c>
      <c r="AA8" s="35">
        <f t="shared" si="2"/>
        <v>6337942270.6344004</v>
      </c>
      <c r="AC8" s="34"/>
      <c r="AD8" s="37" t="s">
        <v>42</v>
      </c>
      <c r="AE8" s="38">
        <v>3398453851.7498002</v>
      </c>
      <c r="AG8" t="str">
        <f t="shared" si="3"/>
        <v>OYO</v>
      </c>
      <c r="AH8" s="35">
        <f t="shared" si="4"/>
        <v>3398453851.7498002</v>
      </c>
      <c r="AJ8" s="34"/>
      <c r="AK8" s="37" t="s">
        <v>16</v>
      </c>
      <c r="AL8" s="42">
        <v>2317083278.0500998</v>
      </c>
      <c r="AN8" s="32" t="s">
        <v>18</v>
      </c>
      <c r="AO8" s="40">
        <v>1070647932.79</v>
      </c>
      <c r="AP8" s="41">
        <f t="shared" si="0"/>
        <v>570647932.78999996</v>
      </c>
      <c r="AU8" s="34"/>
      <c r="AV8" s="37" t="s">
        <v>60</v>
      </c>
      <c r="AW8" s="38">
        <v>2665596980.8978004</v>
      </c>
      <c r="BC8" s="34"/>
      <c r="BD8" s="32" t="s">
        <v>15</v>
      </c>
      <c r="BE8" s="45">
        <v>-1806059.0699</v>
      </c>
      <c r="BG8" s="35">
        <f t="shared" si="5"/>
        <v>1806059.0699</v>
      </c>
      <c r="BH8" s="46" t="s">
        <v>75</v>
      </c>
      <c r="BI8" s="35">
        <f>MAX(BG:BG)</f>
        <v>515227883.72030002</v>
      </c>
      <c r="BK8" s="34"/>
      <c r="BL8" s="32" t="s">
        <v>16</v>
      </c>
      <c r="BM8" s="40">
        <v>1523275574.0218</v>
      </c>
      <c r="BO8" s="34"/>
      <c r="BP8" s="32" t="s">
        <v>16</v>
      </c>
      <c r="BQ8" s="40">
        <v>2305375.7185999998</v>
      </c>
    </row>
    <row r="9" spans="2:69" x14ac:dyDescent="0.2">
      <c r="L9" s="37" t="s">
        <v>16</v>
      </c>
      <c r="M9" s="38">
        <v>3931048534.2048998</v>
      </c>
      <c r="P9" s="32" t="s">
        <v>60</v>
      </c>
      <c r="Q9" s="30">
        <v>88027009152.58197</v>
      </c>
      <c r="V9" s="34"/>
      <c r="W9" s="37" t="s">
        <v>32</v>
      </c>
      <c r="X9" s="38">
        <v>6224734251.3113003</v>
      </c>
      <c r="Z9" t="str">
        <f t="shared" si="1"/>
        <v>KATSINA</v>
      </c>
      <c r="AA9" s="35">
        <f t="shared" si="2"/>
        <v>6224734251.3113003</v>
      </c>
      <c r="AC9" s="34"/>
      <c r="AD9" s="37" t="s">
        <v>30</v>
      </c>
      <c r="AE9" s="38">
        <v>3159850506.6998997</v>
      </c>
      <c r="AG9" t="str">
        <f t="shared" si="3"/>
        <v>KADUNA</v>
      </c>
      <c r="AH9" s="35">
        <f t="shared" si="4"/>
        <v>3159850506.6998997</v>
      </c>
      <c r="AJ9" s="34"/>
      <c r="AK9" s="37" t="s">
        <v>18</v>
      </c>
      <c r="AL9" s="42">
        <v>1070647932.79</v>
      </c>
      <c r="AN9" s="32" t="s">
        <v>21</v>
      </c>
      <c r="AO9" s="40">
        <v>2003319909.5098999</v>
      </c>
      <c r="AP9" s="41">
        <f t="shared" si="0"/>
        <v>1503319909.5098999</v>
      </c>
      <c r="AU9" s="34"/>
      <c r="BC9" s="34"/>
      <c r="BD9" s="32" t="s">
        <v>16</v>
      </c>
      <c r="BE9" s="45">
        <v>-1223459.3700999999</v>
      </c>
      <c r="BG9" s="35">
        <f t="shared" si="5"/>
        <v>1223459.3700999999</v>
      </c>
      <c r="BK9" s="34"/>
      <c r="BL9" s="32" t="s">
        <v>18</v>
      </c>
      <c r="BM9" s="40">
        <v>638740736.09449995</v>
      </c>
      <c r="BO9" s="34"/>
      <c r="BP9" s="32" t="s">
        <v>18</v>
      </c>
      <c r="BQ9" s="40">
        <v>1065238.2548</v>
      </c>
    </row>
    <row r="10" spans="2:69" x14ac:dyDescent="0.2">
      <c r="L10" s="37" t="s">
        <v>17</v>
      </c>
      <c r="M10" s="38">
        <v>4291505828.8852997</v>
      </c>
      <c r="V10" s="34"/>
      <c r="W10" s="37" t="s">
        <v>44</v>
      </c>
      <c r="X10" s="38">
        <v>5656823868.4861002</v>
      </c>
      <c r="Z10" t="str">
        <f t="shared" si="1"/>
        <v>RIVERS</v>
      </c>
      <c r="AA10" s="35">
        <f t="shared" si="2"/>
        <v>5656823868.4861002</v>
      </c>
      <c r="AC10" s="34"/>
      <c r="AD10" s="37" t="s">
        <v>20</v>
      </c>
      <c r="AE10" s="38">
        <v>3107519441.0599999</v>
      </c>
      <c r="AG10" t="str">
        <f t="shared" si="3"/>
        <v>BORNO</v>
      </c>
      <c r="AH10" s="35">
        <f t="shared" si="4"/>
        <v>3107519441.0599999</v>
      </c>
      <c r="AJ10" s="34"/>
      <c r="AK10" s="37" t="s">
        <v>21</v>
      </c>
      <c r="AL10" s="42">
        <v>2003319909.5098999</v>
      </c>
      <c r="AN10" s="32" t="s">
        <v>22</v>
      </c>
      <c r="AO10" s="40">
        <v>2566967143.96</v>
      </c>
      <c r="AP10" s="41">
        <f t="shared" si="0"/>
        <v>2066967143.96</v>
      </c>
      <c r="AS10">
        <f>MATCH(AS5,AO5:AO21,0)</f>
        <v>16</v>
      </c>
      <c r="AU10" s="34"/>
      <c r="BC10" s="34"/>
      <c r="BD10" s="32" t="s">
        <v>17</v>
      </c>
      <c r="BE10" s="45">
        <v>-1165199.3999999999</v>
      </c>
      <c r="BG10" s="35">
        <f t="shared" si="5"/>
        <v>1165199.3999999999</v>
      </c>
      <c r="BK10" s="34"/>
      <c r="BL10" s="32" t="s">
        <v>21</v>
      </c>
      <c r="BM10" s="40">
        <v>1162748677.1201</v>
      </c>
      <c r="BO10" s="34"/>
      <c r="BP10" s="32" t="s">
        <v>21</v>
      </c>
      <c r="BQ10" s="40">
        <v>1993197.7072000001</v>
      </c>
    </row>
    <row r="11" spans="2:69" x14ac:dyDescent="0.2">
      <c r="L11" s="37" t="s">
        <v>18</v>
      </c>
      <c r="M11" s="38">
        <v>1751392627.1584001</v>
      </c>
      <c r="V11" s="34"/>
      <c r="W11" s="37" t="s">
        <v>30</v>
      </c>
      <c r="X11" s="38">
        <v>5246091486.4624996</v>
      </c>
      <c r="AC11" s="34"/>
      <c r="AD11" s="37" t="s">
        <v>15</v>
      </c>
      <c r="AE11" s="38">
        <v>3069630161.3399</v>
      </c>
      <c r="AG11" t="str">
        <f t="shared" si="3"/>
        <v>AKWA IBOM</v>
      </c>
      <c r="AH11" s="35">
        <f t="shared" si="4"/>
        <v>3069630161.3399</v>
      </c>
      <c r="AJ11" s="34"/>
      <c r="AK11" s="37" t="s">
        <v>22</v>
      </c>
      <c r="AL11" s="42">
        <v>2566967143.96</v>
      </c>
      <c r="AN11" s="32" t="s">
        <v>23</v>
      </c>
      <c r="AO11" s="40">
        <v>1481926960.3715999</v>
      </c>
      <c r="AP11" s="41">
        <f t="shared" si="0"/>
        <v>981926960.37159991</v>
      </c>
      <c r="AU11" s="34"/>
      <c r="BC11" s="34"/>
      <c r="BD11" s="32" t="s">
        <v>18</v>
      </c>
      <c r="BE11" s="45">
        <v>-466079.76</v>
      </c>
      <c r="BG11" s="35">
        <f t="shared" si="5"/>
        <v>466079.76</v>
      </c>
      <c r="BK11" s="34"/>
      <c r="BL11" s="32" t="s">
        <v>22</v>
      </c>
      <c r="BM11" s="40">
        <v>1684034583.2467999</v>
      </c>
      <c r="BO11" s="34"/>
      <c r="BP11" s="32" t="s">
        <v>22</v>
      </c>
      <c r="BQ11" s="40">
        <v>2553996.9929999998</v>
      </c>
    </row>
    <row r="12" spans="2:69" x14ac:dyDescent="0.2">
      <c r="L12" s="37" t="s">
        <v>19</v>
      </c>
      <c r="M12" s="38">
        <v>4411138070.6981993</v>
      </c>
      <c r="V12" s="34"/>
      <c r="W12" s="37" t="s">
        <v>15</v>
      </c>
      <c r="X12" s="38">
        <v>5098992095.3018999</v>
      </c>
      <c r="AC12" s="34"/>
      <c r="AD12" s="37" t="s">
        <v>36</v>
      </c>
      <c r="AE12" s="38">
        <v>3011444840.5001998</v>
      </c>
      <c r="AG12" t="str">
        <f t="shared" si="3"/>
        <v>LAGOS</v>
      </c>
      <c r="AH12" s="35">
        <f t="shared" si="4"/>
        <v>3011444840.5001998</v>
      </c>
      <c r="AJ12" s="34"/>
      <c r="AK12" s="37" t="s">
        <v>23</v>
      </c>
      <c r="AL12" s="42">
        <v>1481926960.3715999</v>
      </c>
      <c r="AN12" s="32" t="s">
        <v>24</v>
      </c>
      <c r="AO12" s="40">
        <v>1964077306.1900001</v>
      </c>
      <c r="AP12" s="41">
        <f t="shared" si="0"/>
        <v>1464077306.1900001</v>
      </c>
      <c r="AU12" s="34"/>
      <c r="BC12" s="34"/>
      <c r="BD12" s="32" t="s">
        <v>19</v>
      </c>
      <c r="BE12" s="45">
        <v>-140878477.83000001</v>
      </c>
      <c r="BG12" s="35">
        <f t="shared" si="5"/>
        <v>140878477.83000001</v>
      </c>
      <c r="BK12" s="34"/>
      <c r="BL12" s="32" t="s">
        <v>23</v>
      </c>
      <c r="BM12" s="40">
        <v>957335146.18089998</v>
      </c>
      <c r="BO12" s="34"/>
      <c r="BP12" s="32" t="s">
        <v>23</v>
      </c>
      <c r="BQ12" s="40">
        <v>1474439.2072000001</v>
      </c>
    </row>
    <row r="13" spans="2:69" x14ac:dyDescent="0.2">
      <c r="L13" s="37" t="s">
        <v>20</v>
      </c>
      <c r="M13" s="38">
        <v>4936167691.2400007</v>
      </c>
      <c r="V13" s="34"/>
      <c r="W13" s="37" t="s">
        <v>20</v>
      </c>
      <c r="X13" s="38">
        <v>4936167691.2400007</v>
      </c>
      <c r="AC13" s="34"/>
      <c r="AD13" s="37" t="s">
        <v>38</v>
      </c>
      <c r="AE13" s="38">
        <v>2919246904.02</v>
      </c>
      <c r="AG13" t="str">
        <f t="shared" si="3"/>
        <v>NIGER</v>
      </c>
      <c r="AH13" s="35">
        <f t="shared" si="4"/>
        <v>2919246904.02</v>
      </c>
      <c r="AJ13" s="34"/>
      <c r="AK13" s="37" t="s">
        <v>24</v>
      </c>
      <c r="AL13" s="42">
        <v>1964077306.1900001</v>
      </c>
      <c r="AN13" s="32" t="s">
        <v>25</v>
      </c>
      <c r="AO13" s="40">
        <v>1559548607.0999999</v>
      </c>
      <c r="AP13" s="41">
        <f t="shared" si="0"/>
        <v>1059548607.0999999</v>
      </c>
      <c r="AU13" s="34"/>
      <c r="BC13" s="34"/>
      <c r="BD13" s="32" t="s">
        <v>20</v>
      </c>
      <c r="BE13" s="45">
        <v>-1573019.19</v>
      </c>
      <c r="BG13" s="35">
        <f t="shared" si="5"/>
        <v>1573019.19</v>
      </c>
      <c r="BK13" s="34"/>
      <c r="BL13" s="32" t="s">
        <v>24</v>
      </c>
      <c r="BM13" s="40">
        <v>1275534112.6033001</v>
      </c>
      <c r="BO13" s="34"/>
      <c r="BP13" s="32" t="s">
        <v>24</v>
      </c>
      <c r="BQ13" s="40">
        <v>1954153.3853</v>
      </c>
    </row>
    <row r="14" spans="2:69" x14ac:dyDescent="0.2">
      <c r="L14" s="37" t="s">
        <v>21</v>
      </c>
      <c r="M14" s="38">
        <v>3205935541.4956002</v>
      </c>
      <c r="V14" s="34"/>
      <c r="W14" s="37" t="s">
        <v>29</v>
      </c>
      <c r="X14" s="38">
        <v>4722634420.1091003</v>
      </c>
      <c r="AC14" s="34"/>
      <c r="AD14" s="37" t="s">
        <v>19</v>
      </c>
      <c r="AE14" s="38">
        <v>2862225765.8499999</v>
      </c>
      <c r="AG14" t="str">
        <f t="shared" si="3"/>
        <v>BENUE</v>
      </c>
      <c r="AH14" s="35">
        <f t="shared" si="4"/>
        <v>2862225765.8499999</v>
      </c>
      <c r="AJ14" s="34"/>
      <c r="AK14" s="37" t="s">
        <v>25</v>
      </c>
      <c r="AL14" s="42">
        <v>1559548607.0999999</v>
      </c>
      <c r="AN14" s="32" t="s">
        <v>26</v>
      </c>
      <c r="AO14" s="40">
        <v>1995531743.0299001</v>
      </c>
      <c r="AP14" s="41">
        <f t="shared" si="0"/>
        <v>1495531743.0299001</v>
      </c>
      <c r="AU14" s="34"/>
      <c r="BC14" s="34"/>
      <c r="BD14" s="32" t="s">
        <v>21</v>
      </c>
      <c r="BE14" s="45">
        <v>-39599945.639899999</v>
      </c>
      <c r="BG14" s="35">
        <f t="shared" si="5"/>
        <v>39599945.639899999</v>
      </c>
      <c r="BK14" s="34"/>
      <c r="BL14" s="32" t="s">
        <v>25</v>
      </c>
      <c r="BM14" s="40">
        <v>1051741564.1831</v>
      </c>
      <c r="BO14" s="34"/>
      <c r="BP14" s="32" t="s">
        <v>25</v>
      </c>
      <c r="BQ14" s="40">
        <v>1551668.6539</v>
      </c>
    </row>
    <row r="15" spans="2:69" x14ac:dyDescent="0.2">
      <c r="L15" s="37" t="s">
        <v>22</v>
      </c>
      <c r="M15" s="38">
        <v>4351370663.6550999</v>
      </c>
      <c r="V15" s="34"/>
      <c r="W15" s="37" t="s">
        <v>38</v>
      </c>
      <c r="X15" s="38">
        <v>4665340898.6316996</v>
      </c>
      <c r="AC15" s="34"/>
      <c r="AD15" s="37" t="s">
        <v>29</v>
      </c>
      <c r="AE15" s="38">
        <v>2809768296.6898999</v>
      </c>
      <c r="AG15" t="str">
        <f t="shared" si="3"/>
        <v>JIGAWA</v>
      </c>
      <c r="AH15" s="35">
        <f t="shared" si="4"/>
        <v>2809768296.6898999</v>
      </c>
      <c r="AJ15" s="34"/>
      <c r="AK15" s="37" t="s">
        <v>26</v>
      </c>
      <c r="AL15" s="42">
        <v>1995531743.0299001</v>
      </c>
      <c r="AN15" s="32" t="s">
        <v>28</v>
      </c>
      <c r="AO15" s="40">
        <v>2674456437.9899001</v>
      </c>
      <c r="AP15" s="41">
        <f t="shared" si="0"/>
        <v>2174456437.9899001</v>
      </c>
      <c r="AU15" s="34"/>
      <c r="BC15" s="34"/>
      <c r="BD15" s="32" t="s">
        <v>22</v>
      </c>
      <c r="BE15" s="45">
        <v>-1456499.25</v>
      </c>
      <c r="BG15" s="35">
        <f t="shared" si="5"/>
        <v>1456499.25</v>
      </c>
      <c r="BK15" s="34"/>
      <c r="BL15" s="32" t="s">
        <v>26</v>
      </c>
      <c r="BM15" s="40">
        <v>1264976025.6285999</v>
      </c>
      <c r="BO15" s="34"/>
      <c r="BP15" s="32" t="s">
        <v>26</v>
      </c>
      <c r="BQ15" s="40">
        <v>1985448.8918999999</v>
      </c>
    </row>
    <row r="16" spans="2:69" x14ac:dyDescent="0.2">
      <c r="L16" s="37" t="s">
        <v>23</v>
      </c>
      <c r="M16" s="38">
        <v>2451263740.3023996</v>
      </c>
      <c r="V16" s="34"/>
      <c r="W16" s="37" t="s">
        <v>41</v>
      </c>
      <c r="X16" s="38">
        <v>4452709454.5504999</v>
      </c>
      <c r="AC16" s="34"/>
      <c r="AD16" s="37" t="s">
        <v>41</v>
      </c>
      <c r="AE16" s="38">
        <v>2694145113.4599004</v>
      </c>
      <c r="AJ16" s="34"/>
      <c r="AK16" s="37" t="s">
        <v>28</v>
      </c>
      <c r="AL16" s="42">
        <v>2674456437.9899001</v>
      </c>
      <c r="AN16" s="32" t="s">
        <v>36</v>
      </c>
      <c r="AO16" s="40">
        <v>3011444840.5001998</v>
      </c>
      <c r="AP16" s="41">
        <f t="shared" si="0"/>
        <v>2511444840.5001998</v>
      </c>
      <c r="AU16" s="34"/>
      <c r="BC16" s="34"/>
      <c r="BD16" s="32" t="s">
        <v>23</v>
      </c>
      <c r="BE16" s="45">
        <v>-46782857.8116</v>
      </c>
      <c r="BG16" s="35">
        <f t="shared" si="5"/>
        <v>46782857.8116</v>
      </c>
      <c r="BK16" s="34"/>
      <c r="BL16" s="32" t="s">
        <v>28</v>
      </c>
      <c r="BM16" s="40">
        <v>1665995637.2880001</v>
      </c>
      <c r="BO16" s="34"/>
      <c r="BP16" s="32" t="s">
        <v>28</v>
      </c>
      <c r="BQ16" s="40">
        <v>2660943.1735999999</v>
      </c>
    </row>
    <row r="17" spans="12:69" x14ac:dyDescent="0.2">
      <c r="L17" s="37" t="s">
        <v>24</v>
      </c>
      <c r="M17" s="38">
        <v>3316472979.7967</v>
      </c>
      <c r="V17" s="34"/>
      <c r="W17" s="37" t="s">
        <v>28</v>
      </c>
      <c r="X17" s="38">
        <v>4444968334.516901</v>
      </c>
      <c r="AC17" s="34"/>
      <c r="AD17" s="37" t="s">
        <v>28</v>
      </c>
      <c r="AE17" s="38">
        <v>2674456437.9899001</v>
      </c>
      <c r="AJ17" s="34"/>
      <c r="AK17" s="37" t="s">
        <v>36</v>
      </c>
      <c r="AL17" s="42">
        <v>3011444840.5001998</v>
      </c>
      <c r="AN17" s="32" t="s">
        <v>39</v>
      </c>
      <c r="AO17" s="40">
        <v>2082580186.3899</v>
      </c>
      <c r="AP17" s="41">
        <f t="shared" si="0"/>
        <v>1582580186.3899</v>
      </c>
      <c r="AU17" s="34"/>
      <c r="BC17" s="34"/>
      <c r="BD17" s="32" t="s">
        <v>24</v>
      </c>
      <c r="BE17" s="45">
        <v>-1048679.46</v>
      </c>
      <c r="BG17" s="35">
        <f t="shared" si="5"/>
        <v>1048679.46</v>
      </c>
      <c r="BK17" s="34"/>
      <c r="BL17" s="32" t="s">
        <v>36</v>
      </c>
      <c r="BM17" s="40">
        <v>7969073654.5930996</v>
      </c>
      <c r="BO17" s="34"/>
      <c r="BP17" s="32" t="s">
        <v>36</v>
      </c>
      <c r="BQ17" s="40">
        <v>2996228.8706</v>
      </c>
    </row>
    <row r="18" spans="12:69" x14ac:dyDescent="0.2">
      <c r="L18" s="37" t="s">
        <v>25</v>
      </c>
      <c r="M18" s="38">
        <v>2672221568.0552001</v>
      </c>
      <c r="V18" s="34"/>
      <c r="W18" s="37" t="s">
        <v>19</v>
      </c>
      <c r="X18" s="38">
        <v>4411138070.6981993</v>
      </c>
      <c r="AC18" s="34"/>
      <c r="AD18" s="37" t="s">
        <v>45</v>
      </c>
      <c r="AE18" s="38">
        <v>2659611933.5001001</v>
      </c>
      <c r="AJ18" s="34"/>
      <c r="AK18" s="37" t="s">
        <v>39</v>
      </c>
      <c r="AL18" s="42">
        <v>2082580186.3899</v>
      </c>
      <c r="AN18" s="32" t="s">
        <v>40</v>
      </c>
      <c r="AO18" s="40">
        <v>1988995810.4402001</v>
      </c>
      <c r="AP18" s="41">
        <f t="shared" si="0"/>
        <v>1488995810.4402001</v>
      </c>
      <c r="AU18" s="34"/>
      <c r="BC18" s="34"/>
      <c r="BD18" s="32" t="s">
        <v>25</v>
      </c>
      <c r="BE18" s="45">
        <v>-932159.52</v>
      </c>
      <c r="BG18" s="35">
        <f t="shared" si="5"/>
        <v>932159.52</v>
      </c>
      <c r="BK18" s="34"/>
      <c r="BL18" s="32" t="s">
        <v>39</v>
      </c>
      <c r="BM18" s="40">
        <v>1413214443.5818999</v>
      </c>
      <c r="BO18" s="34"/>
      <c r="BP18" s="32" t="s">
        <v>39</v>
      </c>
      <c r="BQ18" s="40">
        <v>2072057.504</v>
      </c>
    </row>
    <row r="19" spans="12:69" x14ac:dyDescent="0.2">
      <c r="L19" s="37" t="s">
        <v>26</v>
      </c>
      <c r="M19" s="38">
        <v>3338675311.7714</v>
      </c>
      <c r="V19" s="34"/>
      <c r="W19" s="37" t="s">
        <v>22</v>
      </c>
      <c r="X19" s="38">
        <v>4351370663.6550999</v>
      </c>
      <c r="AC19" s="34"/>
      <c r="AD19" s="37" t="s">
        <v>44</v>
      </c>
      <c r="AE19" s="38">
        <v>2640718186.5703001</v>
      </c>
      <c r="AJ19" s="34"/>
      <c r="AK19" s="37" t="s">
        <v>40</v>
      </c>
      <c r="AL19" s="42">
        <v>1988995810.4402001</v>
      </c>
      <c r="AN19" s="32" t="s">
        <v>41</v>
      </c>
      <c r="AO19" s="40">
        <v>2694145113.4599004</v>
      </c>
      <c r="AP19" s="41">
        <f t="shared" si="0"/>
        <v>2194145113.4599004</v>
      </c>
      <c r="AU19" s="34"/>
      <c r="BC19" s="34"/>
      <c r="BD19" s="32" t="s">
        <v>26</v>
      </c>
      <c r="BE19" s="45">
        <v>-990419.48990000004</v>
      </c>
      <c r="BG19" s="35">
        <f t="shared" si="5"/>
        <v>990419.48990000004</v>
      </c>
      <c r="BK19" s="34"/>
      <c r="BL19" s="32" t="s">
        <v>40</v>
      </c>
      <c r="BM19" s="40">
        <v>1293725723.4061999</v>
      </c>
      <c r="BO19" s="34"/>
      <c r="BP19" s="32" t="s">
        <v>40</v>
      </c>
      <c r="BQ19" s="40">
        <v>1978945.9831000001</v>
      </c>
    </row>
    <row r="20" spans="12:69" x14ac:dyDescent="0.2">
      <c r="L20" s="37" t="s">
        <v>49</v>
      </c>
      <c r="M20" s="38">
        <v>3750227389.4960999</v>
      </c>
      <c r="V20" s="34"/>
      <c r="W20" s="37" t="s">
        <v>17</v>
      </c>
      <c r="X20" s="38">
        <v>4291505828.8852997</v>
      </c>
      <c r="AC20" s="34"/>
      <c r="AD20" s="37" t="s">
        <v>17</v>
      </c>
      <c r="AE20" s="38">
        <v>2630348042.48</v>
      </c>
      <c r="AJ20" s="34"/>
      <c r="AK20" s="37" t="s">
        <v>41</v>
      </c>
      <c r="AL20" s="42">
        <v>2694145113.4599004</v>
      </c>
      <c r="AN20" s="32" t="s">
        <v>42</v>
      </c>
      <c r="AO20" s="40">
        <v>3398453851.7498002</v>
      </c>
      <c r="AP20" s="41">
        <f t="shared" si="0"/>
        <v>2898453851.7498002</v>
      </c>
      <c r="AU20" s="34"/>
      <c r="BC20" s="34"/>
      <c r="BD20" s="32" t="s">
        <v>49</v>
      </c>
      <c r="BE20" s="45">
        <v>-349559.82010000001</v>
      </c>
      <c r="BG20" s="35">
        <f t="shared" si="5"/>
        <v>349559.82010000001</v>
      </c>
      <c r="BK20" s="34"/>
      <c r="BL20" s="32" t="s">
        <v>41</v>
      </c>
      <c r="BM20" s="40">
        <v>1735470504.2825999</v>
      </c>
      <c r="BO20" s="34"/>
      <c r="BP20" s="32" t="s">
        <v>41</v>
      </c>
      <c r="BQ20" s="40">
        <v>2680532.3687</v>
      </c>
    </row>
    <row r="21" spans="12:69" x14ac:dyDescent="0.2">
      <c r="L21" s="37" t="s">
        <v>27</v>
      </c>
      <c r="M21" s="38">
        <v>2157270263.7854004</v>
      </c>
      <c r="V21" s="34"/>
      <c r="W21" s="37" t="s">
        <v>45</v>
      </c>
      <c r="X21" s="38">
        <v>4288486816.2799001</v>
      </c>
      <c r="AC21" s="34"/>
      <c r="AD21" s="37" t="s">
        <v>22</v>
      </c>
      <c r="AE21" s="38">
        <v>2566967143.96</v>
      </c>
      <c r="AJ21" s="34"/>
      <c r="AK21" s="37" t="s">
        <v>42</v>
      </c>
      <c r="AL21" s="42">
        <v>3398453851.7498002</v>
      </c>
      <c r="AN21" s="32" t="s">
        <v>44</v>
      </c>
      <c r="AO21" s="40">
        <v>2640718186.5703001</v>
      </c>
      <c r="AP21" s="41">
        <f t="shared" si="0"/>
        <v>2140718186.5703001</v>
      </c>
      <c r="AU21" s="34"/>
      <c r="BC21" s="34"/>
      <c r="BD21" s="32" t="s">
        <v>27</v>
      </c>
      <c r="BE21" s="45">
        <v>-54624417.0999</v>
      </c>
      <c r="BG21" s="35">
        <f t="shared" si="5"/>
        <v>54624417.0999</v>
      </c>
      <c r="BK21" s="34"/>
      <c r="BL21" s="32" t="s">
        <v>42</v>
      </c>
      <c r="BM21" s="40">
        <v>2890291058.3460002</v>
      </c>
      <c r="BO21" s="34"/>
      <c r="BP21" s="32" t="s">
        <v>42</v>
      </c>
      <c r="BQ21" s="40">
        <v>3381282.4358999999</v>
      </c>
    </row>
    <row r="22" spans="12:69" x14ac:dyDescent="0.2">
      <c r="L22" s="37" t="s">
        <v>28</v>
      </c>
      <c r="M22" s="38">
        <v>4444968334.516901</v>
      </c>
      <c r="V22" s="34"/>
      <c r="W22" s="37" t="s">
        <v>16</v>
      </c>
      <c r="X22" s="38">
        <v>3931048534.2048998</v>
      </c>
      <c r="AC22" s="34"/>
      <c r="AD22" s="37" t="s">
        <v>34</v>
      </c>
      <c r="AE22" s="38">
        <v>2498290923.9500999</v>
      </c>
      <c r="AJ22" s="34"/>
      <c r="AK22" s="37" t="s">
        <v>44</v>
      </c>
      <c r="AL22" s="42">
        <v>2640718186.5703001</v>
      </c>
      <c r="AU22" s="34"/>
      <c r="BC22" s="34"/>
      <c r="BD22" s="32" t="s">
        <v>28</v>
      </c>
      <c r="BE22" s="45">
        <v>-1573019.1899000001</v>
      </c>
      <c r="BG22" s="35">
        <f t="shared" si="5"/>
        <v>1573019.1899000001</v>
      </c>
      <c r="BK22" s="34"/>
      <c r="BL22" s="32" t="s">
        <v>44</v>
      </c>
      <c r="BM22" s="40">
        <v>2912694698.3873</v>
      </c>
      <c r="BO22" s="34"/>
      <c r="BP22" s="32" t="s">
        <v>44</v>
      </c>
      <c r="BQ22" s="40">
        <v>2627375.3927000002</v>
      </c>
    </row>
    <row r="23" spans="12:69" x14ac:dyDescent="0.2">
      <c r="L23" s="37" t="s">
        <v>29</v>
      </c>
      <c r="M23" s="38">
        <v>4722634420.1091003</v>
      </c>
      <c r="V23" s="34"/>
      <c r="W23" s="37" t="s">
        <v>33</v>
      </c>
      <c r="X23" s="38">
        <v>3860292508.6751995</v>
      </c>
      <c r="AC23" s="34"/>
      <c r="AD23" s="37" t="s">
        <v>33</v>
      </c>
      <c r="AE23" s="38">
        <v>2417139692.3600998</v>
      </c>
      <c r="AJ23" s="34"/>
      <c r="BC23" s="34"/>
      <c r="BD23" s="32" t="s">
        <v>29</v>
      </c>
      <c r="BE23" s="45">
        <v>-1573019.1899000001</v>
      </c>
      <c r="BG23" s="35">
        <f t="shared" si="5"/>
        <v>1573019.1899000001</v>
      </c>
      <c r="BK23" s="34"/>
      <c r="BO23" s="34"/>
    </row>
    <row r="24" spans="12:69" x14ac:dyDescent="0.2">
      <c r="L24" s="37" t="s">
        <v>30</v>
      </c>
      <c r="M24" s="38">
        <v>5246091486.4624996</v>
      </c>
      <c r="V24" s="34"/>
      <c r="W24" s="37" t="s">
        <v>34</v>
      </c>
      <c r="X24" s="38">
        <v>3758241056.2316999</v>
      </c>
      <c r="AC24" s="34"/>
      <c r="AD24" s="37" t="s">
        <v>16</v>
      </c>
      <c r="AE24" s="38">
        <v>2317083278.0500998</v>
      </c>
      <c r="AJ24" s="34"/>
      <c r="BC24" s="34"/>
      <c r="BD24" s="32" t="s">
        <v>30</v>
      </c>
      <c r="BE24" s="45">
        <v>-1339979.3099</v>
      </c>
      <c r="BG24" s="35">
        <f t="shared" si="5"/>
        <v>1339979.3099</v>
      </c>
      <c r="BK24" s="34"/>
      <c r="BO24" s="34"/>
    </row>
    <row r="25" spans="12:69" x14ac:dyDescent="0.2">
      <c r="L25" s="37" t="s">
        <v>31</v>
      </c>
      <c r="M25" s="38">
        <v>8150526762.5259991</v>
      </c>
      <c r="V25" s="34"/>
      <c r="W25" s="37" t="s">
        <v>49</v>
      </c>
      <c r="X25" s="38">
        <v>3750227389.4960999</v>
      </c>
      <c r="AC25" s="34"/>
      <c r="AD25" s="37" t="s">
        <v>14</v>
      </c>
      <c r="AE25" s="38">
        <v>2304628819.5699997</v>
      </c>
      <c r="AJ25" s="34"/>
      <c r="BC25" s="34"/>
      <c r="BD25" s="32" t="s">
        <v>31</v>
      </c>
      <c r="BE25" s="45">
        <v>-515227883.72030002</v>
      </c>
      <c r="BG25" s="35">
        <f t="shared" si="5"/>
        <v>515227883.72030002</v>
      </c>
      <c r="BK25" s="34"/>
      <c r="BO25" s="34"/>
    </row>
    <row r="26" spans="12:69" x14ac:dyDescent="0.2">
      <c r="L26" s="37" t="s">
        <v>32</v>
      </c>
      <c r="M26" s="38">
        <v>6224734251.3113003</v>
      </c>
      <c r="V26" s="34"/>
      <c r="W26" s="37" t="s">
        <v>14</v>
      </c>
      <c r="X26" s="38">
        <v>3742796654.2811999</v>
      </c>
      <c r="AC26" s="34"/>
      <c r="AD26" s="37" t="s">
        <v>43</v>
      </c>
      <c r="AE26" s="38">
        <v>2130375219.9902</v>
      </c>
      <c r="AJ26" s="34"/>
      <c r="BC26" s="34"/>
      <c r="BD26" s="32" t="s">
        <v>32</v>
      </c>
      <c r="BE26" s="45">
        <v>-1980838.9798000001</v>
      </c>
      <c r="BG26" s="35">
        <f t="shared" si="5"/>
        <v>1980838.9798000001</v>
      </c>
      <c r="BK26" s="34"/>
      <c r="BO26" s="34"/>
    </row>
    <row r="27" spans="12:69" x14ac:dyDescent="0.2">
      <c r="L27" s="37" t="s">
        <v>33</v>
      </c>
      <c r="M27" s="38">
        <v>3860292508.6751995</v>
      </c>
      <c r="V27" s="34"/>
      <c r="W27" s="37" t="s">
        <v>39</v>
      </c>
      <c r="X27" s="38">
        <v>3461463445.9394999</v>
      </c>
      <c r="AC27" s="34"/>
      <c r="AD27" s="37" t="s">
        <v>39</v>
      </c>
      <c r="AE27" s="38">
        <v>2082580186.3899</v>
      </c>
      <c r="AJ27" s="34"/>
      <c r="BC27" s="34"/>
      <c r="BD27" s="32" t="s">
        <v>33</v>
      </c>
      <c r="BE27" s="45">
        <v>-1223459.3700999999</v>
      </c>
      <c r="BG27" s="35">
        <f t="shared" si="5"/>
        <v>1223459.3700999999</v>
      </c>
      <c r="BK27" s="34"/>
      <c r="BO27" s="34"/>
    </row>
    <row r="28" spans="12:69" x14ac:dyDescent="0.2">
      <c r="L28" s="37" t="s">
        <v>34</v>
      </c>
      <c r="M28" s="38">
        <v>3758241056.2316999</v>
      </c>
      <c r="V28" s="34"/>
      <c r="W28" s="37" t="s">
        <v>43</v>
      </c>
      <c r="X28" s="38">
        <v>3421216108.8825998</v>
      </c>
      <c r="AC28" s="34"/>
      <c r="AD28" s="37" t="s">
        <v>47</v>
      </c>
      <c r="AE28" s="38">
        <v>2004176980.9700999</v>
      </c>
      <c r="AJ28" s="34"/>
      <c r="BC28" s="34"/>
      <c r="BD28" s="32" t="s">
        <v>34</v>
      </c>
      <c r="BE28" s="45">
        <v>-188366458.1401</v>
      </c>
      <c r="BG28" s="35">
        <f t="shared" si="5"/>
        <v>188366458.1401</v>
      </c>
      <c r="BK28" s="34"/>
      <c r="BO28" s="34"/>
    </row>
    <row r="29" spans="12:69" x14ac:dyDescent="0.2">
      <c r="L29" s="37" t="s">
        <v>35</v>
      </c>
      <c r="M29" s="38">
        <v>2883672922.2092004</v>
      </c>
      <c r="V29" s="34"/>
      <c r="W29" s="37" t="s">
        <v>26</v>
      </c>
      <c r="X29" s="38">
        <v>3338675311.7714</v>
      </c>
      <c r="AC29" s="34"/>
      <c r="AD29" s="37" t="s">
        <v>21</v>
      </c>
      <c r="AE29" s="38">
        <v>2003319909.5098999</v>
      </c>
      <c r="AJ29" s="34"/>
      <c r="BC29" s="34"/>
      <c r="BD29" s="32" t="s">
        <v>35</v>
      </c>
      <c r="BE29" s="45">
        <v>-932159.51989999996</v>
      </c>
      <c r="BG29" s="35">
        <f t="shared" si="5"/>
        <v>932159.51989999996</v>
      </c>
      <c r="BK29" s="34"/>
      <c r="BO29" s="34"/>
    </row>
    <row r="30" spans="12:69" x14ac:dyDescent="0.2">
      <c r="L30" s="37" t="s">
        <v>36</v>
      </c>
      <c r="M30" s="38">
        <v>11098810096.5669</v>
      </c>
      <c r="V30" s="34"/>
      <c r="W30" s="37" t="s">
        <v>24</v>
      </c>
      <c r="X30" s="38">
        <v>3316472979.7967</v>
      </c>
      <c r="AC30" s="34"/>
      <c r="AD30" s="37" t="s">
        <v>26</v>
      </c>
      <c r="AE30" s="38">
        <v>1995531743.0299001</v>
      </c>
      <c r="AJ30" s="34"/>
      <c r="BC30" s="34"/>
      <c r="BD30" s="32" t="s">
        <v>36</v>
      </c>
      <c r="BE30" s="45">
        <v>-1165199.4002</v>
      </c>
      <c r="BG30" s="35">
        <f t="shared" si="5"/>
        <v>1165199.4002</v>
      </c>
      <c r="BK30" s="34"/>
      <c r="BO30" s="34"/>
    </row>
    <row r="31" spans="12:69" x14ac:dyDescent="0.2">
      <c r="L31" s="37" t="s">
        <v>37</v>
      </c>
      <c r="M31" s="38">
        <v>2421736300.6489997</v>
      </c>
      <c r="V31" s="34"/>
      <c r="W31" s="37" t="s">
        <v>40</v>
      </c>
      <c r="X31" s="38">
        <v>3313394425.3843999</v>
      </c>
      <c r="AC31" s="34"/>
      <c r="AD31" s="37" t="s">
        <v>46</v>
      </c>
      <c r="AE31" s="38">
        <v>1993388042.0599999</v>
      </c>
      <c r="AJ31" s="34"/>
      <c r="BC31" s="34"/>
      <c r="BD31" s="32" t="s">
        <v>37</v>
      </c>
      <c r="BE31" s="45">
        <v>-39995506.850000001</v>
      </c>
      <c r="BG31" s="35">
        <f t="shared" si="5"/>
        <v>39995506.850000001</v>
      </c>
      <c r="BK31" s="34"/>
      <c r="BO31" s="34"/>
    </row>
    <row r="32" spans="12:69" x14ac:dyDescent="0.2">
      <c r="L32" s="37" t="s">
        <v>38</v>
      </c>
      <c r="M32" s="38">
        <v>4665340898.6316996</v>
      </c>
      <c r="V32" s="34"/>
      <c r="W32" s="37" t="s">
        <v>47</v>
      </c>
      <c r="X32" s="38">
        <v>3220894347.9066005</v>
      </c>
      <c r="AC32" s="34"/>
      <c r="AD32" s="37" t="s">
        <v>40</v>
      </c>
      <c r="AE32" s="38">
        <v>1988995810.4402001</v>
      </c>
      <c r="AJ32" s="34"/>
      <c r="BC32" s="34"/>
      <c r="BD32" s="32" t="s">
        <v>38</v>
      </c>
      <c r="BE32" s="45">
        <v>-1456499.25</v>
      </c>
      <c r="BG32" s="35">
        <f t="shared" si="5"/>
        <v>1456499.25</v>
      </c>
      <c r="BK32" s="34"/>
      <c r="BO32" s="34"/>
    </row>
    <row r="33" spans="12:67" x14ac:dyDescent="0.2">
      <c r="L33" s="37" t="s">
        <v>39</v>
      </c>
      <c r="M33" s="38">
        <v>3461463445.9394999</v>
      </c>
      <c r="V33" s="34"/>
      <c r="W33" s="37" t="s">
        <v>21</v>
      </c>
      <c r="X33" s="38">
        <v>3205935541.4956002</v>
      </c>
      <c r="AC33" s="34"/>
      <c r="AD33" s="37" t="s">
        <v>24</v>
      </c>
      <c r="AE33" s="38">
        <v>1964077306.1900001</v>
      </c>
      <c r="AJ33" s="34"/>
      <c r="BC33" s="34"/>
      <c r="BD33" s="32" t="s">
        <v>39</v>
      </c>
      <c r="BE33" s="45">
        <v>-116942149.7999</v>
      </c>
      <c r="BG33" s="35">
        <f t="shared" si="5"/>
        <v>116942149.7999</v>
      </c>
      <c r="BK33" s="34"/>
      <c r="BO33" s="34"/>
    </row>
    <row r="34" spans="12:67" x14ac:dyDescent="0.2">
      <c r="L34" s="37" t="s">
        <v>40</v>
      </c>
      <c r="M34" s="38">
        <v>3313394425.3843999</v>
      </c>
      <c r="V34" s="34"/>
      <c r="W34" s="37" t="s">
        <v>46</v>
      </c>
      <c r="X34" s="38">
        <v>3067804326.8126001</v>
      </c>
      <c r="AC34" s="34"/>
      <c r="AD34" s="37" t="s">
        <v>13</v>
      </c>
      <c r="AE34" s="38">
        <v>1827103489.2199001</v>
      </c>
      <c r="AJ34" s="34"/>
      <c r="BC34" s="34"/>
      <c r="BD34" s="32" t="s">
        <v>40</v>
      </c>
      <c r="BE34" s="45">
        <v>-48225806.280199997</v>
      </c>
      <c r="BG34" s="35">
        <f t="shared" si="5"/>
        <v>48225806.280199997</v>
      </c>
      <c r="BK34" s="34"/>
      <c r="BO34" s="34"/>
    </row>
    <row r="35" spans="12:67" x14ac:dyDescent="0.2">
      <c r="L35" s="37" t="s">
        <v>41</v>
      </c>
      <c r="M35" s="38">
        <v>4452709454.5504999</v>
      </c>
      <c r="V35" s="34"/>
      <c r="W35" s="37" t="s">
        <v>13</v>
      </c>
      <c r="X35" s="38">
        <v>3013072333.6511998</v>
      </c>
      <c r="AC35" s="34"/>
      <c r="AD35" s="37" t="s">
        <v>48</v>
      </c>
      <c r="AE35" s="38">
        <v>1810907877.8101001</v>
      </c>
      <c r="AJ35" s="34"/>
      <c r="BC35" s="34"/>
      <c r="BD35" s="32" t="s">
        <v>41</v>
      </c>
      <c r="BE35" s="45">
        <v>-83776444.199900001</v>
      </c>
      <c r="BG35" s="35">
        <f t="shared" si="5"/>
        <v>83776444.199900001</v>
      </c>
      <c r="BK35" s="34"/>
      <c r="BO35" s="34"/>
    </row>
    <row r="36" spans="12:67" x14ac:dyDescent="0.2">
      <c r="L36" s="37" t="s">
        <v>42</v>
      </c>
      <c r="M36" s="38">
        <v>6337942270.6344004</v>
      </c>
      <c r="V36" s="34"/>
      <c r="W36" s="37" t="s">
        <v>48</v>
      </c>
      <c r="X36" s="38">
        <v>2912066587.1960001</v>
      </c>
      <c r="AC36" s="34"/>
      <c r="AD36" s="37" t="s">
        <v>35</v>
      </c>
      <c r="AE36" s="38">
        <v>1767802511.9799001</v>
      </c>
      <c r="AJ36" s="34"/>
      <c r="BC36" s="34"/>
      <c r="BD36" s="32" t="s">
        <v>42</v>
      </c>
      <c r="BE36" s="45">
        <v>-85611160.469799995</v>
      </c>
      <c r="BG36" s="35">
        <f t="shared" si="5"/>
        <v>85611160.469799995</v>
      </c>
      <c r="BK36" s="34"/>
      <c r="BO36" s="34"/>
    </row>
    <row r="37" spans="12:67" x14ac:dyDescent="0.2">
      <c r="L37" s="37" t="s">
        <v>43</v>
      </c>
      <c r="M37" s="38">
        <v>3421216108.8825998</v>
      </c>
      <c r="V37" s="34"/>
      <c r="W37" s="37" t="s">
        <v>35</v>
      </c>
      <c r="X37" s="38">
        <v>2883672922.2092004</v>
      </c>
      <c r="AC37" s="34"/>
      <c r="AD37" s="37" t="s">
        <v>37</v>
      </c>
      <c r="AE37" s="38">
        <v>1577184529.1799998</v>
      </c>
      <c r="AJ37" s="34"/>
      <c r="BC37" s="34"/>
      <c r="BD37" s="32" t="s">
        <v>43</v>
      </c>
      <c r="BE37" s="45">
        <v>-990419.4902</v>
      </c>
      <c r="BG37" s="35">
        <f t="shared" si="5"/>
        <v>990419.4902</v>
      </c>
      <c r="BK37" s="34"/>
      <c r="BO37" s="34"/>
    </row>
    <row r="38" spans="12:67" x14ac:dyDescent="0.2">
      <c r="L38" s="37" t="s">
        <v>44</v>
      </c>
      <c r="M38" s="38">
        <v>5656823868.4861002</v>
      </c>
      <c r="V38" s="34"/>
      <c r="W38" s="37" t="s">
        <v>25</v>
      </c>
      <c r="X38" s="38">
        <v>2672221568.0552001</v>
      </c>
      <c r="AC38" s="34"/>
      <c r="AD38" s="37" t="s">
        <v>25</v>
      </c>
      <c r="AE38" s="38">
        <v>1559548607.0999999</v>
      </c>
      <c r="AJ38" s="34"/>
      <c r="BC38" s="34"/>
      <c r="BD38" s="32" t="s">
        <v>44</v>
      </c>
      <c r="BE38" s="45">
        <v>-1339979.3103</v>
      </c>
      <c r="BG38" s="35">
        <f t="shared" si="5"/>
        <v>1339979.3103</v>
      </c>
      <c r="BK38" s="34"/>
      <c r="BO38" s="34"/>
    </row>
    <row r="39" spans="12:67" x14ac:dyDescent="0.2">
      <c r="L39" s="37" t="s">
        <v>45</v>
      </c>
      <c r="M39" s="38">
        <v>4288486816.2799001</v>
      </c>
      <c r="V39" s="34"/>
      <c r="W39" s="37" t="s">
        <v>23</v>
      </c>
      <c r="X39" s="38">
        <v>2451263740.3023996</v>
      </c>
      <c r="AC39" s="34"/>
      <c r="AD39" s="37" t="s">
        <v>23</v>
      </c>
      <c r="AE39" s="38">
        <v>1481926960.3715999</v>
      </c>
      <c r="AJ39" s="34"/>
      <c r="BC39" s="34"/>
      <c r="BD39" s="32" t="s">
        <v>45</v>
      </c>
      <c r="BE39" s="45">
        <v>-37329017.480099998</v>
      </c>
      <c r="BG39" s="35">
        <f t="shared" si="5"/>
        <v>37329017.480099998</v>
      </c>
      <c r="BK39" s="34"/>
      <c r="BO39" s="34"/>
    </row>
    <row r="40" spans="12:67" x14ac:dyDescent="0.2">
      <c r="L40" s="37" t="s">
        <v>46</v>
      </c>
      <c r="M40" s="38">
        <v>3067804326.8126001</v>
      </c>
      <c r="V40" s="34"/>
      <c r="W40" s="37" t="s">
        <v>37</v>
      </c>
      <c r="X40" s="38">
        <v>2421736300.6489997</v>
      </c>
      <c r="AC40" s="34"/>
      <c r="AD40" s="37" t="s">
        <v>27</v>
      </c>
      <c r="AE40" s="38">
        <v>1367339744.0599</v>
      </c>
      <c r="AJ40" s="34"/>
      <c r="BC40" s="34"/>
      <c r="BD40" s="32" t="s">
        <v>46</v>
      </c>
      <c r="BE40" s="45">
        <v>-932159.52</v>
      </c>
      <c r="BG40" s="35">
        <f t="shared" si="5"/>
        <v>932159.52</v>
      </c>
      <c r="BK40" s="34"/>
      <c r="BO40" s="34"/>
    </row>
    <row r="41" spans="12:67" x14ac:dyDescent="0.2">
      <c r="L41" s="37" t="s">
        <v>47</v>
      </c>
      <c r="M41" s="38">
        <v>3220894347.9066005</v>
      </c>
      <c r="V41" s="34"/>
      <c r="W41" s="37" t="s">
        <v>27</v>
      </c>
      <c r="X41" s="38">
        <v>2157270263.7854004</v>
      </c>
      <c r="AC41" s="34"/>
      <c r="AD41" s="37" t="s">
        <v>18</v>
      </c>
      <c r="AE41" s="38">
        <v>1070647932.79</v>
      </c>
      <c r="AJ41" s="34"/>
      <c r="BC41" s="34"/>
      <c r="BD41" s="32" t="s">
        <v>47</v>
      </c>
      <c r="BE41" s="45">
        <v>-990419.49010000005</v>
      </c>
      <c r="BG41" s="35">
        <f t="shared" si="5"/>
        <v>990419.49010000005</v>
      </c>
      <c r="BK41" s="34"/>
      <c r="BO41" s="34"/>
    </row>
    <row r="42" spans="12:67" x14ac:dyDescent="0.2">
      <c r="L42" s="37" t="s">
        <v>48</v>
      </c>
      <c r="M42" s="38">
        <v>2912066587.1960001</v>
      </c>
      <c r="V42" s="34"/>
      <c r="W42" s="37" t="s">
        <v>18</v>
      </c>
      <c r="X42" s="38">
        <v>1751392627.1584001</v>
      </c>
      <c r="AC42" s="34"/>
      <c r="AD42" s="37" t="s">
        <v>49</v>
      </c>
      <c r="AE42" s="38">
        <v>799822382.2500999</v>
      </c>
      <c r="AJ42" s="34"/>
      <c r="BC42" s="34"/>
      <c r="BD42" s="32" t="s">
        <v>48</v>
      </c>
      <c r="BE42" s="45">
        <v>-815639.58010000002</v>
      </c>
      <c r="BG42" s="35">
        <f t="shared" si="5"/>
        <v>815639.58010000002</v>
      </c>
      <c r="BK42" s="34"/>
      <c r="BO42" s="34"/>
    </row>
    <row r="43" spans="12:67" x14ac:dyDescent="0.2">
      <c r="L43" s="37" t="s">
        <v>60</v>
      </c>
      <c r="M43" s="38">
        <v>154029401983.74109</v>
      </c>
      <c r="V43" s="34"/>
      <c r="W43" s="37" t="s">
        <v>62</v>
      </c>
      <c r="X43" s="38">
        <v>0</v>
      </c>
      <c r="AC43" s="34"/>
      <c r="AD43" s="37" t="s">
        <v>62</v>
      </c>
      <c r="AE43" s="38">
        <v>0</v>
      </c>
      <c r="AJ43" s="34"/>
      <c r="BC43" s="34"/>
      <c r="BD43" s="32" t="s">
        <v>62</v>
      </c>
      <c r="BE43" s="45">
        <v>0</v>
      </c>
      <c r="BK43" s="34"/>
      <c r="BO43" s="34"/>
    </row>
    <row r="44" spans="12:67" x14ac:dyDescent="0.2">
      <c r="V44" s="34"/>
      <c r="W44" s="37" t="s">
        <v>60</v>
      </c>
      <c r="X44" s="38">
        <v>154029401983.74109</v>
      </c>
      <c r="AC44" s="34"/>
      <c r="AJ44" s="34"/>
      <c r="BC44" s="34"/>
      <c r="BD44" s="32" t="s">
        <v>60</v>
      </c>
      <c r="BE44" s="45">
        <v>-1426897930.112</v>
      </c>
      <c r="BK44" s="34"/>
      <c r="BO44" s="34"/>
    </row>
    <row r="45" spans="12:67" x14ac:dyDescent="0.2">
      <c r="V45" s="34"/>
      <c r="BC45" s="34"/>
      <c r="BK45" s="34"/>
      <c r="BO45" s="34"/>
    </row>
    <row r="46" spans="12:67" x14ac:dyDescent="0.2">
      <c r="V46" s="34"/>
      <c r="BC46" s="34"/>
      <c r="BK46" s="34"/>
      <c r="BO46" s="34"/>
    </row>
    <row r="47" spans="12:67" x14ac:dyDescent="0.2">
      <c r="V47" s="34"/>
      <c r="BC47" s="34"/>
      <c r="BK47" s="34"/>
      <c r="BO47" s="34"/>
    </row>
    <row r="48" spans="12:67" x14ac:dyDescent="0.2">
      <c r="V48" s="34"/>
      <c r="BC48" s="34"/>
      <c r="BK48" s="34"/>
      <c r="BO48" s="34"/>
    </row>
    <row r="49" spans="22:67" x14ac:dyDescent="0.2">
      <c r="V49" s="34"/>
      <c r="BC49" s="34"/>
      <c r="BK49" s="34"/>
      <c r="BO49" s="34"/>
    </row>
    <row r="50" spans="22:67" x14ac:dyDescent="0.2">
      <c r="V50" s="34"/>
      <c r="BC50" s="34"/>
      <c r="BK50" s="34"/>
      <c r="BO50" s="34"/>
    </row>
    <row r="51" spans="22:67" x14ac:dyDescent="0.2">
      <c r="V51" s="34"/>
      <c r="BC51" s="34"/>
      <c r="BK51" s="34"/>
      <c r="BO51" s="34"/>
    </row>
    <row r="52" spans="22:67" x14ac:dyDescent="0.2">
      <c r="V52" s="34"/>
      <c r="BC52" s="34"/>
      <c r="BK52" s="34"/>
      <c r="BO52" s="34"/>
    </row>
    <row r="53" spans="22:67" x14ac:dyDescent="0.2">
      <c r="V53" s="34"/>
      <c r="BC53" s="34"/>
      <c r="BK53" s="34"/>
      <c r="BO53" s="34"/>
    </row>
    <row r="54" spans="22:67" x14ac:dyDescent="0.2">
      <c r="V54" s="34"/>
      <c r="BC54" s="34"/>
      <c r="BK54" s="34"/>
      <c r="BO54" s="34"/>
    </row>
    <row r="55" spans="22:67" x14ac:dyDescent="0.2">
      <c r="V55" s="34"/>
      <c r="BC55" s="34"/>
      <c r="BK55" s="34"/>
      <c r="BO55" s="34"/>
    </row>
    <row r="56" spans="22:67" x14ac:dyDescent="0.2">
      <c r="V56" s="34"/>
      <c r="BC56" s="34"/>
      <c r="BK56" s="34"/>
      <c r="BO56" s="34"/>
    </row>
    <row r="57" spans="22:67" x14ac:dyDescent="0.2">
      <c r="V57" s="34"/>
      <c r="BC57" s="34"/>
      <c r="BK57" s="34"/>
      <c r="BO57" s="34"/>
    </row>
    <row r="58" spans="22:67" x14ac:dyDescent="0.2">
      <c r="V58" s="34"/>
      <c r="BC58" s="34"/>
      <c r="BK58" s="34"/>
      <c r="BO58" s="34"/>
    </row>
    <row r="59" spans="22:67" x14ac:dyDescent="0.2">
      <c r="V59" s="34"/>
      <c r="BC59" s="34"/>
      <c r="BK59" s="34"/>
      <c r="BO59" s="34"/>
    </row>
    <row r="60" spans="22:67" x14ac:dyDescent="0.2">
      <c r="V60" s="34"/>
      <c r="BC60" s="34"/>
      <c r="BK60" s="34"/>
      <c r="BO60" s="34"/>
    </row>
    <row r="61" spans="22:67" x14ac:dyDescent="0.2">
      <c r="V61" s="34"/>
      <c r="BC61" s="34"/>
      <c r="BK61" s="34"/>
      <c r="BO61" s="34"/>
    </row>
    <row r="62" spans="22:67" x14ac:dyDescent="0.2">
      <c r="V62" s="34"/>
      <c r="BC62" s="34"/>
      <c r="BK62" s="34"/>
      <c r="BO62" s="34"/>
    </row>
    <row r="63" spans="22:67" x14ac:dyDescent="0.2">
      <c r="V63" s="34"/>
      <c r="BC63" s="34"/>
      <c r="BK63" s="34"/>
      <c r="BO63" s="34"/>
    </row>
    <row r="64" spans="22:67" x14ac:dyDescent="0.2">
      <c r="V64" s="34"/>
      <c r="BC64" s="34"/>
      <c r="BK64" s="34"/>
      <c r="BO64" s="34"/>
    </row>
    <row r="65" spans="22:67" x14ac:dyDescent="0.2">
      <c r="V65" s="34"/>
      <c r="BC65" s="34"/>
      <c r="BK65" s="34"/>
      <c r="BO65" s="34"/>
    </row>
    <row r="66" spans="22:67" x14ac:dyDescent="0.2">
      <c r="V66" s="34"/>
      <c r="BC66" s="34"/>
      <c r="BK66" s="34"/>
      <c r="BO66" s="34"/>
    </row>
    <row r="67" spans="22:67" x14ac:dyDescent="0.2">
      <c r="V67" s="34"/>
      <c r="BC67" s="34"/>
      <c r="BK67" s="34"/>
      <c r="BO67" s="34"/>
    </row>
    <row r="68" spans="22:67" x14ac:dyDescent="0.2">
      <c r="V68" s="34"/>
      <c r="BC68" s="34"/>
      <c r="BK68" s="34"/>
      <c r="BO68" s="34"/>
    </row>
    <row r="69" spans="22:67" x14ac:dyDescent="0.2">
      <c r="V69" s="34"/>
      <c r="BC69" s="34"/>
      <c r="BK69" s="34"/>
      <c r="BO69" s="34"/>
    </row>
    <row r="70" spans="22:67" x14ac:dyDescent="0.2">
      <c r="V70" s="34"/>
      <c r="BC70" s="34"/>
      <c r="BK70" s="34"/>
      <c r="BO70" s="34"/>
    </row>
    <row r="71" spans="22:67" x14ac:dyDescent="0.2">
      <c r="V71" s="34"/>
      <c r="BC71" s="34"/>
      <c r="BK71" s="34"/>
      <c r="BO71" s="34"/>
    </row>
    <row r="72" spans="22:67" x14ac:dyDescent="0.2">
      <c r="V72" s="34"/>
      <c r="BC72" s="34"/>
      <c r="BK72" s="34"/>
      <c r="BO72" s="34"/>
    </row>
    <row r="73" spans="22:67" x14ac:dyDescent="0.2">
      <c r="V73" s="34"/>
      <c r="BC73" s="34"/>
      <c r="BK73" s="34"/>
      <c r="BO73" s="34"/>
    </row>
    <row r="74" spans="22:67" x14ac:dyDescent="0.2">
      <c r="V74" s="34"/>
      <c r="BC74" s="34"/>
      <c r="BK74" s="34"/>
      <c r="BO74" s="34"/>
    </row>
    <row r="75" spans="22:67" x14ac:dyDescent="0.2">
      <c r="V75" s="34"/>
      <c r="BC75" s="34"/>
      <c r="BK75" s="34"/>
      <c r="BO75" s="34"/>
    </row>
    <row r="76" spans="22:67" x14ac:dyDescent="0.2">
      <c r="V76" s="34"/>
      <c r="BC76" s="34"/>
      <c r="BK76" s="34"/>
      <c r="BO76" s="34"/>
    </row>
    <row r="77" spans="22:67" x14ac:dyDescent="0.2">
      <c r="V77" s="34"/>
      <c r="BC77" s="34"/>
      <c r="BK77" s="34"/>
      <c r="BO77" s="34"/>
    </row>
    <row r="78" spans="22:67" x14ac:dyDescent="0.2">
      <c r="V78" s="34"/>
      <c r="BC78" s="34"/>
      <c r="BK78" s="34"/>
      <c r="BO78" s="34"/>
    </row>
    <row r="79" spans="22:67" x14ac:dyDescent="0.2">
      <c r="V79" s="34"/>
      <c r="BC79" s="34"/>
      <c r="BK79" s="34"/>
      <c r="BO79" s="34"/>
    </row>
    <row r="80" spans="22:67" x14ac:dyDescent="0.2">
      <c r="V80" s="34"/>
      <c r="BC80" s="34"/>
      <c r="BK80" s="34"/>
      <c r="BO80" s="34"/>
    </row>
    <row r="81" spans="22:67" x14ac:dyDescent="0.2">
      <c r="V81" s="34"/>
      <c r="BC81" s="34"/>
      <c r="BK81" s="34"/>
      <c r="BO81" s="34"/>
    </row>
    <row r="82" spans="22:67" x14ac:dyDescent="0.2">
      <c r="V82" s="34"/>
      <c r="BC82" s="34"/>
      <c r="BK82" s="34"/>
      <c r="BO82" s="34"/>
    </row>
    <row r="83" spans="22:67" x14ac:dyDescent="0.2">
      <c r="V83" s="34"/>
      <c r="BC83" s="34"/>
      <c r="BK83" s="34"/>
      <c r="BO83" s="34"/>
    </row>
    <row r="84" spans="22:67" x14ac:dyDescent="0.2">
      <c r="V84" s="34"/>
      <c r="BC84" s="34"/>
      <c r="BK84" s="34"/>
      <c r="BO84" s="34"/>
    </row>
    <row r="85" spans="22:67" x14ac:dyDescent="0.2">
      <c r="V85" s="34"/>
      <c r="BC85" s="34"/>
      <c r="BK85" s="34"/>
      <c r="BO85" s="34"/>
    </row>
    <row r="86" spans="22:67" x14ac:dyDescent="0.2">
      <c r="V86" s="34"/>
      <c r="BC86" s="34"/>
      <c r="BK86" s="34"/>
      <c r="BO86" s="34"/>
    </row>
    <row r="87" spans="22:67" x14ac:dyDescent="0.2">
      <c r="V87" s="34"/>
      <c r="BC87" s="34"/>
      <c r="BK87" s="34"/>
      <c r="BO87" s="34"/>
    </row>
    <row r="88" spans="22:67" x14ac:dyDescent="0.2">
      <c r="V88" s="34"/>
      <c r="BC88" s="34"/>
      <c r="BK88" s="34"/>
      <c r="BO88" s="34"/>
    </row>
    <row r="89" spans="22:67" x14ac:dyDescent="0.2">
      <c r="V89" s="34"/>
      <c r="BC89" s="34"/>
      <c r="BK89" s="34"/>
      <c r="BO89" s="34"/>
    </row>
    <row r="90" spans="22:67" x14ac:dyDescent="0.2">
      <c r="V90" s="34"/>
      <c r="BC90" s="34"/>
      <c r="BK90" s="34"/>
      <c r="BO90" s="34"/>
    </row>
    <row r="91" spans="22:67" x14ac:dyDescent="0.2">
      <c r="V91" s="34"/>
      <c r="BC91" s="34"/>
      <c r="BK91" s="34"/>
      <c r="BO91" s="34"/>
    </row>
    <row r="92" spans="22:67" x14ac:dyDescent="0.2">
      <c r="V92" s="34"/>
      <c r="BC92" s="34"/>
      <c r="BK92" s="34"/>
      <c r="BO92" s="34"/>
    </row>
    <row r="93" spans="22:67" x14ac:dyDescent="0.2">
      <c r="V93" s="34"/>
      <c r="BC93" s="34"/>
      <c r="BK93" s="34"/>
      <c r="BO93" s="34"/>
    </row>
    <row r="94" spans="22:67" x14ac:dyDescent="0.2">
      <c r="V94" s="34"/>
      <c r="BC94" s="34"/>
      <c r="BK94" s="34"/>
      <c r="BO94" s="34"/>
    </row>
    <row r="95" spans="22:67" x14ac:dyDescent="0.2">
      <c r="V95" s="34"/>
      <c r="BC95" s="34"/>
      <c r="BK95" s="34"/>
      <c r="BO95" s="34"/>
    </row>
    <row r="96" spans="22:67" x14ac:dyDescent="0.2">
      <c r="V96" s="34"/>
      <c r="BC96" s="34"/>
      <c r="BK96" s="34"/>
      <c r="BO96" s="34"/>
    </row>
    <row r="97" spans="22:67" x14ac:dyDescent="0.2">
      <c r="V97" s="34"/>
      <c r="BC97" s="34"/>
      <c r="BK97" s="34"/>
      <c r="BO97" s="34"/>
    </row>
    <row r="98" spans="22:67" x14ac:dyDescent="0.2">
      <c r="V98" s="34"/>
      <c r="BC98" s="34"/>
      <c r="BK98" s="34"/>
      <c r="BO98" s="34"/>
    </row>
    <row r="99" spans="22:67" x14ac:dyDescent="0.2">
      <c r="V99" s="34"/>
      <c r="BC99" s="34"/>
      <c r="BK99" s="34"/>
      <c r="BO99" s="34"/>
    </row>
    <row r="100" spans="22:67" x14ac:dyDescent="0.2">
      <c r="V100" s="34"/>
      <c r="BC100" s="34"/>
      <c r="BK100" s="34"/>
      <c r="BO100" s="34"/>
    </row>
    <row r="101" spans="22:67" x14ac:dyDescent="0.2">
      <c r="V101" s="34"/>
      <c r="BC101" s="34"/>
      <c r="BK101" s="34"/>
      <c r="BO101" s="34"/>
    </row>
    <row r="102" spans="22:67" x14ac:dyDescent="0.2">
      <c r="V102" s="34"/>
      <c r="BC102" s="34"/>
      <c r="BK102" s="34"/>
      <c r="BO102" s="34"/>
    </row>
    <row r="103" spans="22:67" x14ac:dyDescent="0.2">
      <c r="V103" s="34"/>
      <c r="BC103" s="34"/>
      <c r="BK103" s="34"/>
      <c r="BO103" s="34"/>
    </row>
    <row r="104" spans="22:67" x14ac:dyDescent="0.2">
      <c r="V104" s="34"/>
      <c r="BC104" s="34"/>
      <c r="BK104" s="34"/>
      <c r="BO104" s="34"/>
    </row>
    <row r="105" spans="22:67" x14ac:dyDescent="0.2">
      <c r="V105" s="34"/>
      <c r="BC105" s="34"/>
      <c r="BK105" s="34"/>
      <c r="BO105" s="34"/>
    </row>
    <row r="106" spans="22:67" x14ac:dyDescent="0.2">
      <c r="V106" s="34"/>
      <c r="BC106" s="34"/>
      <c r="BK106" s="34"/>
      <c r="BO106" s="34"/>
    </row>
    <row r="107" spans="22:67" x14ac:dyDescent="0.2">
      <c r="V107" s="34"/>
      <c r="BC107" s="34"/>
      <c r="BK107" s="34"/>
      <c r="BO107" s="34"/>
    </row>
    <row r="108" spans="22:67" x14ac:dyDescent="0.2">
      <c r="V108" s="34"/>
      <c r="BC108" s="34"/>
      <c r="BK108" s="34"/>
      <c r="BO108" s="34"/>
    </row>
    <row r="109" spans="22:67" x14ac:dyDescent="0.2">
      <c r="V109" s="34"/>
      <c r="BC109" s="34"/>
      <c r="BK109" s="34"/>
      <c r="BO109" s="34"/>
    </row>
    <row r="110" spans="22:67" x14ac:dyDescent="0.2">
      <c r="V110" s="34"/>
      <c r="BC110" s="34"/>
      <c r="BK110" s="34"/>
      <c r="BO110" s="34"/>
    </row>
    <row r="111" spans="22:67" x14ac:dyDescent="0.2">
      <c r="V111" s="34"/>
      <c r="BC111" s="34"/>
      <c r="BK111" s="34"/>
      <c r="BO111" s="34"/>
    </row>
    <row r="112" spans="22:67" x14ac:dyDescent="0.2">
      <c r="V112" s="34"/>
      <c r="BC112" s="34"/>
      <c r="BK112" s="34"/>
      <c r="BO112" s="34"/>
    </row>
    <row r="113" spans="22:67" x14ac:dyDescent="0.2">
      <c r="V113" s="34"/>
      <c r="BC113" s="34"/>
      <c r="BK113" s="34"/>
      <c r="BO113" s="34"/>
    </row>
    <row r="114" spans="22:67" x14ac:dyDescent="0.2">
      <c r="V114" s="34"/>
      <c r="BC114" s="34"/>
      <c r="BK114" s="34"/>
      <c r="BO114" s="34"/>
    </row>
    <row r="115" spans="22:67" x14ac:dyDescent="0.2">
      <c r="V115" s="34"/>
      <c r="BC115" s="34"/>
      <c r="BK115" s="34"/>
      <c r="BO115" s="34"/>
    </row>
    <row r="116" spans="22:67" x14ac:dyDescent="0.2">
      <c r="V116" s="34"/>
      <c r="BC116" s="34"/>
      <c r="BK116" s="34"/>
      <c r="BO116" s="34"/>
    </row>
    <row r="117" spans="22:67" x14ac:dyDescent="0.2">
      <c r="V117" s="34"/>
      <c r="BC117" s="34"/>
      <c r="BK117" s="34"/>
      <c r="BO117" s="34"/>
    </row>
    <row r="118" spans="22:67" x14ac:dyDescent="0.2">
      <c r="V118" s="34"/>
      <c r="BC118" s="34"/>
      <c r="BK118" s="34"/>
      <c r="BO118" s="34"/>
    </row>
    <row r="119" spans="22:67" x14ac:dyDescent="0.2">
      <c r="V119" s="34"/>
      <c r="BC119" s="34"/>
      <c r="BK119" s="34"/>
      <c r="BO119" s="34"/>
    </row>
    <row r="120" spans="22:67" x14ac:dyDescent="0.2">
      <c r="V120" s="34"/>
      <c r="BC120" s="34"/>
      <c r="BK120" s="34"/>
      <c r="BO120" s="34"/>
    </row>
    <row r="121" spans="22:67" x14ac:dyDescent="0.2">
      <c r="V121" s="34"/>
      <c r="BC121" s="34"/>
      <c r="BK121" s="34"/>
      <c r="BO121" s="34"/>
    </row>
    <row r="122" spans="22:67" x14ac:dyDescent="0.2">
      <c r="V122" s="34"/>
      <c r="BC122" s="34"/>
      <c r="BK122" s="34"/>
      <c r="BO122" s="34"/>
    </row>
    <row r="123" spans="22:67" x14ac:dyDescent="0.2">
      <c r="V123" s="34"/>
      <c r="BC123" s="34"/>
      <c r="BK123" s="34"/>
      <c r="BO123" s="34"/>
    </row>
    <row r="124" spans="22:67" x14ac:dyDescent="0.2">
      <c r="V124" s="34"/>
      <c r="BC124" s="34"/>
      <c r="BK124" s="34"/>
      <c r="BO124" s="34"/>
    </row>
    <row r="125" spans="22:67" x14ac:dyDescent="0.2">
      <c r="V125" s="34"/>
      <c r="BC125" s="34"/>
      <c r="BK125" s="34"/>
      <c r="BO125" s="34"/>
    </row>
    <row r="126" spans="22:67" x14ac:dyDescent="0.2">
      <c r="V126" s="34"/>
      <c r="BC126" s="34"/>
      <c r="BK126" s="34"/>
      <c r="BO126" s="34"/>
    </row>
    <row r="127" spans="22:67" x14ac:dyDescent="0.2">
      <c r="V127" s="34"/>
      <c r="BC127" s="34"/>
      <c r="BK127" s="34"/>
      <c r="BO127" s="34"/>
    </row>
    <row r="128" spans="22:67" x14ac:dyDescent="0.2">
      <c r="V128" s="34"/>
      <c r="BC128" s="34"/>
      <c r="BK128" s="34"/>
      <c r="BO128" s="34"/>
    </row>
    <row r="129" spans="22:67" x14ac:dyDescent="0.2">
      <c r="V129" s="34"/>
      <c r="BC129" s="34"/>
      <c r="BK129" s="34"/>
      <c r="BO129" s="34"/>
    </row>
    <row r="130" spans="22:67" x14ac:dyDescent="0.2">
      <c r="V130" s="34"/>
      <c r="BC130" s="34"/>
      <c r="BK130" s="34"/>
      <c r="BO130" s="34"/>
    </row>
    <row r="131" spans="22:67" x14ac:dyDescent="0.2">
      <c r="V131" s="34"/>
      <c r="BC131" s="34"/>
      <c r="BK131" s="34"/>
      <c r="BO131" s="34"/>
    </row>
    <row r="132" spans="22:67" x14ac:dyDescent="0.2">
      <c r="V132" s="34"/>
      <c r="BC132" s="34"/>
      <c r="BK132" s="34"/>
      <c r="BO132" s="34"/>
    </row>
    <row r="133" spans="22:67" x14ac:dyDescent="0.2">
      <c r="V133" s="34"/>
      <c r="BC133" s="34"/>
      <c r="BK133" s="34"/>
      <c r="BO133" s="34"/>
    </row>
    <row r="134" spans="22:67" x14ac:dyDescent="0.2">
      <c r="V134" s="34"/>
      <c r="BC134" s="34"/>
      <c r="BK134" s="34"/>
      <c r="BO134" s="34"/>
    </row>
    <row r="135" spans="22:67" x14ac:dyDescent="0.2">
      <c r="V135" s="34"/>
      <c r="BC135" s="34"/>
      <c r="BK135" s="34"/>
      <c r="BO135" s="34"/>
    </row>
    <row r="136" spans="22:67" x14ac:dyDescent="0.2">
      <c r="V136" s="34"/>
      <c r="BC136" s="34"/>
      <c r="BK136" s="34"/>
      <c r="BO136" s="34"/>
    </row>
    <row r="137" spans="22:67" x14ac:dyDescent="0.2">
      <c r="V137" s="34"/>
      <c r="BC137" s="34"/>
      <c r="BK137" s="34"/>
      <c r="BO137" s="34"/>
    </row>
    <row r="138" spans="22:67" x14ac:dyDescent="0.2">
      <c r="V138" s="34"/>
      <c r="BC138" s="34"/>
      <c r="BK138" s="34"/>
      <c r="BO138" s="34"/>
    </row>
    <row r="139" spans="22:67" x14ac:dyDescent="0.2">
      <c r="V139" s="34"/>
      <c r="BC139" s="34"/>
      <c r="BK139" s="34"/>
      <c r="BO139" s="34"/>
    </row>
    <row r="140" spans="22:67" x14ac:dyDescent="0.2">
      <c r="V140" s="34"/>
      <c r="BC140" s="34"/>
      <c r="BK140" s="34"/>
      <c r="BO140" s="34"/>
    </row>
    <row r="141" spans="22:67" x14ac:dyDescent="0.2">
      <c r="V141" s="34"/>
      <c r="BC141" s="34"/>
      <c r="BK141" s="34"/>
      <c r="BO141" s="34"/>
    </row>
    <row r="142" spans="22:67" x14ac:dyDescent="0.2">
      <c r="V142" s="34"/>
      <c r="BC142" s="34"/>
      <c r="BK142" s="34"/>
      <c r="BO142" s="34"/>
    </row>
    <row r="143" spans="22:67" x14ac:dyDescent="0.2">
      <c r="V143" s="34"/>
      <c r="BC143" s="34"/>
      <c r="BK143" s="34"/>
      <c r="BO143" s="34"/>
    </row>
    <row r="144" spans="22:67" x14ac:dyDescent="0.2">
      <c r="V144" s="34"/>
      <c r="BC144" s="34"/>
      <c r="BK144" s="34"/>
      <c r="BO144" s="34"/>
    </row>
    <row r="145" spans="22:67" x14ac:dyDescent="0.2">
      <c r="V145" s="34"/>
      <c r="BC145" s="34"/>
      <c r="BK145" s="34"/>
      <c r="BO145" s="34"/>
    </row>
    <row r="146" spans="22:67" x14ac:dyDescent="0.2">
      <c r="V146" s="34"/>
      <c r="BC146" s="34"/>
      <c r="BK146" s="34"/>
      <c r="BO146" s="34"/>
    </row>
    <row r="147" spans="22:67" x14ac:dyDescent="0.2">
      <c r="V147" s="34"/>
      <c r="BC147" s="34"/>
      <c r="BK147" s="34"/>
      <c r="BO147" s="34"/>
    </row>
    <row r="148" spans="22:67" x14ac:dyDescent="0.2">
      <c r="V148" s="34"/>
      <c r="BC148" s="34"/>
      <c r="BK148" s="34"/>
      <c r="BO148" s="34"/>
    </row>
    <row r="149" spans="22:67" x14ac:dyDescent="0.2">
      <c r="V149" s="34"/>
      <c r="BC149" s="34"/>
      <c r="BK149" s="34"/>
      <c r="BO149" s="34"/>
    </row>
    <row r="150" spans="22:67" x14ac:dyDescent="0.2">
      <c r="V150" s="34"/>
      <c r="BC150" s="34"/>
      <c r="BK150" s="34"/>
      <c r="BO150" s="34"/>
    </row>
    <row r="151" spans="22:67" x14ac:dyDescent="0.2">
      <c r="V151" s="34"/>
      <c r="BC151" s="34"/>
      <c r="BK151" s="34"/>
      <c r="BO151" s="34"/>
    </row>
    <row r="152" spans="22:67" x14ac:dyDescent="0.2">
      <c r="V152" s="34"/>
      <c r="BC152" s="34"/>
      <c r="BK152" s="34"/>
      <c r="BO152" s="34"/>
    </row>
    <row r="153" spans="22:67" x14ac:dyDescent="0.2">
      <c r="V153" s="34"/>
      <c r="BC153" s="34"/>
      <c r="BK153" s="34"/>
      <c r="BO153" s="34"/>
    </row>
    <row r="154" spans="22:67" x14ac:dyDescent="0.2">
      <c r="V154" s="34"/>
      <c r="BC154" s="34"/>
      <c r="BK154" s="34"/>
      <c r="BO154" s="34"/>
    </row>
    <row r="155" spans="22:67" x14ac:dyDescent="0.2">
      <c r="V155" s="34"/>
      <c r="BC155" s="34"/>
      <c r="BK155" s="34"/>
      <c r="BO155" s="34"/>
    </row>
    <row r="156" spans="22:67" x14ac:dyDescent="0.2">
      <c r="V156" s="34"/>
      <c r="BC156" s="34"/>
      <c r="BK156" s="34"/>
      <c r="BO156" s="34"/>
    </row>
    <row r="157" spans="22:67" x14ac:dyDescent="0.2">
      <c r="V157" s="34"/>
      <c r="BC157" s="34"/>
      <c r="BK157" s="34"/>
      <c r="BO157" s="34"/>
    </row>
    <row r="158" spans="22:67" x14ac:dyDescent="0.2">
      <c r="V158" s="34"/>
      <c r="BC158" s="34"/>
      <c r="BK158" s="34"/>
      <c r="BO158" s="34"/>
    </row>
    <row r="159" spans="22:67" x14ac:dyDescent="0.2">
      <c r="V159" s="34"/>
      <c r="BC159" s="34"/>
      <c r="BK159" s="34"/>
      <c r="BO159" s="34"/>
    </row>
    <row r="160" spans="22:67" x14ac:dyDescent="0.2">
      <c r="V160" s="34"/>
      <c r="BC160" s="34"/>
      <c r="BK160" s="34"/>
      <c r="BO160" s="34"/>
    </row>
    <row r="161" spans="22:67" x14ac:dyDescent="0.2">
      <c r="V161" s="34"/>
      <c r="BC161" s="34"/>
      <c r="BK161" s="34"/>
      <c r="BO161" s="34"/>
    </row>
    <row r="162" spans="22:67" x14ac:dyDescent="0.2">
      <c r="V162" s="34"/>
      <c r="BC162" s="34"/>
      <c r="BK162" s="34"/>
      <c r="BO162" s="34"/>
    </row>
    <row r="163" spans="22:67" x14ac:dyDescent="0.2">
      <c r="V163" s="34"/>
      <c r="BC163" s="34"/>
      <c r="BK163" s="34"/>
      <c r="BO163" s="34"/>
    </row>
    <row r="164" spans="22:67" x14ac:dyDescent="0.2">
      <c r="V164" s="34"/>
      <c r="BC164" s="34"/>
      <c r="BK164" s="34"/>
      <c r="BO164" s="34"/>
    </row>
    <row r="165" spans="22:67" x14ac:dyDescent="0.2">
      <c r="V165" s="34"/>
      <c r="BC165" s="34"/>
      <c r="BK165" s="34"/>
      <c r="BO165" s="34"/>
    </row>
    <row r="166" spans="22:67" x14ac:dyDescent="0.2">
      <c r="V166" s="34"/>
      <c r="BC166" s="34"/>
      <c r="BK166" s="34"/>
      <c r="BO166" s="34"/>
    </row>
    <row r="167" spans="22:67" x14ac:dyDescent="0.2">
      <c r="V167" s="34"/>
      <c r="BC167" s="34"/>
      <c r="BK167" s="34"/>
      <c r="BO167" s="34"/>
    </row>
    <row r="168" spans="22:67" x14ac:dyDescent="0.2">
      <c r="V168" s="34"/>
      <c r="BC168" s="34"/>
      <c r="BK168" s="34"/>
      <c r="BO168" s="34"/>
    </row>
    <row r="169" spans="22:67" x14ac:dyDescent="0.2">
      <c r="V169" s="34"/>
      <c r="BC169" s="34"/>
      <c r="BK169" s="34"/>
      <c r="BO169" s="34"/>
    </row>
    <row r="170" spans="22:67" x14ac:dyDescent="0.2">
      <c r="V170" s="34"/>
      <c r="BC170" s="34"/>
      <c r="BK170" s="34"/>
      <c r="BO170" s="34"/>
    </row>
    <row r="171" spans="22:67" x14ac:dyDescent="0.2">
      <c r="V171" s="34"/>
      <c r="BC171" s="34"/>
      <c r="BK171" s="34"/>
      <c r="BO171" s="34"/>
    </row>
    <row r="172" spans="22:67" x14ac:dyDescent="0.2">
      <c r="V172" s="34"/>
      <c r="BC172" s="34"/>
      <c r="BK172" s="34"/>
      <c r="BO172" s="34"/>
    </row>
    <row r="173" spans="22:67" x14ac:dyDescent="0.2">
      <c r="V173" s="34"/>
      <c r="BC173" s="34"/>
      <c r="BK173" s="34"/>
      <c r="BO173" s="34"/>
    </row>
    <row r="174" spans="22:67" x14ac:dyDescent="0.2">
      <c r="V174" s="34"/>
      <c r="BC174" s="34"/>
      <c r="BK174" s="34"/>
      <c r="BO174" s="34"/>
    </row>
    <row r="175" spans="22:67" x14ac:dyDescent="0.2">
      <c r="V175" s="34"/>
      <c r="BC175" s="34"/>
      <c r="BK175" s="34"/>
      <c r="BO175" s="34"/>
    </row>
    <row r="176" spans="22:67" x14ac:dyDescent="0.2">
      <c r="V176" s="34"/>
      <c r="BC176" s="34"/>
      <c r="BK176" s="34"/>
      <c r="BO176" s="34"/>
    </row>
    <row r="177" spans="22:67" x14ac:dyDescent="0.2">
      <c r="V177" s="34"/>
      <c r="BC177" s="34"/>
      <c r="BK177" s="34"/>
      <c r="BO177" s="34"/>
    </row>
    <row r="178" spans="22:67" x14ac:dyDescent="0.2">
      <c r="V178" s="34"/>
      <c r="BC178" s="34"/>
      <c r="BK178" s="34"/>
      <c r="BO178" s="34"/>
    </row>
    <row r="179" spans="22:67" x14ac:dyDescent="0.2">
      <c r="V179" s="34"/>
      <c r="BC179" s="34"/>
      <c r="BK179" s="34"/>
      <c r="BO179" s="34"/>
    </row>
    <row r="180" spans="22:67" x14ac:dyDescent="0.2">
      <c r="V180" s="34"/>
      <c r="BC180" s="34"/>
      <c r="BK180" s="34"/>
      <c r="BO180" s="34"/>
    </row>
    <row r="181" spans="22:67" x14ac:dyDescent="0.2">
      <c r="V181" s="34"/>
      <c r="BC181" s="34"/>
      <c r="BK181" s="34"/>
      <c r="BO181" s="34"/>
    </row>
    <row r="182" spans="22:67" x14ac:dyDescent="0.2">
      <c r="V182" s="34"/>
      <c r="BC182" s="34"/>
      <c r="BK182" s="34"/>
      <c r="BO182" s="34"/>
    </row>
    <row r="183" spans="22:67" x14ac:dyDescent="0.2">
      <c r="V183" s="34"/>
      <c r="BC183" s="34"/>
      <c r="BK183" s="34"/>
      <c r="BO183" s="34"/>
    </row>
    <row r="184" spans="22:67" x14ac:dyDescent="0.2">
      <c r="V184" s="34"/>
      <c r="BC184" s="34"/>
      <c r="BK184" s="34"/>
      <c r="BO184" s="34"/>
    </row>
    <row r="185" spans="22:67" x14ac:dyDescent="0.2">
      <c r="V185" s="34"/>
      <c r="BC185" s="34"/>
      <c r="BK185" s="34"/>
      <c r="BO185" s="34"/>
    </row>
    <row r="186" spans="22:67" x14ac:dyDescent="0.2">
      <c r="V186" s="34"/>
      <c r="BC186" s="34"/>
      <c r="BK186" s="34"/>
      <c r="BO186" s="34"/>
    </row>
    <row r="187" spans="22:67" x14ac:dyDescent="0.2">
      <c r="V187" s="34"/>
      <c r="BC187" s="34"/>
      <c r="BK187" s="34"/>
      <c r="BO187" s="34"/>
    </row>
    <row r="188" spans="22:67" x14ac:dyDescent="0.2">
      <c r="V188" s="34"/>
      <c r="BC188" s="34"/>
      <c r="BK188" s="34"/>
      <c r="BO188" s="34"/>
    </row>
  </sheetData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</vt:lpstr>
      <vt:lpstr>Dashboard</vt:lpstr>
      <vt:lpstr>Pivot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Iyanuloluwa Osuolale</dc:creator>
  <cp:lastModifiedBy>Iyanuloluwa Osuolale</cp:lastModifiedBy>
  <cp:lastPrinted>2022-06-18T10:24:18Z</cp:lastPrinted>
  <dcterms:created xsi:type="dcterms:W3CDTF">2022-02-17T18:06:25Z</dcterms:created>
  <dcterms:modified xsi:type="dcterms:W3CDTF">2022-07-20T15:15:54Z</dcterms:modified>
</cp:coreProperties>
</file>