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mmanuel Project work\Research_project\"/>
    </mc:Choice>
  </mc:AlternateContent>
  <xr:revisionPtr revIDLastSave="0" documentId="13_ncr:1_{1394876D-ABCC-4A9E-AEFD-BB5AD8644AFD}" xr6:coauthVersionLast="47" xr6:coauthVersionMax="47" xr10:uidLastSave="{00000000-0000-0000-0000-000000000000}"/>
  <bookViews>
    <workbookView xWindow="0" yWindow="0" windowWidth="10245" windowHeight="10920" tabRatio="269" firstSheet="1" activeTab="1" xr2:uid="{3F090771-35F1-4199-9FC6-8E87D1850D2B}"/>
  </bookViews>
  <sheets>
    <sheet name="Sheet1" sheetId="1" r:id="rId1"/>
    <sheet name="Emmanuel Analysis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3" l="1"/>
  <c r="B57" i="3" l="1"/>
  <c r="B58" i="3"/>
  <c r="B59" i="3"/>
  <c r="B60" i="3"/>
  <c r="B61" i="3"/>
  <c r="B56" i="3"/>
  <c r="A57" i="3"/>
  <c r="A58" i="3"/>
  <c r="A59" i="3"/>
  <c r="A60" i="3"/>
  <c r="A61" i="3"/>
  <c r="F78" i="3"/>
  <c r="F79" i="3"/>
  <c r="F80" i="3"/>
  <c r="F81" i="3"/>
  <c r="F82" i="3"/>
  <c r="F77" i="3"/>
  <c r="E78" i="3"/>
  <c r="E79" i="3"/>
  <c r="E80" i="3"/>
  <c r="E81" i="3"/>
  <c r="E82" i="3"/>
  <c r="E77" i="3"/>
  <c r="D78" i="3"/>
  <c r="D79" i="3"/>
  <c r="D80" i="3"/>
  <c r="D81" i="3"/>
  <c r="D82" i="3"/>
  <c r="D77" i="3"/>
  <c r="C78" i="3"/>
  <c r="C79" i="3"/>
  <c r="C80" i="3"/>
  <c r="C81" i="3"/>
  <c r="C82" i="3"/>
  <c r="B78" i="3"/>
  <c r="B79" i="3"/>
  <c r="B80" i="3"/>
  <c r="B81" i="3"/>
  <c r="B82" i="3"/>
  <c r="B77" i="3"/>
  <c r="A78" i="3"/>
  <c r="A79" i="3"/>
  <c r="A80" i="3"/>
  <c r="A81" i="3"/>
  <c r="A82" i="3"/>
  <c r="E58" i="3"/>
  <c r="E68" i="3"/>
  <c r="A45" i="3"/>
  <c r="F21" i="3"/>
  <c r="F22" i="3"/>
  <c r="F23" i="3"/>
  <c r="F24" i="3"/>
  <c r="F25" i="3"/>
  <c r="E21" i="3"/>
  <c r="E22" i="3"/>
  <c r="E23" i="3"/>
  <c r="E24" i="3"/>
  <c r="E25" i="3"/>
  <c r="F20" i="3"/>
  <c r="E20" i="3"/>
  <c r="D21" i="3"/>
  <c r="D22" i="3"/>
  <c r="D23" i="3"/>
  <c r="D24" i="3"/>
  <c r="D25" i="3"/>
  <c r="D20" i="3"/>
  <c r="F34" i="3"/>
  <c r="F35" i="3"/>
  <c r="F36" i="3"/>
  <c r="F37" i="3"/>
  <c r="F38" i="3"/>
  <c r="F33" i="3"/>
  <c r="E34" i="3"/>
  <c r="E35" i="3"/>
  <c r="E36" i="3"/>
  <c r="E37" i="3"/>
  <c r="E38" i="3"/>
  <c r="E33" i="3"/>
  <c r="D38" i="3"/>
  <c r="D36" i="3"/>
  <c r="D34" i="3"/>
  <c r="D35" i="3"/>
  <c r="D37" i="3"/>
  <c r="D33" i="3"/>
  <c r="D4" i="3"/>
  <c r="A77" i="3"/>
  <c r="C77" i="3"/>
  <c r="D9" i="3"/>
  <c r="D8" i="3"/>
  <c r="D7" i="3"/>
  <c r="D6" i="3"/>
  <c r="D5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66" i="3" l="1"/>
  <c r="B45" i="3"/>
  <c r="B71" i="3"/>
  <c r="B50" i="3"/>
  <c r="B70" i="3"/>
  <c r="B49" i="3"/>
  <c r="B69" i="3"/>
  <c r="B48" i="3"/>
  <c r="B68" i="3"/>
  <c r="B47" i="3"/>
  <c r="B67" i="3"/>
  <c r="B46" i="3"/>
  <c r="F4" i="3"/>
  <c r="E4" i="3"/>
  <c r="F5" i="3"/>
  <c r="E5" i="3"/>
  <c r="F6" i="3"/>
  <c r="E6" i="3"/>
  <c r="F7" i="3"/>
  <c r="E7" i="3"/>
  <c r="F8" i="3"/>
  <c r="E8" i="3"/>
  <c r="F9" i="3"/>
  <c r="E9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A66" i="3" l="1"/>
  <c r="A56" i="3"/>
  <c r="A67" i="3"/>
  <c r="A46" i="3"/>
  <c r="A68" i="3"/>
  <c r="A47" i="3"/>
  <c r="A69" i="3"/>
  <c r="A48" i="3"/>
  <c r="A70" i="3"/>
  <c r="A49" i="3"/>
  <c r="A71" i="3"/>
  <c r="A50" i="3"/>
  <c r="H21" i="1"/>
  <c r="G21" i="1"/>
  <c r="H22" i="1"/>
  <c r="G22" i="1"/>
  <c r="H23" i="1"/>
  <c r="G23" i="1"/>
  <c r="H24" i="1"/>
  <c r="G24" i="1"/>
  <c r="H25" i="1"/>
  <c r="G25" i="1"/>
  <c r="H20" i="1"/>
  <c r="G20" i="1"/>
  <c r="B87" i="3" l="1"/>
  <c r="D87" i="3"/>
  <c r="D86" i="3"/>
  <c r="E48" i="3"/>
  <c r="C46" i="3"/>
  <c r="F86" i="3"/>
  <c r="B88" i="3"/>
  <c r="D88" i="3"/>
  <c r="F88" i="3"/>
  <c r="F87" i="3"/>
  <c r="E59" i="3"/>
  <c r="C60" i="3"/>
  <c r="E57" i="3" s="1"/>
  <c r="C49" i="3"/>
  <c r="E47" i="3"/>
  <c r="C69" i="3"/>
  <c r="E66" i="3"/>
  <c r="C66" i="3"/>
  <c r="E67" i="3"/>
  <c r="E46" i="3"/>
</calcChain>
</file>

<file path=xl/sharedStrings.xml><?xml version="1.0" encoding="utf-8"?>
<sst xmlns="http://schemas.openxmlformats.org/spreadsheetml/2006/main" count="117" uniqueCount="55">
  <si>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</si>
  <si>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</si>
  <si>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</si>
  <si>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</si>
  <si>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</si>
  <si>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</si>
  <si>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</si>
  <si>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</si>
  <si>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</si>
  <si>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</si>
  <si>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</si>
  <si>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</si>
  <si>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</si>
  <si>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</si>
  <si>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</si>
  <si>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</si>
  <si>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</si>
  <si>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</si>
  <si>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</si>
  <si>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</si>
  <si>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</si>
  <si>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Ce /qe</t>
  </si>
  <si>
    <t>Fredundlish isotherm</t>
  </si>
  <si>
    <t>Log Ce</t>
  </si>
  <si>
    <t>Temkin isotherm</t>
  </si>
  <si>
    <t>ln Ce</t>
  </si>
  <si>
    <t>adsorption capacity (qt)</t>
  </si>
  <si>
    <t>Kinetic model study</t>
  </si>
  <si>
    <t>Pseudo second order</t>
  </si>
  <si>
    <t xml:space="preserve">Pseudo first order </t>
  </si>
  <si>
    <t>Time (Contact time)</t>
  </si>
  <si>
    <t>in(qe -qt)</t>
  </si>
  <si>
    <t>Time (contact time)</t>
  </si>
  <si>
    <t>t/qt</t>
  </si>
  <si>
    <t>Intra-particle Diffusion model</t>
  </si>
  <si>
    <t>qt</t>
  </si>
  <si>
    <t>√t (min)</t>
  </si>
  <si>
    <t>Parameters</t>
  </si>
  <si>
    <r>
      <t>K</t>
    </r>
    <r>
      <rPr>
        <vertAlign val="sub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 xml:space="preserve"> (L/g)  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</si>
  <si>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</si>
  <si>
    <r>
      <t>q</t>
    </r>
    <r>
      <rPr>
        <vertAlign val="subscript"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</si>
  <si>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/</t>
    </r>
    <r>
      <rPr>
        <sz val="12"/>
        <color theme="1"/>
        <rFont val="Times New Roman"/>
        <family val="1"/>
      </rPr>
      <t>m</t>
    </r>
    <r>
      <rPr>
        <b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 min</t>
    </r>
    <r>
      <rPr>
        <b/>
        <sz val="12"/>
        <color theme="1"/>
        <rFont val="Times New Roman"/>
        <family val="1"/>
      </rPr>
      <t>)</t>
    </r>
  </si>
  <si>
    <r>
      <t>Q</t>
    </r>
    <r>
      <rPr>
        <vertAlign val="subscript"/>
        <sz val="12"/>
        <color theme="1"/>
        <rFont val="Times New Roman"/>
        <family val="1"/>
      </rPr>
      <t xml:space="preserve">e </t>
    </r>
    <r>
      <rPr>
        <sz val="12"/>
        <color theme="1"/>
        <rFont val="Times New Roman"/>
        <family val="1"/>
      </rPr>
      <t>(mg/g)</t>
    </r>
  </si>
  <si>
    <r>
      <t>K</t>
    </r>
    <r>
      <rPr>
        <vertAlign val="subscript"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 xml:space="preserve"> (L/g)  </t>
    </r>
  </si>
  <si>
    <r>
      <t>C</t>
    </r>
    <r>
      <rPr>
        <b/>
        <sz val="12"/>
        <color theme="1"/>
        <rFont val="Times New Roman"/>
        <family val="1"/>
      </rPr>
      <t xml:space="preserve"> (kJ/mol)  </t>
    </r>
  </si>
  <si>
    <t>Value</t>
  </si>
  <si>
    <t xml:space="preserve">qmax (mg/g)  </t>
  </si>
  <si>
    <t xml:space="preserve">K (L/g)  </t>
  </si>
  <si>
    <r>
      <t>K</t>
    </r>
    <r>
      <rPr>
        <b/>
        <vertAlign val="subscript"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((mg/g)/(mg/L) n)</t>
    </r>
  </si>
  <si>
    <t>N</t>
  </si>
  <si>
    <r>
      <t>K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(L/g)  </t>
    </r>
  </si>
  <si>
    <r>
      <t>B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 xml:space="preserve"> (kJ/mol)  </t>
    </r>
  </si>
  <si>
    <t>Slope</t>
  </si>
  <si>
    <t>intercept</t>
  </si>
  <si>
    <t>init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</si>
</sst>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5" applyNumberFormat="0" applyAlignment="0" applyProtection="0"/>
    <xf numFmtId="0" fontId="7" fillId="6" borderId="1" applyNumberFormat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23">
    <xf numFmtId="0" fontId="0" fillId="0" borderId="0" xfId="0"/>
    <xf numFmtId="0" fontId="3" fillId="4" borderId="0" xfId="3"/>
    <xf numFmtId="0" fontId="1" fillId="2" borderId="1" xfId="1"/>
    <xf numFmtId="0" fontId="3" fillId="4" borderId="0" xfId="3" applyAlignment="1"/>
    <xf numFmtId="164" fontId="0" fillId="0" borderId="0" xfId="0" applyNumberFormat="1"/>
    <xf numFmtId="164" fontId="4" fillId="7" borderId="0" xfId="7" applyNumberFormat="1" applyAlignment="1">
      <alignment horizontal="center"/>
    </xf>
    <xf numFmtId="164" fontId="5" fillId="5" borderId="0" xfId="4" applyNumberFormat="1"/>
    <xf numFmtId="164" fontId="7" fillId="6" borderId="1" xfId="6" applyNumberFormat="1" applyAlignment="1">
      <alignment horizontal="center"/>
    </xf>
    <xf numFmtId="164" fontId="10" fillId="0" borderId="6" xfId="0" applyNumberFormat="1" applyFont="1" applyBorder="1" applyAlignment="1">
      <alignment horizontal="justify" vertical="center" wrapText="1"/>
    </xf>
    <xf numFmtId="164" fontId="10" fillId="0" borderId="7" xfId="0" applyNumberFormat="1" applyFont="1" applyBorder="1" applyAlignment="1">
      <alignment horizontal="justify" vertical="center" wrapText="1"/>
    </xf>
    <xf numFmtId="164" fontId="8" fillId="0" borderId="6" xfId="0" applyNumberFormat="1" applyFont="1" applyBorder="1" applyAlignment="1">
      <alignment horizontal="justify" vertical="center" wrapText="1"/>
    </xf>
    <xf numFmtId="164" fontId="8" fillId="0" borderId="7" xfId="0" applyNumberFormat="1" applyFont="1" applyBorder="1" applyAlignment="1">
      <alignment horizontal="justify" vertical="center" wrapText="1"/>
    </xf>
    <xf numFmtId="165" fontId="0" fillId="0" borderId="0" xfId="0" applyNumberFormat="1"/>
    <xf numFmtId="0" fontId="2" fillId="4" borderId="0" xfId="3" applyFont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164" fontId="3" fillId="4" borderId="0" xfId="3" applyNumberFormat="1" applyAlignment="1">
      <alignment horizontal="center"/>
    </xf>
    <xf numFmtId="164" fontId="3" fillId="4" borderId="0" xfId="3" applyNumberFormat="1" applyBorder="1" applyAlignment="1">
      <alignment horizontal="center"/>
    </xf>
    <xf numFmtId="164" fontId="6" fillId="6" borderId="5" xfId="5" applyNumberFormat="1" applyAlignment="1">
      <alignment horizontal="center"/>
    </xf>
    <xf numFmtId="164" fontId="3" fillId="9" borderId="0" xfId="9" applyNumberFormat="1" applyAlignment="1">
      <alignment horizontal="center"/>
    </xf>
    <xf numFmtId="164" fontId="3" fillId="8" borderId="0" xfId="8" applyNumberFormat="1" applyAlignment="1">
      <alignment horizontal="center"/>
    </xf>
    <xf numFmtId="164" fontId="4" fillId="7" borderId="0" xfId="7" applyNumberFormat="1" applyAlignment="1">
      <alignment horizontal="center"/>
    </xf>
  </cellXfs>
  <cellStyles count="10">
    <cellStyle name="20% - Accent1" xfId="7" builtinId="30"/>
    <cellStyle name="Accent1" xfId="3" builtinId="29"/>
    <cellStyle name="Accent2" xfId="8" builtinId="33"/>
    <cellStyle name="Accent6" xfId="9" builtinId="49"/>
    <cellStyle name="Calculation" xfId="6" builtinId="22"/>
    <cellStyle name="Check Cell" xfId="2" builtinId="23"/>
    <cellStyle name="Good" xfId="4" builtinId="26"/>
    <cellStyle name="Input" xfId="1" builtinId="20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(qt)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Analysis'!$E$31</c:f>
              <c:strCache>
                <c:ptCount val="1"/>
                <c:pt idx="0">
                  <c:v>adsorption capacity (qt)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'Emmanuel Analysis'!$E$32:$E$38</c:f>
              <c:numCache>
                <c:formatCode>0.000</c:formatCode>
                <c:ptCount val="7"/>
                <c:pt idx="1">
                  <c:v>1.9029088050314464</c:v>
                </c:pt>
                <c:pt idx="2">
                  <c:v>2.1923349056603776</c:v>
                </c:pt>
                <c:pt idx="3">
                  <c:v>1.4761792452830189</c:v>
                </c:pt>
                <c:pt idx="4">
                  <c:v>1.2696933962264152</c:v>
                </c:pt>
                <c:pt idx="5">
                  <c:v>1.5243317610062894</c:v>
                </c:pt>
                <c:pt idx="6">
                  <c:v>0.9166273584905662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58463430880373"/>
                  <c:y val="-0.15910830430580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Analysis'!$B$45:$B$50</c:f>
              <c:numCache>
                <c:formatCode>0.000</c:formatCode>
                <c:ptCount val="6"/>
                <c:pt idx="0">
                  <c:v>0.40471698113207544</c:v>
                </c:pt>
                <c:pt idx="1">
                  <c:v>3.3988993710691822</c:v>
                </c:pt>
                <c:pt idx="2">
                  <c:v>6.3581761006289303</c:v>
                </c:pt>
                <c:pt idx="3">
                  <c:v>6.3117924528301881</c:v>
                </c:pt>
                <c:pt idx="4">
                  <c:v>8.5748427672955962</c:v>
                </c:pt>
                <c:pt idx="5">
                  <c:v>2.6647798742138362</c:v>
                </c:pt>
              </c:numCache>
            </c:numRef>
          </c:xVal>
          <c:yVal>
            <c:numRef>
              <c:f>'Emmanuel Analysis'!$A$45:$A$50</c:f>
              <c:numCache>
                <c:formatCode>0.000</c:formatCode>
                <c:ptCount val="6"/>
                <c:pt idx="0">
                  <c:v>0.35228905768835966</c:v>
                </c:pt>
                <c:pt idx="1">
                  <c:v>2.0595955505799965</c:v>
                </c:pt>
                <c:pt idx="2">
                  <c:v>2.9429787853426004</c:v>
                </c:pt>
                <c:pt idx="3">
                  <c:v>1.8444467417898616</c:v>
                </c:pt>
                <c:pt idx="4">
                  <c:v>2.0882217797518758</c:v>
                </c:pt>
                <c:pt idx="5">
                  <c:v>0.22518368919655074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3740157480315E-2"/>
                  <c:y val="-0.25474864313370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Analysis'!$B$56:$B$61</c:f>
              <c:numCache>
                <c:formatCode>0.000</c:formatCode>
                <c:ptCount val="6"/>
                <c:pt idx="0">
                  <c:v>-0.392848573080046</c:v>
                </c:pt>
                <c:pt idx="1">
                  <c:v>0.53133830690836004</c:v>
                </c:pt>
                <c:pt idx="2">
                  <c:v>0.80333255227838896</c:v>
                </c:pt>
                <c:pt idx="3">
                  <c:v>0.80015270977162312</c:v>
                </c:pt>
                <c:pt idx="4">
                  <c:v>0.93322616534198588</c:v>
                </c:pt>
                <c:pt idx="5">
                  <c:v>0.4256613396805381</c:v>
                </c:pt>
              </c:numCache>
            </c:numRef>
          </c:xVal>
          <c:yVal>
            <c:numRef>
              <c:f>'Emmanuel Analysis'!$A$56:$A$61</c:f>
              <c:numCache>
                <c:formatCode>0.000</c:formatCode>
                <c:ptCount val="6"/>
                <c:pt idx="0">
                  <c:v>6.0252272979037277E-2</c:v>
                </c:pt>
                <c:pt idx="1">
                  <c:v>0.21755636197448863</c:v>
                </c:pt>
                <c:pt idx="2">
                  <c:v>0.33454542080801747</c:v>
                </c:pt>
                <c:pt idx="3">
                  <c:v>0.53428659023629377</c:v>
                </c:pt>
                <c:pt idx="4">
                  <c:v>0.61344954428401188</c:v>
                </c:pt>
                <c:pt idx="5">
                  <c:v>1.0731244097555586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9980389364241E-2"/>
          <c:y val="0.1309167316095052"/>
          <c:w val="0.88062052872026908"/>
          <c:h val="0.74177688745946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'Emmanuel Analysis'!$B$65</c:f>
              <c:strCache>
                <c:ptCount val="1"/>
                <c:pt idx="0">
                  <c:v>ln 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7857282113678"/>
                  <c:y val="-0.48995844269466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Analysis'!$B$66:$B$71</c:f>
              <c:numCache>
                <c:formatCode>0.000</c:formatCode>
                <c:ptCount val="6"/>
                <c:pt idx="0">
                  <c:v>-0.90456726817809596</c:v>
                </c:pt>
                <c:pt idx="1">
                  <c:v>1.2234516648238849</c:v>
                </c:pt>
                <c:pt idx="2">
                  <c:v>1.8497415595930782</c:v>
                </c:pt>
                <c:pt idx="3">
                  <c:v>1.8424197016389305</c:v>
                </c:pt>
                <c:pt idx="4">
                  <c:v>2.148832656708453</c:v>
                </c:pt>
                <c:pt idx="5">
                  <c:v>0.98012145541228191</c:v>
                </c:pt>
              </c:numCache>
            </c:numRef>
          </c:xVal>
          <c:yVal>
            <c:numRef>
              <c:f>'Emmanuel Analysis'!$A$66:$A$71</c:f>
              <c:numCache>
                <c:formatCode>0.000</c:formatCode>
                <c:ptCount val="6"/>
                <c:pt idx="0">
                  <c:v>1.1488207547169811</c:v>
                </c:pt>
                <c:pt idx="1">
                  <c:v>1.6502751572327043</c:v>
                </c:pt>
                <c:pt idx="2">
                  <c:v>2.1604559748427672</c:v>
                </c:pt>
                <c:pt idx="3">
                  <c:v>3.422051886792453</c:v>
                </c:pt>
                <c:pt idx="4">
                  <c:v>4.1062893081761009</c:v>
                </c:pt>
                <c:pt idx="5">
                  <c:v>11.833805031446541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 First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2534927915729"/>
                  <c:y val="-0.20095909886264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Analysis'!$A$77:$A$81</c:f>
              <c:numCache>
                <c:formatCode>0.000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Analysis'!$B$77:$B$81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-0.37939286779838949</c:v>
                </c:pt>
                <c:pt idx="3">
                  <c:v>0.7665642132613445</c:v>
                </c:pt>
                <c:pt idx="4">
                  <c:v>0.94854785044955015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3-4E06-9B54-FAD9C7BC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17488"/>
        <c:axId val="1765814128"/>
      </c:scatterChart>
      <c:valAx>
        <c:axId val="17658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4128"/>
        <c:crosses val="autoZero"/>
        <c:crossBetween val="midCat"/>
      </c:valAx>
      <c:valAx>
        <c:axId val="176581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(qe -qt)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Pseudo</a:t>
            </a:r>
            <a:r>
              <a:rPr lang="en-GB" baseline="0"/>
              <a:t> second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19560709565076"/>
                  <c:y val="-0.15773840769903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Analysis'!$C$77:$C$81</c:f>
              <c:numCache>
                <c:formatCode>0.000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'Emmanuel Analysis'!$D$77:$D$81</c:f>
              <c:numCache>
                <c:formatCode>0.000</c:formatCode>
                <c:ptCount val="5"/>
                <c:pt idx="0">
                  <c:v>10.51022516009089</c:v>
                </c:pt>
                <c:pt idx="1">
                  <c:v>18.245387553117098</c:v>
                </c:pt>
                <c:pt idx="2">
                  <c:v>40.645470522447674</c:v>
                </c:pt>
                <c:pt idx="3">
                  <c:v>63.007337234141353</c:v>
                </c:pt>
                <c:pt idx="4">
                  <c:v>65.602516826117224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E7C-BDD3-E2C21C3C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991488"/>
        <c:axId val="1850757680"/>
      </c:scatterChart>
      <c:valAx>
        <c:axId val="16279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57680"/>
        <c:crosses val="autoZero"/>
        <c:crossBetween val="midCat"/>
      </c:valAx>
      <c:valAx>
        <c:axId val="18507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t/qt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Intra-particle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797244094488191E-2"/>
                  <c:y val="-0.31542869641294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Analysis'!$E$77:$E$81</c:f>
              <c:numCache>
                <c:formatCode>0.000</c:formatCode>
                <c:ptCount val="5"/>
                <c:pt idx="0">
                  <c:v>4.4721359549995796</c:v>
                </c:pt>
                <c:pt idx="1">
                  <c:v>6.324555320336759</c:v>
                </c:pt>
                <c:pt idx="2">
                  <c:v>7.745966692414834</c:v>
                </c:pt>
                <c:pt idx="3">
                  <c:v>8.9442719099991592</c:v>
                </c:pt>
                <c:pt idx="4">
                  <c:v>10</c:v>
                </c:pt>
              </c:numCache>
            </c:numRef>
          </c:xVal>
          <c:yVal>
            <c:numRef>
              <c:f>'Emmanuel Analysis'!$F$77:$F$81</c:f>
              <c:numCache>
                <c:formatCode>0.000</c:formatCode>
                <c:ptCount val="5"/>
                <c:pt idx="0">
                  <c:v>1.9029088050314464</c:v>
                </c:pt>
                <c:pt idx="1">
                  <c:v>2.1923349056603776</c:v>
                </c:pt>
                <c:pt idx="2">
                  <c:v>1.4761792452830189</c:v>
                </c:pt>
                <c:pt idx="3">
                  <c:v>1.2696933962264152</c:v>
                </c:pt>
                <c:pt idx="4">
                  <c:v>1.5243317610062894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FC6-8837-366EE216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27792"/>
        <c:axId val="1846322032"/>
      </c:scatterChart>
      <c:valAx>
        <c:axId val="184632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√t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2032"/>
        <c:crosses val="autoZero"/>
        <c:crossBetween val="midCat"/>
      </c:valAx>
      <c:valAx>
        <c:axId val="184632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qt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Analysis'!$B$3:$B$9</c:f>
              <c:numCache>
                <c:formatCode>0.000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Analysis'!$F$18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Analysis'!$F$19:$F$25</c:f>
              <c:numCache>
                <c:formatCode>0.0</c:formatCode>
                <c:ptCount val="7"/>
                <c:pt idx="1">
                  <c:v>91.905660377358487</c:v>
                </c:pt>
                <c:pt idx="2">
                  <c:v>66.01100628930817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Analysis'!$A$32:$A$38</c:f>
              <c:numCache>
                <c:formatCode>General</c:formatCode>
                <c:ptCount val="7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'Emmanuel Analysis'!$F$32:$F$38</c:f>
              <c:numCache>
                <c:formatCode>0.0</c:formatCode>
                <c:ptCount val="7"/>
                <c:pt idx="1">
                  <c:v>76.116352201257854</c:v>
                </c:pt>
                <c:pt idx="2">
                  <c:v>87.693396226415103</c:v>
                </c:pt>
                <c:pt idx="3">
                  <c:v>59.047169811320757</c:v>
                </c:pt>
                <c:pt idx="4">
                  <c:v>50.787735849056602</c:v>
                </c:pt>
                <c:pt idx="5">
                  <c:v>60.973270440251582</c:v>
                </c:pt>
                <c:pt idx="6">
                  <c:v>36.665094339622648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Analysis'!$E$19:$E$25</c:f>
              <c:numCache>
                <c:formatCode>0.000</c:formatCode>
                <c:ptCount val="7"/>
                <c:pt idx="1">
                  <c:v>1.1488207547169811</c:v>
                </c:pt>
                <c:pt idx="2">
                  <c:v>1.6502751572327043</c:v>
                </c:pt>
                <c:pt idx="3">
                  <c:v>2.1604559748427672</c:v>
                </c:pt>
                <c:pt idx="4">
                  <c:v>3.422051886792453</c:v>
                </c:pt>
                <c:pt idx="5">
                  <c:v>4.1062893081761009</c:v>
                </c:pt>
                <c:pt idx="6">
                  <c:v>11.833805031446541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29</xdr:row>
      <xdr:rowOff>193221</xdr:rowOff>
    </xdr:from>
    <xdr:to>
      <xdr:col>19</xdr:col>
      <xdr:colOff>6803</xdr:colOff>
      <xdr:row>45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45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46</xdr:row>
      <xdr:rowOff>29936</xdr:rowOff>
    </xdr:from>
    <xdr:to>
      <xdr:col>19</xdr:col>
      <xdr:colOff>88445</xdr:colOff>
      <xdr:row>60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551089</xdr:colOff>
      <xdr:row>61</xdr:row>
      <xdr:rowOff>138793</xdr:rowOff>
    </xdr:from>
    <xdr:to>
      <xdr:col>19</xdr:col>
      <xdr:colOff>224517</xdr:colOff>
      <xdr:row>76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415636</xdr:colOff>
      <xdr:row>77</xdr:row>
      <xdr:rowOff>126421</xdr:rowOff>
    </xdr:from>
    <xdr:to>
      <xdr:col>19</xdr:col>
      <xdr:colOff>138545</xdr:colOff>
      <xdr:row>93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428613</xdr:colOff>
      <xdr:row>93</xdr:row>
      <xdr:rowOff>97970</xdr:rowOff>
    </xdr:from>
    <xdr:to>
      <xdr:col>19</xdr:col>
      <xdr:colOff>102041</xdr:colOff>
      <xdr:row>107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51937-5AA9-04C9-BAE2-1A87A619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428625</xdr:colOff>
      <xdr:row>93</xdr:row>
      <xdr:rowOff>125186</xdr:rowOff>
    </xdr:from>
    <xdr:to>
      <xdr:col>27</xdr:col>
      <xdr:colOff>102054</xdr:colOff>
      <xdr:row>108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0FC31-E7E9-62A4-D17B-7A96CB305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210910</xdr:colOff>
      <xdr:row>93</xdr:row>
      <xdr:rowOff>179614</xdr:rowOff>
    </xdr:from>
    <xdr:to>
      <xdr:col>11</xdr:col>
      <xdr:colOff>197303</xdr:colOff>
      <xdr:row>108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C190E8-2040-A437-6FC8-DA7996F7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9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3">(C21/0.0636)</f>
        <v>3.4113207547169808</v>
      </c>
      <c r="E21">
        <f>(A21-D21)*(0.01/0.04)</f>
        <v>1.6471698113207549</v>
      </c>
      <c r="F21">
        <f t="shared" ref="F21:F25" si="4">((A21-D21)/A21)*100</f>
        <v>65.886792452830207</v>
      </c>
      <c r="G21">
        <f t="shared" ref="G21:G25" si="5">D21/E21</f>
        <v>2.0710194730813285</v>
      </c>
      <c r="H21">
        <f t="shared" ref="H21:H25" si="6">LOG(E21)</f>
        <v>0.21673837410478072</v>
      </c>
      <c r="I21">
        <f t="shared" ref="I21:I25" si="7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ref="E22:E25" si="8">(A22-D22)*(0.01/0.04)</f>
        <v>2.1604559748427672</v>
      </c>
      <c r="F22">
        <f t="shared" si="4"/>
        <v>57.612159329140454</v>
      </c>
      <c r="G22">
        <f t="shared" si="5"/>
        <v>2.9429787853426004</v>
      </c>
      <c r="H22">
        <f t="shared" si="6"/>
        <v>0.33454542080801747</v>
      </c>
      <c r="I22">
        <f t="shared" si="7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3"/>
        <v>6.3117924528301881</v>
      </c>
      <c r="E23">
        <f t="shared" si="8"/>
        <v>3.422051886792453</v>
      </c>
      <c r="F23">
        <f t="shared" si="4"/>
        <v>68.441037735849065</v>
      </c>
      <c r="G23">
        <f t="shared" si="5"/>
        <v>1.8444467417898616</v>
      </c>
      <c r="H23">
        <f t="shared" si="6"/>
        <v>0.53428659023629377</v>
      </c>
      <c r="I23">
        <f t="shared" si="7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3"/>
        <v>8.5748427672955962</v>
      </c>
      <c r="E24">
        <f t="shared" si="8"/>
        <v>4.1062893081761009</v>
      </c>
      <c r="F24">
        <f t="shared" si="4"/>
        <v>65.700628930817615</v>
      </c>
      <c r="G24">
        <f t="shared" si="5"/>
        <v>2.0882217797518758</v>
      </c>
      <c r="H24">
        <f t="shared" si="6"/>
        <v>0.61344954428401188</v>
      </c>
      <c r="I24">
        <f t="shared" si="7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3"/>
        <v>2.6647798742138362</v>
      </c>
      <c r="E25">
        <f t="shared" si="8"/>
        <v>11.833805031446541</v>
      </c>
      <c r="F25">
        <f t="shared" si="4"/>
        <v>94.67044025157233</v>
      </c>
      <c r="G25">
        <f t="shared" si="5"/>
        <v>0.22518368919655074</v>
      </c>
      <c r="H25">
        <f t="shared" si="6"/>
        <v>1.0731244097555586</v>
      </c>
      <c r="I25">
        <f t="shared" si="7"/>
        <v>0.4256613396805381</v>
      </c>
    </row>
    <row r="29" spans="1:9" ht="15.75" thickBot="1" x14ac:dyDescent="0.3">
      <c r="A29" s="13" t="s">
        <v>11</v>
      </c>
      <c r="B29" s="14"/>
      <c r="C29" s="14"/>
      <c r="D29" s="14"/>
      <c r="E29" s="14"/>
      <c r="F29" s="14"/>
    </row>
    <row r="30" spans="1:9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9">(10-D34)*(0.01/0.04)</f>
        <v>1.9875654450261782</v>
      </c>
      <c r="F34">
        <f t="shared" ref="F34:F37" si="10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9"/>
        <v>0.79430628272251314</v>
      </c>
      <c r="F35">
        <f t="shared" si="10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9"/>
        <v>0.86904450261780108</v>
      </c>
      <c r="F36">
        <f t="shared" si="10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9"/>
        <v>1.1902486910994763</v>
      </c>
      <c r="F37">
        <f t="shared" si="10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88"/>
  <sheetViews>
    <sheetView tabSelected="1" topLeftCell="M15" zoomScale="70" zoomScaleNormal="70" workbookViewId="0">
      <selection activeCell="E89" sqref="E89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 s="4">
        <v>0.49980999999999998</v>
      </c>
      <c r="C4" s="4">
        <v>2.554E-2</v>
      </c>
      <c r="D4" s="4">
        <f>(C4/0.0656)</f>
        <v>0.38932926829268288</v>
      </c>
      <c r="E4" s="4">
        <f t="shared" ref="E4:E9" si="0">(A4-D4)*(0.01/0.04)</f>
        <v>1.1526676829268292</v>
      </c>
      <c r="F4" s="12">
        <f>((A4-D4)/A4)*100</f>
        <v>92.213414634146346</v>
      </c>
    </row>
    <row r="5" spans="1:6" x14ac:dyDescent="0.25">
      <c r="A5">
        <v>10</v>
      </c>
      <c r="B5" s="4">
        <v>0.73984000000000005</v>
      </c>
      <c r="C5" s="4">
        <v>0.21617</v>
      </c>
      <c r="D5" s="4">
        <f t="shared" ref="D5:D9" si="1">(C5/0.0656)</f>
        <v>3.2952743902439021</v>
      </c>
      <c r="E5" s="4">
        <f t="shared" si="0"/>
        <v>1.6761814024390245</v>
      </c>
      <c r="F5" s="12">
        <f t="shared" ref="F5" si="2">((A5-D5)/A5)*100</f>
        <v>67.047256097560975</v>
      </c>
    </row>
    <row r="6" spans="1:6" x14ac:dyDescent="0.25">
      <c r="A6">
        <v>15</v>
      </c>
      <c r="B6" s="4">
        <v>1.3384400000000001</v>
      </c>
      <c r="C6" s="4">
        <v>0.40438000000000002</v>
      </c>
      <c r="D6" s="4">
        <f t="shared" si="1"/>
        <v>6.1643292682926827</v>
      </c>
      <c r="E6" s="4">
        <f t="shared" si="0"/>
        <v>2.2089176829268293</v>
      </c>
      <c r="F6" s="12">
        <f>((A6-D6)/A6)*100</f>
        <v>58.904471544715456</v>
      </c>
    </row>
    <row r="7" spans="1:6" x14ac:dyDescent="0.25">
      <c r="A7">
        <v>20</v>
      </c>
      <c r="B7" s="4">
        <v>1.3971800000000001</v>
      </c>
      <c r="C7" s="4">
        <v>0.40143000000000001</v>
      </c>
      <c r="D7" s="4">
        <f t="shared" si="1"/>
        <v>6.1193597560975608</v>
      </c>
      <c r="E7" s="4">
        <f t="shared" si="0"/>
        <v>3.4701600609756098</v>
      </c>
      <c r="F7" s="12">
        <f>((A7-D7)/A7)*100</f>
        <v>69.403201219512198</v>
      </c>
    </row>
    <row r="8" spans="1:6" x14ac:dyDescent="0.25">
      <c r="A8">
        <v>25</v>
      </c>
      <c r="B8" s="4">
        <v>1.66821</v>
      </c>
      <c r="C8" s="4">
        <v>0.54535999999999996</v>
      </c>
      <c r="D8" s="4">
        <f t="shared" si="1"/>
        <v>8.3134146341463406</v>
      </c>
      <c r="E8" s="4">
        <f t="shared" si="0"/>
        <v>4.1716463414634148</v>
      </c>
      <c r="F8" s="12">
        <f>((A8-D8)/A8)*100</f>
        <v>66.746341463414637</v>
      </c>
    </row>
    <row r="9" spans="1:6" x14ac:dyDescent="0.25">
      <c r="A9">
        <v>50</v>
      </c>
      <c r="B9" s="4">
        <v>3.3872200000000001</v>
      </c>
      <c r="C9" s="4">
        <v>0.16947999999999999</v>
      </c>
      <c r="D9" s="4">
        <f t="shared" si="1"/>
        <v>2.5835365853658532</v>
      </c>
      <c r="E9" s="4">
        <f t="shared" si="0"/>
        <v>11.854115853658536</v>
      </c>
      <c r="F9" s="12">
        <f>((A9-D9)/A9)*100</f>
        <v>94.832926829268288</v>
      </c>
    </row>
    <row r="10" spans="1:6" x14ac:dyDescent="0.25">
      <c r="B10" s="4"/>
      <c r="C10" s="4"/>
      <c r="D10" s="4"/>
      <c r="E10" s="4"/>
    </row>
    <row r="11" spans="1:6" x14ac:dyDescent="0.25">
      <c r="B11" s="4"/>
      <c r="C11" s="4"/>
      <c r="D11" s="4"/>
      <c r="E11" s="4"/>
    </row>
    <row r="12" spans="1:6" x14ac:dyDescent="0.25">
      <c r="B12" s="4"/>
      <c r="C12" s="4"/>
      <c r="D12" s="4"/>
      <c r="E12" s="4"/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13" t="s">
        <v>12</v>
      </c>
      <c r="B16" s="14"/>
      <c r="C16" s="14"/>
      <c r="D16" s="14"/>
      <c r="E16" s="14"/>
      <c r="F16" s="14"/>
    </row>
    <row r="17" spans="1:6" ht="16.5" thickTop="1" thickBot="1" x14ac:dyDescent="0.3">
      <c r="A17" s="15" t="s">
        <v>9</v>
      </c>
      <c r="B17" s="16"/>
      <c r="C17" s="2" t="s">
        <v>10</v>
      </c>
      <c r="D17" s="1"/>
      <c r="E17" s="1"/>
      <c r="F17" s="1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A20">
        <v>5</v>
      </c>
      <c r="B20" s="4">
        <v>0.49980999999999998</v>
      </c>
      <c r="C20" s="4">
        <v>2.5739999999999999E-2</v>
      </c>
      <c r="D20" s="4">
        <f>(C20/0.0636)</f>
        <v>0.40471698113207544</v>
      </c>
      <c r="E20" s="4">
        <f>(A20-D20)*(0.01/0.04)</f>
        <v>1.1488207547169811</v>
      </c>
      <c r="F20" s="12">
        <f>((A20-D20)/A20)*100</f>
        <v>91.905660377358487</v>
      </c>
    </row>
    <row r="21" spans="1:6" x14ac:dyDescent="0.25">
      <c r="A21">
        <v>10</v>
      </c>
      <c r="B21" s="4">
        <v>0.73984000000000005</v>
      </c>
      <c r="C21" s="4">
        <v>0.21617</v>
      </c>
      <c r="D21" s="4">
        <f t="shared" ref="D21:D25" si="3">(C21/0.0636)</f>
        <v>3.3988993710691822</v>
      </c>
      <c r="E21" s="4">
        <f t="shared" ref="E21:E25" si="4">(A21-D21)*(0.01/0.04)</f>
        <v>1.6502751572327043</v>
      </c>
      <c r="F21" s="12">
        <f t="shared" ref="F21:F25" si="5">((A21-D21)/A21)*100</f>
        <v>66.01100628930817</v>
      </c>
    </row>
    <row r="22" spans="1:6" x14ac:dyDescent="0.25">
      <c r="A22">
        <v>15</v>
      </c>
      <c r="B22" s="4">
        <v>1.3384400000000001</v>
      </c>
      <c r="C22" s="4">
        <v>0.40438000000000002</v>
      </c>
      <c r="D22" s="4">
        <f t="shared" si="3"/>
        <v>6.3581761006289303</v>
      </c>
      <c r="E22" s="4">
        <f t="shared" si="4"/>
        <v>2.1604559748427672</v>
      </c>
      <c r="F22" s="12">
        <f t="shared" si="5"/>
        <v>57.612159329140454</v>
      </c>
    </row>
    <row r="23" spans="1:6" x14ac:dyDescent="0.25">
      <c r="A23">
        <v>20</v>
      </c>
      <c r="B23" s="4">
        <v>1.3971800000000001</v>
      </c>
      <c r="C23" s="4">
        <v>0.40143000000000001</v>
      </c>
      <c r="D23" s="4">
        <f t="shared" si="3"/>
        <v>6.3117924528301881</v>
      </c>
      <c r="E23" s="4">
        <f t="shared" si="4"/>
        <v>3.422051886792453</v>
      </c>
      <c r="F23" s="12">
        <f t="shared" si="5"/>
        <v>68.441037735849065</v>
      </c>
    </row>
    <row r="24" spans="1:6" x14ac:dyDescent="0.25">
      <c r="A24">
        <v>25</v>
      </c>
      <c r="B24" s="4">
        <v>1.66821</v>
      </c>
      <c r="C24" s="4">
        <v>0.54535999999999996</v>
      </c>
      <c r="D24" s="4">
        <f t="shared" si="3"/>
        <v>8.5748427672955962</v>
      </c>
      <c r="E24" s="4">
        <f t="shared" si="4"/>
        <v>4.1062893081761009</v>
      </c>
      <c r="F24" s="12">
        <f t="shared" si="5"/>
        <v>65.700628930817615</v>
      </c>
    </row>
    <row r="25" spans="1:6" x14ac:dyDescent="0.25">
      <c r="A25">
        <v>50</v>
      </c>
      <c r="B25" s="4">
        <v>1.99072</v>
      </c>
      <c r="C25" s="4">
        <v>0.16947999999999999</v>
      </c>
      <c r="D25" s="4">
        <f t="shared" si="3"/>
        <v>2.6647798742138362</v>
      </c>
      <c r="E25" s="4">
        <f t="shared" si="4"/>
        <v>11.833805031446541</v>
      </c>
      <c r="F25" s="12">
        <f t="shared" si="5"/>
        <v>94.67044025157233</v>
      </c>
    </row>
    <row r="26" spans="1:6" x14ac:dyDescent="0.25">
      <c r="B26" s="4"/>
      <c r="C26" s="4"/>
      <c r="D26" s="4"/>
      <c r="E26" s="4"/>
    </row>
    <row r="27" spans="1:6" x14ac:dyDescent="0.25">
      <c r="B27" s="4"/>
      <c r="C27" s="4"/>
      <c r="D27" s="4"/>
      <c r="E27" s="4"/>
    </row>
    <row r="29" spans="1:6" ht="15.75" thickBot="1" x14ac:dyDescent="0.3">
      <c r="A29" s="13" t="s">
        <v>11</v>
      </c>
      <c r="B29" s="14"/>
      <c r="C29" s="14"/>
      <c r="D29" s="14"/>
      <c r="E29" s="14"/>
      <c r="F29" s="14"/>
    </row>
    <row r="30" spans="1:6" ht="16.5" thickTop="1" thickBot="1" x14ac:dyDescent="0.3">
      <c r="A30" s="15" t="s">
        <v>9</v>
      </c>
      <c r="B30" s="16"/>
      <c r="C30" s="2" t="s">
        <v>10</v>
      </c>
      <c r="D30" s="1"/>
      <c r="E30" s="1"/>
      <c r="F30" s="1"/>
    </row>
    <row r="31" spans="1:6" ht="15.75" thickTop="1" x14ac:dyDescent="0.25">
      <c r="A31" t="s">
        <v>13</v>
      </c>
      <c r="B31" t="s">
        <v>54</v>
      </c>
      <c r="C31" t="s">
        <v>5</v>
      </c>
      <c r="D31" t="s">
        <v>6</v>
      </c>
      <c r="E31" t="s">
        <v>26</v>
      </c>
      <c r="F31" t="s">
        <v>8</v>
      </c>
    </row>
    <row r="33" spans="1:6" x14ac:dyDescent="0.25">
      <c r="A33">
        <v>20</v>
      </c>
      <c r="B33">
        <v>10</v>
      </c>
      <c r="C33" s="4">
        <v>0.15190000000000001</v>
      </c>
      <c r="D33" s="4">
        <f>(C33/0.0636)</f>
        <v>2.3883647798742138</v>
      </c>
      <c r="E33" s="4">
        <f>(B33-D33)*(0.01/0.04)</f>
        <v>1.9029088050314464</v>
      </c>
      <c r="F33" s="12">
        <f>((B33-D33)/B33)*100</f>
        <v>76.116352201257854</v>
      </c>
    </row>
    <row r="34" spans="1:6" x14ac:dyDescent="0.25">
      <c r="A34">
        <v>40</v>
      </c>
      <c r="B34">
        <v>10</v>
      </c>
      <c r="C34" s="4">
        <v>7.8270000000000006E-2</v>
      </c>
      <c r="D34" s="4">
        <f t="shared" ref="D34:D37" si="6">(C34/0.0636)</f>
        <v>1.2306603773584905</v>
      </c>
      <c r="E34" s="4">
        <f t="shared" ref="E34:E38" si="7">(B34-D34)*(0.01/0.04)</f>
        <v>2.1923349056603776</v>
      </c>
      <c r="F34" s="12">
        <f t="shared" ref="F34:F38" si="8">((B34-D34)/B34)*100</f>
        <v>87.693396226415103</v>
      </c>
    </row>
    <row r="35" spans="1:6" x14ac:dyDescent="0.25">
      <c r="A35">
        <v>60</v>
      </c>
      <c r="B35">
        <v>10</v>
      </c>
      <c r="C35" s="4">
        <v>0.26046000000000002</v>
      </c>
      <c r="D35" s="4">
        <f t="shared" si="6"/>
        <v>4.0952830188679243</v>
      </c>
      <c r="E35" s="4">
        <f t="shared" si="7"/>
        <v>1.4761792452830189</v>
      </c>
      <c r="F35" s="12">
        <f t="shared" si="8"/>
        <v>59.047169811320757</v>
      </c>
    </row>
    <row r="36" spans="1:6" x14ac:dyDescent="0.25">
      <c r="A36">
        <v>80</v>
      </c>
      <c r="B36">
        <v>10</v>
      </c>
      <c r="C36" s="4">
        <v>0.31298999999999999</v>
      </c>
      <c r="D36" s="4">
        <f>(C36/0.0636)</f>
        <v>4.9212264150943392</v>
      </c>
      <c r="E36" s="4">
        <f t="shared" si="7"/>
        <v>1.2696933962264152</v>
      </c>
      <c r="F36" s="12">
        <f t="shared" si="8"/>
        <v>50.787735849056602</v>
      </c>
    </row>
    <row r="37" spans="1:6" x14ac:dyDescent="0.25">
      <c r="A37">
        <v>100</v>
      </c>
      <c r="B37">
        <v>10</v>
      </c>
      <c r="C37" s="4">
        <v>0.24820999999999999</v>
      </c>
      <c r="D37" s="4">
        <f t="shared" si="6"/>
        <v>3.9026729559748423</v>
      </c>
      <c r="E37" s="4">
        <f t="shared" si="7"/>
        <v>1.5243317610062894</v>
      </c>
      <c r="F37" s="12">
        <f t="shared" si="8"/>
        <v>60.973270440251582</v>
      </c>
    </row>
    <row r="38" spans="1:6" x14ac:dyDescent="0.25">
      <c r="A38">
        <v>120</v>
      </c>
      <c r="B38">
        <v>10</v>
      </c>
      <c r="C38" s="4">
        <v>0.40281</v>
      </c>
      <c r="D38" s="4">
        <f>(C38/0.0636)</f>
        <v>6.3334905660377352</v>
      </c>
      <c r="E38" s="4">
        <f t="shared" si="7"/>
        <v>0.9166273584905662</v>
      </c>
      <c r="F38" s="12">
        <f t="shared" si="8"/>
        <v>36.665094339622648</v>
      </c>
    </row>
    <row r="39" spans="1:6" x14ac:dyDescent="0.25">
      <c r="C39" s="4"/>
      <c r="D39" s="4"/>
      <c r="E39" s="4"/>
      <c r="F39" s="12"/>
    </row>
    <row r="40" spans="1:6" x14ac:dyDescent="0.25">
      <c r="F40" s="12"/>
    </row>
    <row r="41" spans="1:6" x14ac:dyDescent="0.25">
      <c r="F41" s="12"/>
    </row>
    <row r="42" spans="1:6" x14ac:dyDescent="0.25">
      <c r="A42" s="17" t="s">
        <v>19</v>
      </c>
      <c r="B42" s="17"/>
      <c r="C42" s="17"/>
      <c r="D42" s="17"/>
      <c r="E42" s="17"/>
      <c r="F42" s="17"/>
    </row>
    <row r="43" spans="1:6" x14ac:dyDescent="0.25">
      <c r="A43" s="17" t="s">
        <v>20</v>
      </c>
      <c r="B43" s="17"/>
      <c r="C43" s="4"/>
      <c r="D43" s="18"/>
      <c r="E43" s="18"/>
      <c r="F43" s="4"/>
    </row>
    <row r="44" spans="1:6" x14ac:dyDescent="0.25">
      <c r="A44" s="4" t="s">
        <v>21</v>
      </c>
      <c r="B44" s="4" t="s">
        <v>2</v>
      </c>
      <c r="C44" s="4"/>
      <c r="D44" s="22" t="s">
        <v>37</v>
      </c>
      <c r="E44" s="22"/>
      <c r="F44" s="4"/>
    </row>
    <row r="45" spans="1:6" ht="15.75" thickBot="1" x14ac:dyDescent="0.3">
      <c r="A45" s="4">
        <f t="shared" ref="A45:A50" si="9">IFERROR((D20/E20), 0)</f>
        <v>0.35228905768835966</v>
      </c>
      <c r="B45" s="4">
        <f t="shared" ref="B45:B50" si="10">IFERROR((D20), 0)</f>
        <v>0.40471698113207544</v>
      </c>
      <c r="C45" s="6" t="s">
        <v>52</v>
      </c>
      <c r="D45" s="5"/>
      <c r="E45" s="7" t="s">
        <v>45</v>
      </c>
      <c r="F45" s="4"/>
    </row>
    <row r="46" spans="1:6" ht="16.5" thickBot="1" x14ac:dyDescent="0.3">
      <c r="A46" s="4">
        <f t="shared" si="9"/>
        <v>2.0595955505799965</v>
      </c>
      <c r="B46" s="4">
        <f t="shared" si="10"/>
        <v>3.3988993710691822</v>
      </c>
      <c r="C46" s="4">
        <f>SLOPE(A45:A50,B45:B50)</f>
        <v>0.2704732458701346</v>
      </c>
      <c r="D46" s="8" t="s">
        <v>46</v>
      </c>
      <c r="E46" s="4">
        <f>1/C46</f>
        <v>3.6972233493294984</v>
      </c>
      <c r="F46" s="4"/>
    </row>
    <row r="47" spans="1:6" ht="16.5" thickBot="1" x14ac:dyDescent="0.3">
      <c r="A47" s="4">
        <f t="shared" si="9"/>
        <v>2.9429787853426004</v>
      </c>
      <c r="B47" s="4">
        <f t="shared" si="10"/>
        <v>6.3581761006289303</v>
      </c>
      <c r="C47" s="4"/>
      <c r="D47" s="9" t="s">
        <v>47</v>
      </c>
      <c r="E47" s="4">
        <f>1/C49</f>
        <v>2.9746641819104171</v>
      </c>
      <c r="F47" s="4"/>
    </row>
    <row r="48" spans="1:6" ht="19.5" thickBot="1" x14ac:dyDescent="0.3">
      <c r="A48" s="4">
        <f t="shared" si="9"/>
        <v>1.8444467417898616</v>
      </c>
      <c r="B48" s="4">
        <f t="shared" si="10"/>
        <v>6.3117924528301881</v>
      </c>
      <c r="C48" s="6" t="s">
        <v>53</v>
      </c>
      <c r="D48" s="9" t="s">
        <v>39</v>
      </c>
      <c r="E48" s="4">
        <f>RSQ(A45:A50,B45:B50)</f>
        <v>0.56667621766895204</v>
      </c>
      <c r="F48" s="4"/>
    </row>
    <row r="49" spans="1:6" x14ac:dyDescent="0.25">
      <c r="A49" s="4">
        <f t="shared" si="9"/>
        <v>2.0882217797518758</v>
      </c>
      <c r="B49" s="4">
        <f t="shared" si="10"/>
        <v>8.5748427672955962</v>
      </c>
      <c r="C49" s="4">
        <f>INTERCEPT(A45:A50,B45:B50)</f>
        <v>0.33617240093225265</v>
      </c>
      <c r="D49" s="4"/>
      <c r="E49" s="4"/>
      <c r="F49" s="4"/>
    </row>
    <row r="50" spans="1:6" x14ac:dyDescent="0.25">
      <c r="A50" s="4">
        <f t="shared" si="9"/>
        <v>0.22518368919655074</v>
      </c>
      <c r="B50" s="4">
        <f t="shared" si="10"/>
        <v>2.6647798742138362</v>
      </c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17" t="s">
        <v>22</v>
      </c>
      <c r="B53" s="17"/>
      <c r="C53" s="17"/>
      <c r="D53" s="17"/>
      <c r="E53" s="17"/>
      <c r="F53" s="17"/>
    </row>
    <row r="54" spans="1:6" x14ac:dyDescent="0.25">
      <c r="A54" s="17" t="s">
        <v>20</v>
      </c>
      <c r="B54" s="17"/>
      <c r="C54" s="4"/>
      <c r="D54" s="17"/>
      <c r="E54" s="17"/>
      <c r="F54" s="4"/>
    </row>
    <row r="55" spans="1:6" x14ac:dyDescent="0.25">
      <c r="A55" s="4" t="s">
        <v>15</v>
      </c>
      <c r="B55" s="4" t="s">
        <v>23</v>
      </c>
      <c r="C55" s="4"/>
      <c r="D55" s="22" t="s">
        <v>37</v>
      </c>
      <c r="E55" s="22"/>
      <c r="F55" s="4"/>
    </row>
    <row r="56" spans="1:6" ht="15.75" thickBot="1" x14ac:dyDescent="0.3">
      <c r="A56" s="4">
        <f t="shared" ref="A56:A61" si="11">IFERROR(LOG(E20), 0)</f>
        <v>6.0252272979037277E-2</v>
      </c>
      <c r="B56" s="4">
        <f>IFERROR(LOG(D20), 0)</f>
        <v>-0.392848573080046</v>
      </c>
      <c r="C56" s="6" t="s">
        <v>52</v>
      </c>
      <c r="D56" s="5"/>
      <c r="E56" s="7" t="s">
        <v>45</v>
      </c>
      <c r="F56" s="4"/>
    </row>
    <row r="57" spans="1:6" ht="18" thickBot="1" x14ac:dyDescent="0.3">
      <c r="A57" s="4">
        <f t="shared" si="11"/>
        <v>0.21755636197448863</v>
      </c>
      <c r="B57" s="4">
        <f t="shared" ref="B57:B61" si="12">IFERROR(LOG(D21), 0)</f>
        <v>0.53133830690836004</v>
      </c>
      <c r="C57" s="4">
        <v>-0.82350000000000001</v>
      </c>
      <c r="D57" s="8" t="s">
        <v>48</v>
      </c>
      <c r="E57" s="4">
        <f>10^(C60)</f>
        <v>2.0721060231306687</v>
      </c>
      <c r="F57" s="4"/>
    </row>
    <row r="58" spans="1:6" ht="16.5" thickBot="1" x14ac:dyDescent="0.3">
      <c r="A58" s="4">
        <f t="shared" si="11"/>
        <v>0.33454542080801747</v>
      </c>
      <c r="B58" s="4">
        <f t="shared" si="12"/>
        <v>0.80333255227838896</v>
      </c>
      <c r="C58" s="4"/>
      <c r="D58" s="9" t="s">
        <v>49</v>
      </c>
      <c r="E58" s="4">
        <f>1/C57</f>
        <v>-1.2143290831815421</v>
      </c>
      <c r="F58" s="4"/>
    </row>
    <row r="59" spans="1:6" ht="19.5" thickBot="1" x14ac:dyDescent="0.3">
      <c r="A59" s="4">
        <f t="shared" si="11"/>
        <v>0.53428659023629377</v>
      </c>
      <c r="B59" s="4">
        <f t="shared" si="12"/>
        <v>0.80015270977162312</v>
      </c>
      <c r="C59" s="6" t="s">
        <v>53</v>
      </c>
      <c r="D59" s="9" t="s">
        <v>39</v>
      </c>
      <c r="E59" s="4">
        <f>RSQ(A56:A61,B56:B61)</f>
        <v>0.16678825412515644</v>
      </c>
      <c r="F59" s="4"/>
    </row>
    <row r="60" spans="1:6" x14ac:dyDescent="0.25">
      <c r="A60" s="4">
        <f t="shared" si="11"/>
        <v>0.61344954428401188</v>
      </c>
      <c r="B60" s="4">
        <f t="shared" si="12"/>
        <v>0.93322616534198588</v>
      </c>
      <c r="C60" s="4">
        <f>INTERCEPT(A56:A61,B56:B61)</f>
        <v>0.31641197312077651</v>
      </c>
      <c r="D60" s="4"/>
      <c r="E60" s="4"/>
      <c r="F60" s="4"/>
    </row>
    <row r="61" spans="1:6" x14ac:dyDescent="0.25">
      <c r="A61" s="4">
        <f t="shared" si="11"/>
        <v>1.0731244097555586</v>
      </c>
      <c r="B61" s="4">
        <f t="shared" si="12"/>
        <v>0.4256613396805381</v>
      </c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17" t="s">
        <v>24</v>
      </c>
      <c r="B63" s="17"/>
      <c r="C63" s="17"/>
      <c r="D63" s="17"/>
      <c r="E63" s="17"/>
      <c r="F63" s="17"/>
    </row>
    <row r="64" spans="1:6" x14ac:dyDescent="0.25">
      <c r="A64" s="17" t="s">
        <v>12</v>
      </c>
      <c r="B64" s="17"/>
      <c r="C64" s="4"/>
      <c r="D64" s="22" t="s">
        <v>37</v>
      </c>
      <c r="E64" s="22"/>
      <c r="F64" s="4"/>
    </row>
    <row r="65" spans="1:6" ht="15.75" thickBot="1" x14ac:dyDescent="0.3">
      <c r="A65" s="4" t="s">
        <v>3</v>
      </c>
      <c r="B65" s="4" t="s">
        <v>25</v>
      </c>
      <c r="C65" s="6" t="s">
        <v>52</v>
      </c>
      <c r="D65" s="5"/>
      <c r="E65" s="7" t="s">
        <v>45</v>
      </c>
      <c r="F65" s="4"/>
    </row>
    <row r="66" spans="1:6" ht="18" thickBot="1" x14ac:dyDescent="0.3">
      <c r="A66" s="4">
        <f t="shared" ref="A66:A71" si="13">IFERROR(E20, 0)</f>
        <v>1.1488207547169811</v>
      </c>
      <c r="B66" s="4">
        <f t="shared" ref="B66:B71" si="14">IFERROR(LN(D20), 0)</f>
        <v>-0.90456726817809596</v>
      </c>
      <c r="C66" s="4">
        <f>SLOPE(A66:A71,B66:B71)</f>
        <v>0.44432922830957272</v>
      </c>
      <c r="D66" s="8" t="s">
        <v>50</v>
      </c>
      <c r="E66" s="4">
        <f>EXP(C69)</f>
        <v>33.949176163709041</v>
      </c>
      <c r="F66" s="4"/>
    </row>
    <row r="67" spans="1:6" ht="18" thickBot="1" x14ac:dyDescent="0.3">
      <c r="A67" s="4">
        <f t="shared" si="13"/>
        <v>1.6502751572327043</v>
      </c>
      <c r="B67" s="4">
        <f t="shared" si="14"/>
        <v>1.2234516648238849</v>
      </c>
      <c r="C67" s="4"/>
      <c r="D67" s="9" t="s">
        <v>51</v>
      </c>
      <c r="E67" s="4">
        <f>C66</f>
        <v>0.44432922830957272</v>
      </c>
      <c r="F67" s="4"/>
    </row>
    <row r="68" spans="1:6" ht="19.5" thickBot="1" x14ac:dyDescent="0.3">
      <c r="A68" s="4">
        <f t="shared" si="13"/>
        <v>2.1604559748427672</v>
      </c>
      <c r="B68" s="4">
        <f t="shared" si="14"/>
        <v>1.8497415595930782</v>
      </c>
      <c r="C68" s="6" t="s">
        <v>53</v>
      </c>
      <c r="D68" s="9" t="s">
        <v>39</v>
      </c>
      <c r="E68" s="4">
        <f>RSQ(A66:A71,B66:B71)</f>
        <v>1.55790627186226E-2</v>
      </c>
      <c r="F68" s="4"/>
    </row>
    <row r="69" spans="1:6" x14ac:dyDescent="0.25">
      <c r="A69" s="4">
        <f t="shared" si="13"/>
        <v>3.422051886792453</v>
      </c>
      <c r="B69" s="4">
        <f t="shared" si="14"/>
        <v>1.8424197016389305</v>
      </c>
      <c r="C69" s="4">
        <f>INTERCEPT(A66:A71,B66:B71)</f>
        <v>3.5248645875455948</v>
      </c>
      <c r="D69" s="4"/>
      <c r="E69" s="4"/>
      <c r="F69" s="4"/>
    </row>
    <row r="70" spans="1:6" x14ac:dyDescent="0.25">
      <c r="A70" s="4">
        <f t="shared" si="13"/>
        <v>4.1062893081761009</v>
      </c>
      <c r="B70" s="4">
        <f t="shared" si="14"/>
        <v>2.148832656708453</v>
      </c>
      <c r="C70" s="4"/>
      <c r="D70" s="4"/>
      <c r="E70" s="4"/>
      <c r="F70" s="4"/>
    </row>
    <row r="71" spans="1:6" x14ac:dyDescent="0.25">
      <c r="A71" s="4">
        <f t="shared" si="13"/>
        <v>11.833805031446541</v>
      </c>
      <c r="B71" s="4">
        <f t="shared" si="14"/>
        <v>0.98012145541228191</v>
      </c>
      <c r="C71" s="4"/>
      <c r="D71" s="4"/>
      <c r="E71" s="4"/>
      <c r="F71" s="4"/>
    </row>
    <row r="72" spans="1:6" x14ac:dyDescent="0.25">
      <c r="A72" s="4"/>
      <c r="B72" s="4"/>
      <c r="C72" s="4"/>
      <c r="D72" s="4"/>
      <c r="E72" s="4"/>
      <c r="F72" s="4"/>
    </row>
    <row r="73" spans="1:6" x14ac:dyDescent="0.25">
      <c r="A73" s="4"/>
      <c r="B73" s="4"/>
      <c r="C73" s="4"/>
      <c r="D73" s="4"/>
      <c r="E73" s="4"/>
      <c r="F73" s="4"/>
    </row>
    <row r="74" spans="1:6" x14ac:dyDescent="0.25">
      <c r="A74" s="17" t="s">
        <v>27</v>
      </c>
      <c r="B74" s="17"/>
      <c r="C74" s="17"/>
      <c r="D74" s="17"/>
      <c r="E74" s="17"/>
      <c r="F74" s="17"/>
    </row>
    <row r="75" spans="1:6" x14ac:dyDescent="0.25">
      <c r="A75" s="19" t="s">
        <v>29</v>
      </c>
      <c r="B75" s="19"/>
      <c r="C75" s="20" t="s">
        <v>28</v>
      </c>
      <c r="D75" s="20"/>
      <c r="E75" s="21" t="s">
        <v>34</v>
      </c>
      <c r="F75" s="21"/>
    </row>
    <row r="76" spans="1:6" x14ac:dyDescent="0.25">
      <c r="A76" s="4" t="s">
        <v>30</v>
      </c>
      <c r="B76" s="4" t="s">
        <v>31</v>
      </c>
      <c r="C76" s="4" t="s">
        <v>32</v>
      </c>
      <c r="D76" s="4" t="s">
        <v>33</v>
      </c>
      <c r="E76" s="4" t="s">
        <v>36</v>
      </c>
      <c r="F76" s="4" t="s">
        <v>35</v>
      </c>
    </row>
    <row r="77" spans="1:6" x14ac:dyDescent="0.25">
      <c r="A77" s="4">
        <f>A33</f>
        <v>20</v>
      </c>
      <c r="B77" s="4">
        <f>IFERROR(LN( E20 - E33), 0)</f>
        <v>0</v>
      </c>
      <c r="C77" s="4">
        <f>A33</f>
        <v>20</v>
      </c>
      <c r="D77" s="4">
        <f>A33/E33</f>
        <v>10.51022516009089</v>
      </c>
      <c r="E77" s="4">
        <f>SQRT(A33)</f>
        <v>4.4721359549995796</v>
      </c>
      <c r="F77" s="4">
        <f>E33</f>
        <v>1.9029088050314464</v>
      </c>
    </row>
    <row r="78" spans="1:6" x14ac:dyDescent="0.25">
      <c r="A78" s="4">
        <f t="shared" ref="A78:A82" si="15">A34</f>
        <v>40</v>
      </c>
      <c r="B78" s="4">
        <f t="shared" ref="B78:B82" si="16">IFERROR(LN( E21 - E34), 0)</f>
        <v>0</v>
      </c>
      <c r="C78" s="4">
        <f t="shared" ref="C78:C82" si="17">A34</f>
        <v>40</v>
      </c>
      <c r="D78" s="4">
        <f t="shared" ref="D78:D82" si="18">A34/E34</f>
        <v>18.245387553117098</v>
      </c>
      <c r="E78" s="4">
        <f t="shared" ref="E78:E82" si="19">SQRT(A34)</f>
        <v>6.324555320336759</v>
      </c>
      <c r="F78" s="4">
        <f t="shared" ref="F78:F82" si="20">E34</f>
        <v>2.1923349056603776</v>
      </c>
    </row>
    <row r="79" spans="1:6" x14ac:dyDescent="0.25">
      <c r="A79" s="4">
        <f t="shared" si="15"/>
        <v>60</v>
      </c>
      <c r="B79" s="4">
        <f t="shared" si="16"/>
        <v>-0.37939286779838949</v>
      </c>
      <c r="C79" s="4">
        <f t="shared" si="17"/>
        <v>60</v>
      </c>
      <c r="D79" s="4">
        <f t="shared" si="18"/>
        <v>40.645470522447674</v>
      </c>
      <c r="E79" s="4">
        <f t="shared" si="19"/>
        <v>7.745966692414834</v>
      </c>
      <c r="F79" s="4">
        <f t="shared" si="20"/>
        <v>1.4761792452830189</v>
      </c>
    </row>
    <row r="80" spans="1:6" x14ac:dyDescent="0.25">
      <c r="A80" s="4">
        <f t="shared" si="15"/>
        <v>80</v>
      </c>
      <c r="B80" s="4">
        <f t="shared" si="16"/>
        <v>0.7665642132613445</v>
      </c>
      <c r="C80" s="4">
        <f t="shared" si="17"/>
        <v>80</v>
      </c>
      <c r="D80" s="4">
        <f t="shared" si="18"/>
        <v>63.007337234141353</v>
      </c>
      <c r="E80" s="4">
        <f t="shared" si="19"/>
        <v>8.9442719099991592</v>
      </c>
      <c r="F80" s="4">
        <f t="shared" si="20"/>
        <v>1.2696933962264152</v>
      </c>
    </row>
    <row r="81" spans="1:6" x14ac:dyDescent="0.25">
      <c r="A81" s="4">
        <f t="shared" si="15"/>
        <v>100</v>
      </c>
      <c r="B81" s="4">
        <f t="shared" si="16"/>
        <v>0.94854785044955015</v>
      </c>
      <c r="C81" s="4">
        <f t="shared" si="17"/>
        <v>100</v>
      </c>
      <c r="D81" s="4">
        <f t="shared" si="18"/>
        <v>65.602516826117224</v>
      </c>
      <c r="E81" s="4">
        <f t="shared" si="19"/>
        <v>10</v>
      </c>
      <c r="F81" s="4">
        <f t="shared" si="20"/>
        <v>1.5243317610062894</v>
      </c>
    </row>
    <row r="82" spans="1:6" x14ac:dyDescent="0.25">
      <c r="A82" s="4">
        <f t="shared" si="15"/>
        <v>120</v>
      </c>
      <c r="B82" s="4">
        <f t="shared" si="16"/>
        <v>2.3903374820540351</v>
      </c>
      <c r="C82" s="4">
        <f t="shared" si="17"/>
        <v>120</v>
      </c>
      <c r="D82" s="4">
        <f t="shared" si="18"/>
        <v>130.91470474720182</v>
      </c>
      <c r="E82" s="4">
        <f t="shared" si="19"/>
        <v>10.954451150103322</v>
      </c>
      <c r="F82" s="4">
        <f t="shared" si="20"/>
        <v>0.9166273584905662</v>
      </c>
    </row>
    <row r="83" spans="1:6" x14ac:dyDescent="0.25">
      <c r="A83" s="4"/>
      <c r="B83" s="4"/>
      <c r="C83" s="4"/>
      <c r="D83" s="4"/>
      <c r="E83" s="4"/>
      <c r="F83" s="4"/>
    </row>
    <row r="84" spans="1:6" x14ac:dyDescent="0.25">
      <c r="A84" s="19" t="s">
        <v>37</v>
      </c>
      <c r="B84" s="19"/>
      <c r="C84" s="20" t="s">
        <v>37</v>
      </c>
      <c r="D84" s="20"/>
      <c r="E84" s="21" t="s">
        <v>37</v>
      </c>
      <c r="F84" s="21"/>
    </row>
    <row r="85" spans="1:6" ht="15.75" thickBot="1" x14ac:dyDescent="0.3">
      <c r="A85" s="5"/>
      <c r="B85" s="7" t="s">
        <v>45</v>
      </c>
      <c r="C85" s="5"/>
      <c r="D85" s="7" t="s">
        <v>45</v>
      </c>
      <c r="E85" s="5"/>
      <c r="F85" s="7" t="s">
        <v>45</v>
      </c>
    </row>
    <row r="86" spans="1:6" ht="19.5" thickBot="1" x14ac:dyDescent="0.3">
      <c r="A86" s="10" t="s">
        <v>40</v>
      </c>
      <c r="B86" s="4">
        <f>10^(INTERCEPT(B77:B81,A77:A81))</f>
        <v>0.29379599073962498</v>
      </c>
      <c r="C86" s="8" t="s">
        <v>41</v>
      </c>
      <c r="D86" s="4">
        <f>1/INTERCEPT(D77:D81,C77:C81) * (D87 ^2)</f>
        <v>-0.24210065085516747</v>
      </c>
      <c r="E86" s="8" t="s">
        <v>43</v>
      </c>
      <c r="F86" s="4">
        <f>SLOPE(F77:F81,E77:E81)</f>
        <v>-0.12188034824751201</v>
      </c>
    </row>
    <row r="87" spans="1:6" ht="19.5" thickBot="1" x14ac:dyDescent="0.3">
      <c r="A87" s="9" t="s">
        <v>38</v>
      </c>
      <c r="B87" s="4">
        <f>SLOPE(B77:B81,A77:A81)</f>
        <v>1.3318299570802225E-2</v>
      </c>
      <c r="C87" s="11" t="s">
        <v>42</v>
      </c>
      <c r="D87" s="4">
        <f>1/(SLOPE(D77:D81,C77:C81))</f>
        <v>1.2907678288169293</v>
      </c>
      <c r="E87" s="11" t="s">
        <v>44</v>
      </c>
      <c r="F87" s="4">
        <f>0.5*SLOPE(F77:F81,E77:E81)</f>
        <v>-6.0940174123756005E-2</v>
      </c>
    </row>
    <row r="88" spans="1:6" ht="19.5" thickBot="1" x14ac:dyDescent="0.3">
      <c r="A88" s="9" t="s">
        <v>39</v>
      </c>
      <c r="B88" s="4">
        <f>RSQ(B77:B81,A77:A81)</f>
        <v>0.55670706947472604</v>
      </c>
      <c r="C88" s="9" t="s">
        <v>39</v>
      </c>
      <c r="D88" s="4">
        <f>RSQ(D77:D81,C77:C81)</f>
        <v>0.94994030244391858</v>
      </c>
      <c r="E88" s="9" t="s">
        <v>39</v>
      </c>
      <c r="F88" s="4">
        <f>RSQ(F77:F81,E77:E81)</f>
        <v>0.5153972011974538</v>
      </c>
    </row>
  </sheetData>
  <sortState xmlns:xlrd2="http://schemas.microsoft.com/office/spreadsheetml/2017/richdata2" ref="C20:C25">
    <sortCondition descending="1" ref="C20:C25"/>
  </sortState>
  <mergeCells count="22">
    <mergeCell ref="D44:E44"/>
    <mergeCell ref="A74:F74"/>
    <mergeCell ref="A75:B75"/>
    <mergeCell ref="C75:D75"/>
    <mergeCell ref="E75:F75"/>
    <mergeCell ref="A84:B84"/>
    <mergeCell ref="C84:D84"/>
    <mergeCell ref="E84:F84"/>
    <mergeCell ref="A53:F53"/>
    <mergeCell ref="A54:B54"/>
    <mergeCell ref="D54:E54"/>
    <mergeCell ref="A63:F63"/>
    <mergeCell ref="A64:B64"/>
    <mergeCell ref="D64:E64"/>
    <mergeCell ref="D55:E55"/>
    <mergeCell ref="A43:B43"/>
    <mergeCell ref="D43:E43"/>
    <mergeCell ref="A16:F16"/>
    <mergeCell ref="A17:B17"/>
    <mergeCell ref="A29:F29"/>
    <mergeCell ref="A30:B30"/>
    <mergeCell ref="A42:F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Emmanuel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2024-04-20T17:10:34Z</dcterms:modified>
</cp:coreProperties>
</file>