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eoDMS\ProjDir\LandUseModelling\lus_demo\data\Scenarioclaims\"/>
    </mc:Choice>
  </mc:AlternateContent>
  <xr:revisionPtr revIDLastSave="0" documentId="13_ncr:1_{2DC9D8F5-934A-4F20-B6C9-B7ABFC3B2BBF}" xr6:coauthVersionLast="47" xr6:coauthVersionMax="47" xr10:uidLastSave="{00000000-0000-0000-0000-000000000000}"/>
  <bookViews>
    <workbookView xWindow="-120" yWindow="-120" windowWidth="51840" windowHeight="21240" activeTab="5" xr2:uid="{CBDA8ACD-4757-4B5C-80C6-60E6B82D6B8E}"/>
  </bookViews>
  <sheets>
    <sheet name="Residential" sheetId="1" r:id="rId1"/>
    <sheet name="Industrial" sheetId="3" r:id="rId2"/>
    <sheet name="Recreation" sheetId="4" r:id="rId3"/>
    <sheet name="Nature" sheetId="5" r:id="rId4"/>
    <sheet name="Agriculture" sheetId="6" r:id="rId5"/>
    <sheet name="BuildingLot" sheetId="7" r:id="rId6"/>
    <sheet name="Current" sheetId="2" state="hidden" r:id="rId7"/>
    <sheet name="Claims" sheetId="9" state="hidden" r:id="rId8"/>
    <sheet name="claims oude versies" sheetId="8" state="hidden" r:id="rId9"/>
  </sheets>
  <definedNames>
    <definedName name="_Hlk124844593" localSheetId="8">'claims oude versies'!$K$2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D3" i="7"/>
  <c r="E3" i="7"/>
  <c r="F3" i="7"/>
  <c r="C4" i="7"/>
  <c r="D4" i="7"/>
  <c r="E4" i="7"/>
  <c r="F4" i="7"/>
  <c r="C5" i="7"/>
  <c r="D5" i="7"/>
  <c r="E5" i="7"/>
  <c r="F5" i="7"/>
  <c r="D2" i="7"/>
  <c r="E2" i="7"/>
  <c r="F2" i="7"/>
  <c r="C2" i="7"/>
  <c r="G23" i="2" s="1"/>
  <c r="C3" i="6"/>
  <c r="D3" i="6"/>
  <c r="E3" i="6"/>
  <c r="F3" i="6"/>
  <c r="C4" i="6"/>
  <c r="D4" i="6"/>
  <c r="E4" i="6"/>
  <c r="F4" i="6"/>
  <c r="C5" i="6"/>
  <c r="F26" i="2" s="1"/>
  <c r="D5" i="6"/>
  <c r="E5" i="6"/>
  <c r="F5" i="6"/>
  <c r="D2" i="6"/>
  <c r="E2" i="6"/>
  <c r="F2" i="6"/>
  <c r="C2" i="6"/>
  <c r="F23" i="2" s="1"/>
  <c r="C3" i="5"/>
  <c r="D3" i="5"/>
  <c r="E3" i="5"/>
  <c r="F3" i="5"/>
  <c r="C4" i="5"/>
  <c r="D4" i="5"/>
  <c r="E4" i="5"/>
  <c r="F4" i="5"/>
  <c r="C5" i="5"/>
  <c r="E26" i="2" s="1"/>
  <c r="D5" i="5"/>
  <c r="E5" i="5"/>
  <c r="F5" i="5"/>
  <c r="D2" i="5"/>
  <c r="E2" i="5"/>
  <c r="F2" i="5"/>
  <c r="C2" i="5"/>
  <c r="E23" i="2" s="1"/>
  <c r="C3" i="4"/>
  <c r="D3" i="4"/>
  <c r="E3" i="4"/>
  <c r="F3" i="4"/>
  <c r="C4" i="4"/>
  <c r="D4" i="4"/>
  <c r="E4" i="4"/>
  <c r="F4" i="4"/>
  <c r="C5" i="4"/>
  <c r="D5" i="4"/>
  <c r="E5" i="4"/>
  <c r="F5" i="4"/>
  <c r="D2" i="4"/>
  <c r="E2" i="4"/>
  <c r="F2" i="4"/>
  <c r="C2" i="4"/>
  <c r="D23" i="2" s="1"/>
  <c r="C3" i="3"/>
  <c r="D3" i="3"/>
  <c r="E3" i="3"/>
  <c r="F3" i="3"/>
  <c r="C4" i="3"/>
  <c r="C25" i="2" s="1"/>
  <c r="D4" i="3"/>
  <c r="E4" i="3"/>
  <c r="F4" i="3"/>
  <c r="C5" i="3"/>
  <c r="D5" i="3"/>
  <c r="E5" i="3"/>
  <c r="F5" i="3"/>
  <c r="D2" i="3"/>
  <c r="E2" i="3"/>
  <c r="F2" i="3"/>
  <c r="C2" i="3"/>
  <c r="C23" i="2" s="1"/>
  <c r="C3" i="1"/>
  <c r="B24" i="2" s="1"/>
  <c r="D3" i="1"/>
  <c r="E3" i="1"/>
  <c r="F3" i="1"/>
  <c r="C4" i="1"/>
  <c r="B25" i="2" s="1"/>
  <c r="D4" i="1"/>
  <c r="E4" i="1"/>
  <c r="F4" i="1"/>
  <c r="C5" i="1"/>
  <c r="D5" i="1"/>
  <c r="E5" i="1"/>
  <c r="F5" i="1"/>
  <c r="D2" i="1"/>
  <c r="E2" i="1"/>
  <c r="F2" i="1"/>
  <c r="C2" i="1"/>
  <c r="B23" i="2" s="1"/>
  <c r="AA23" i="9"/>
  <c r="AA22" i="9"/>
  <c r="X23" i="9"/>
  <c r="Y23" i="9"/>
  <c r="Z23" i="9"/>
  <c r="W23" i="9"/>
  <c r="T23" i="9"/>
  <c r="U23" i="9"/>
  <c r="V23" i="9"/>
  <c r="S23" i="9"/>
  <c r="P23" i="9"/>
  <c r="Q23" i="9"/>
  <c r="R23" i="9"/>
  <c r="O23" i="9"/>
  <c r="N23" i="9"/>
  <c r="L23" i="9"/>
  <c r="M23" i="9"/>
  <c r="K23" i="9"/>
  <c r="H23" i="9"/>
  <c r="I23" i="9"/>
  <c r="J23" i="9"/>
  <c r="G23" i="9"/>
  <c r="G20" i="9" s="1"/>
  <c r="D23" i="9"/>
  <c r="E23" i="9"/>
  <c r="E20" i="9" s="1"/>
  <c r="F23" i="9"/>
  <c r="C23" i="9"/>
  <c r="Z8" i="9"/>
  <c r="Z11" i="9" s="1"/>
  <c r="Y8" i="9"/>
  <c r="Y11" i="9" s="1"/>
  <c r="X8" i="9"/>
  <c r="X10" i="9" s="1"/>
  <c r="W8" i="9"/>
  <c r="W11" i="9" s="1"/>
  <c r="R8" i="9"/>
  <c r="R11" i="9" s="1"/>
  <c r="Q8" i="9"/>
  <c r="Q11" i="9" s="1"/>
  <c r="P8" i="9"/>
  <c r="P10" i="9" s="1"/>
  <c r="O8" i="9"/>
  <c r="O12" i="9" s="1"/>
  <c r="N8" i="9"/>
  <c r="N11" i="9" s="1"/>
  <c r="M8" i="9"/>
  <c r="M11" i="9" s="1"/>
  <c r="L8" i="9"/>
  <c r="L12" i="9" s="1"/>
  <c r="K8" i="9"/>
  <c r="K11" i="9" s="1"/>
  <c r="J8" i="9"/>
  <c r="J12" i="9" s="1"/>
  <c r="I8" i="9"/>
  <c r="I12" i="9" s="1"/>
  <c r="H8" i="9"/>
  <c r="H12" i="9" s="1"/>
  <c r="H20" i="9" s="1"/>
  <c r="G8" i="9"/>
  <c r="G12" i="9" s="1"/>
  <c r="F8" i="9"/>
  <c r="F12" i="9" s="1"/>
  <c r="E8" i="9"/>
  <c r="E12" i="9" s="1"/>
  <c r="D8" i="9"/>
  <c r="D10" i="9" s="1"/>
  <c r="C8" i="9"/>
  <c r="C12" i="9" s="1"/>
  <c r="K13" i="2"/>
  <c r="K39" i="2"/>
  <c r="M44" i="2"/>
  <c r="L40" i="2"/>
  <c r="M40" i="2"/>
  <c r="N40" i="2"/>
  <c r="N39" i="2"/>
  <c r="N13" i="2"/>
  <c r="N21" i="2"/>
  <c r="D31" i="8"/>
  <c r="E30" i="8"/>
  <c r="D28" i="8"/>
  <c r="E27" i="8"/>
  <c r="D25" i="8"/>
  <c r="E35" i="2"/>
  <c r="N35" i="2" s="1"/>
  <c r="A35" i="2"/>
  <c r="A34" i="2"/>
  <c r="A33" i="2"/>
  <c r="A32" i="2"/>
  <c r="D31" i="2"/>
  <c r="M31" i="2" s="1"/>
  <c r="A31" i="2"/>
  <c r="A30" i="2"/>
  <c r="J36" i="2"/>
  <c r="J35" i="2"/>
  <c r="J34" i="2"/>
  <c r="J33" i="2"/>
  <c r="J32" i="2"/>
  <c r="J31" i="2"/>
  <c r="J30" i="2"/>
  <c r="N27" i="2"/>
  <c r="M27" i="2"/>
  <c r="L27" i="2"/>
  <c r="K27" i="2"/>
  <c r="O27" i="2"/>
  <c r="H10" i="8"/>
  <c r="I10" i="8" s="1"/>
  <c r="H9" i="8"/>
  <c r="I9" i="8" s="1"/>
  <c r="H8" i="8"/>
  <c r="I8" i="8" s="1"/>
  <c r="H7" i="8"/>
  <c r="I7" i="8" s="1"/>
  <c r="H6" i="8"/>
  <c r="I6" i="8" s="1"/>
  <c r="H5" i="8"/>
  <c r="I5" i="8" s="1"/>
  <c r="H4" i="8"/>
  <c r="I4" i="8" s="1"/>
  <c r="H3" i="8"/>
  <c r="I3" i="8" s="1"/>
  <c r="N13" i="8"/>
  <c r="P13" i="8"/>
  <c r="O13" i="8"/>
  <c r="O22" i="8"/>
  <c r="O32" i="8" s="1"/>
  <c r="N22" i="8"/>
  <c r="N32" i="8" s="1"/>
  <c r="M22" i="8"/>
  <c r="M32" i="8" s="1"/>
  <c r="L22" i="8"/>
  <c r="L32" i="8" s="1"/>
  <c r="O21" i="8"/>
  <c r="O31" i="8" s="1"/>
  <c r="N36" i="2" s="1"/>
  <c r="N21" i="8"/>
  <c r="N31" i="8" s="1"/>
  <c r="M36" i="2" s="1"/>
  <c r="M21" i="8"/>
  <c r="M31" i="8" s="1"/>
  <c r="L36" i="2" s="1"/>
  <c r="L21" i="8"/>
  <c r="L31" i="8" s="1"/>
  <c r="K36" i="2" s="1"/>
  <c r="O20" i="8"/>
  <c r="O30" i="8" s="1"/>
  <c r="N20" i="8"/>
  <c r="D35" i="2" s="1"/>
  <c r="M35" i="2" s="1"/>
  <c r="M20" i="8"/>
  <c r="C35" i="2" s="1"/>
  <c r="L35" i="2" s="1"/>
  <c r="L20" i="8"/>
  <c r="B35" i="2" s="1"/>
  <c r="K35" i="2" s="1"/>
  <c r="O19" i="8"/>
  <c r="E34" i="2" s="1"/>
  <c r="N34" i="2" s="1"/>
  <c r="N19" i="8"/>
  <c r="N29" i="8" s="1"/>
  <c r="M19" i="8"/>
  <c r="C34" i="2" s="1"/>
  <c r="L34" i="2" s="1"/>
  <c r="L19" i="8"/>
  <c r="B34" i="2" s="1"/>
  <c r="K34" i="2" s="1"/>
  <c r="O18" i="8"/>
  <c r="E33" i="2" s="1"/>
  <c r="N33" i="2" s="1"/>
  <c r="N18" i="8"/>
  <c r="D33" i="2" s="1"/>
  <c r="M33" i="2" s="1"/>
  <c r="M18" i="8"/>
  <c r="C33" i="2" s="1"/>
  <c r="L33" i="2" s="1"/>
  <c r="L18" i="8"/>
  <c r="B33" i="2" s="1"/>
  <c r="K33" i="2" s="1"/>
  <c r="O17" i="8"/>
  <c r="O27" i="8" s="1"/>
  <c r="N17" i="8"/>
  <c r="N27" i="8" s="1"/>
  <c r="M17" i="8"/>
  <c r="M27" i="8" s="1"/>
  <c r="L17" i="8"/>
  <c r="L27" i="8" s="1"/>
  <c r="O16" i="8"/>
  <c r="E31" i="2" s="1"/>
  <c r="N31" i="2" s="1"/>
  <c r="N16" i="8"/>
  <c r="N26" i="8" s="1"/>
  <c r="M16" i="8"/>
  <c r="M26" i="8" s="1"/>
  <c r="L16" i="8"/>
  <c r="L26" i="8" s="1"/>
  <c r="O15" i="8"/>
  <c r="O25" i="8" s="1"/>
  <c r="N15" i="8"/>
  <c r="N25" i="8" s="1"/>
  <c r="M15" i="8"/>
  <c r="M25" i="8" s="1"/>
  <c r="L15" i="8"/>
  <c r="L25" i="8" s="1"/>
  <c r="E22" i="8"/>
  <c r="E32" i="8" s="1"/>
  <c r="D22" i="8"/>
  <c r="D32" i="8" s="1"/>
  <c r="C22" i="8"/>
  <c r="C32" i="8" s="1"/>
  <c r="B22" i="8"/>
  <c r="B32" i="8" s="1"/>
  <c r="E21" i="8"/>
  <c r="E31" i="8" s="1"/>
  <c r="D21" i="8"/>
  <c r="C21" i="8"/>
  <c r="C31" i="8" s="1"/>
  <c r="B21" i="8"/>
  <c r="B31" i="8" s="1"/>
  <c r="E20" i="8"/>
  <c r="D20" i="8"/>
  <c r="D30" i="8" s="1"/>
  <c r="C20" i="8"/>
  <c r="C30" i="8" s="1"/>
  <c r="B20" i="8"/>
  <c r="B30" i="8" s="1"/>
  <c r="E19" i="8"/>
  <c r="E29" i="8" s="1"/>
  <c r="D19" i="8"/>
  <c r="D29" i="8" s="1"/>
  <c r="C19" i="8"/>
  <c r="C29" i="8" s="1"/>
  <c r="B19" i="8"/>
  <c r="B29" i="8" s="1"/>
  <c r="E18" i="8"/>
  <c r="E28" i="8" s="1"/>
  <c r="D18" i="8"/>
  <c r="C18" i="8"/>
  <c r="C28" i="8" s="1"/>
  <c r="B18" i="8"/>
  <c r="B28" i="8" s="1"/>
  <c r="E17" i="8"/>
  <c r="D17" i="8"/>
  <c r="D27" i="8" s="1"/>
  <c r="C17" i="8"/>
  <c r="C27" i="8" s="1"/>
  <c r="B17" i="8"/>
  <c r="B27" i="8" s="1"/>
  <c r="E16" i="8"/>
  <c r="E26" i="8" s="1"/>
  <c r="D16" i="8"/>
  <c r="D26" i="8" s="1"/>
  <c r="C16" i="8"/>
  <c r="C26" i="8" s="1"/>
  <c r="B16" i="8"/>
  <c r="B26" i="8" s="1"/>
  <c r="E15" i="8"/>
  <c r="E25" i="8" s="1"/>
  <c r="D15" i="8"/>
  <c r="C15" i="8"/>
  <c r="C25" i="8" s="1"/>
  <c r="B15" i="8"/>
  <c r="B25" i="8" s="1"/>
  <c r="D24" i="2"/>
  <c r="E24" i="2"/>
  <c r="F24" i="2"/>
  <c r="G24" i="2"/>
  <c r="D25" i="2"/>
  <c r="E25" i="2"/>
  <c r="F25" i="2"/>
  <c r="G25" i="2"/>
  <c r="D26" i="2"/>
  <c r="G26" i="2"/>
  <c r="C24" i="2"/>
  <c r="C26" i="2"/>
  <c r="B26" i="2"/>
  <c r="E20" i="2"/>
  <c r="D20" i="2"/>
  <c r="C20" i="2"/>
  <c r="B20" i="2"/>
  <c r="F19" i="2"/>
  <c r="F18" i="2"/>
  <c r="L18" i="2" s="1"/>
  <c r="L44" i="2" s="1"/>
  <c r="F17" i="2"/>
  <c r="F16" i="2"/>
  <c r="N16" i="2" s="1"/>
  <c r="N24" i="2" s="1"/>
  <c r="F15" i="2"/>
  <c r="K15" i="2" s="1"/>
  <c r="K41" i="2" s="1"/>
  <c r="F14" i="2"/>
  <c r="H14" i="2" s="1"/>
  <c r="F13" i="2"/>
  <c r="G13" i="2" s="1"/>
  <c r="E10" i="2"/>
  <c r="D10" i="2"/>
  <c r="C10" i="2"/>
  <c r="B10" i="2"/>
  <c r="F9" i="2"/>
  <c r="F8" i="2"/>
  <c r="F7" i="2"/>
  <c r="F6" i="2"/>
  <c r="F5" i="2"/>
  <c r="F4" i="2"/>
  <c r="F3" i="2"/>
  <c r="E27" i="2" l="1"/>
  <c r="H25" i="2"/>
  <c r="F20" i="9"/>
  <c r="K19" i="9"/>
  <c r="X18" i="9"/>
  <c r="Z19" i="9"/>
  <c r="L20" i="9"/>
  <c r="N19" i="9"/>
  <c r="C20" i="9"/>
  <c r="O20" i="9"/>
  <c r="J20" i="9"/>
  <c r="I20" i="9"/>
  <c r="S22" i="9"/>
  <c r="W19" i="9"/>
  <c r="R19" i="9"/>
  <c r="Q19" i="9"/>
  <c r="P18" i="9"/>
  <c r="D18" i="9"/>
  <c r="Y19" i="9"/>
  <c r="M19" i="9"/>
  <c r="O11" i="9"/>
  <c r="O19" i="9" s="1"/>
  <c r="O10" i="9"/>
  <c r="O18" i="9" s="1"/>
  <c r="Q12" i="9"/>
  <c r="Q20" i="9" s="1"/>
  <c r="Y12" i="9"/>
  <c r="Y20" i="9" s="1"/>
  <c r="Z12" i="9"/>
  <c r="Z20" i="9" s="1"/>
  <c r="W10" i="9"/>
  <c r="W18" i="9" s="1"/>
  <c r="W12" i="9"/>
  <c r="W20" i="9" s="1"/>
  <c r="X12" i="9"/>
  <c r="X20" i="9" s="1"/>
  <c r="Y10" i="9"/>
  <c r="Y18" i="9" s="1"/>
  <c r="Z10" i="9"/>
  <c r="Z18" i="9" s="1"/>
  <c r="X11" i="9"/>
  <c r="X19" i="9" s="1"/>
  <c r="R12" i="9"/>
  <c r="R20" i="9" s="1"/>
  <c r="Q10" i="9"/>
  <c r="Q18" i="9" s="1"/>
  <c r="R10" i="9"/>
  <c r="R18" i="9" s="1"/>
  <c r="R22" i="9" s="1"/>
  <c r="P11" i="9"/>
  <c r="P19" i="9" s="1"/>
  <c r="P12" i="9"/>
  <c r="P20" i="9" s="1"/>
  <c r="K12" i="9"/>
  <c r="K20" i="9" s="1"/>
  <c r="N12" i="9"/>
  <c r="N20" i="9" s="1"/>
  <c r="K10" i="9"/>
  <c r="K18" i="9" s="1"/>
  <c r="K22" i="9" s="1"/>
  <c r="M12" i="9"/>
  <c r="M20" i="9" s="1"/>
  <c r="M10" i="9"/>
  <c r="M18" i="9" s="1"/>
  <c r="N10" i="9"/>
  <c r="N18" i="9" s="1"/>
  <c r="L10" i="9"/>
  <c r="L18" i="9" s="1"/>
  <c r="L11" i="9"/>
  <c r="L19" i="9" s="1"/>
  <c r="F10" i="9"/>
  <c r="F18" i="9" s="1"/>
  <c r="G10" i="9"/>
  <c r="G18" i="9" s="1"/>
  <c r="H10" i="9"/>
  <c r="H18" i="9" s="1"/>
  <c r="I10" i="9"/>
  <c r="I18" i="9" s="1"/>
  <c r="G11" i="9"/>
  <c r="G19" i="9" s="1"/>
  <c r="H11" i="9"/>
  <c r="H19" i="9" s="1"/>
  <c r="J10" i="9"/>
  <c r="J18" i="9" s="1"/>
  <c r="I11" i="9"/>
  <c r="I19" i="9" s="1"/>
  <c r="J11" i="9"/>
  <c r="J19" i="9" s="1"/>
  <c r="E10" i="9"/>
  <c r="E18" i="9" s="1"/>
  <c r="C11" i="9"/>
  <c r="C19" i="9" s="1"/>
  <c r="D11" i="9"/>
  <c r="D19" i="9" s="1"/>
  <c r="E11" i="9"/>
  <c r="E19" i="9" s="1"/>
  <c r="F11" i="9"/>
  <c r="F19" i="9" s="1"/>
  <c r="C10" i="9"/>
  <c r="C18" i="9" s="1"/>
  <c r="C22" i="9" s="1"/>
  <c r="D12" i="9"/>
  <c r="D20" i="9" s="1"/>
  <c r="O26" i="8"/>
  <c r="O29" i="8"/>
  <c r="B32" i="2"/>
  <c r="K32" i="2" s="1"/>
  <c r="D34" i="2"/>
  <c r="M34" i="2" s="1"/>
  <c r="L30" i="8"/>
  <c r="K14" i="2"/>
  <c r="C32" i="2"/>
  <c r="L32" i="2" s="1"/>
  <c r="G17" i="2"/>
  <c r="M30" i="8"/>
  <c r="O16" i="2"/>
  <c r="O24" i="2" s="1"/>
  <c r="B30" i="2"/>
  <c r="K30" i="2" s="1"/>
  <c r="D32" i="2"/>
  <c r="M32" i="2" s="1"/>
  <c r="N30" i="8"/>
  <c r="L17" i="2"/>
  <c r="L25" i="2" s="1"/>
  <c r="C30" i="2"/>
  <c r="L30" i="2" s="1"/>
  <c r="E32" i="2"/>
  <c r="N32" i="2" s="1"/>
  <c r="H17" i="2"/>
  <c r="M18" i="2"/>
  <c r="D30" i="2"/>
  <c r="M30" i="2" s="1"/>
  <c r="L28" i="8"/>
  <c r="O18" i="2"/>
  <c r="O26" i="2" s="1"/>
  <c r="E30" i="2"/>
  <c r="N30" i="2" s="1"/>
  <c r="N28" i="8"/>
  <c r="L26" i="2"/>
  <c r="B31" i="2"/>
  <c r="K31" i="2" s="1"/>
  <c r="M28" i="8"/>
  <c r="K23" i="2"/>
  <c r="O28" i="8"/>
  <c r="C31" i="2"/>
  <c r="L31" i="2" s="1"/>
  <c r="L29" i="8"/>
  <c r="M29" i="8"/>
  <c r="H15" i="2"/>
  <c r="L15" i="2"/>
  <c r="H16" i="2"/>
  <c r="O13" i="2"/>
  <c r="O21" i="2" s="1"/>
  <c r="M15" i="2"/>
  <c r="K17" i="2"/>
  <c r="K25" i="2" s="1"/>
  <c r="N18" i="2"/>
  <c r="N26" i="2" s="1"/>
  <c r="N15" i="2"/>
  <c r="N23" i="2" s="1"/>
  <c r="B27" i="2"/>
  <c r="H18" i="2"/>
  <c r="L14" i="2"/>
  <c r="O15" i="2"/>
  <c r="O23" i="2" s="1"/>
  <c r="M17" i="2"/>
  <c r="M25" i="2" s="1"/>
  <c r="H19" i="2"/>
  <c r="M14" i="2"/>
  <c r="K16" i="2"/>
  <c r="K24" i="2" s="1"/>
  <c r="N17" i="2"/>
  <c r="N25" i="2" s="1"/>
  <c r="N14" i="2"/>
  <c r="N22" i="2" s="1"/>
  <c r="N28" i="2" s="1"/>
  <c r="L16" i="2"/>
  <c r="L24" i="2" s="1"/>
  <c r="O17" i="2"/>
  <c r="O25" i="2" s="1"/>
  <c r="H13" i="2"/>
  <c r="L13" i="2"/>
  <c r="O14" i="2"/>
  <c r="O22" i="2" s="1"/>
  <c r="M16" i="2"/>
  <c r="M24" i="2" s="1"/>
  <c r="K18" i="2"/>
  <c r="C27" i="2"/>
  <c r="G27" i="2"/>
  <c r="M13" i="2"/>
  <c r="G15" i="2"/>
  <c r="G16" i="2"/>
  <c r="D27" i="2"/>
  <c r="F10" i="2"/>
  <c r="H26" i="2"/>
  <c r="G18" i="2"/>
  <c r="F27" i="2"/>
  <c r="G19" i="2"/>
  <c r="H24" i="2"/>
  <c r="H23" i="2"/>
  <c r="F20" i="2"/>
  <c r="G14" i="2"/>
  <c r="J22" i="9" l="1"/>
  <c r="O22" i="9"/>
  <c r="U22" i="9"/>
  <c r="I22" i="9"/>
  <c r="H22" i="9"/>
  <c r="Q22" i="9"/>
  <c r="T22" i="9"/>
  <c r="X22" i="9"/>
  <c r="V22" i="9"/>
  <c r="G22" i="9"/>
  <c r="F22" i="9"/>
  <c r="P22" i="9"/>
  <c r="L22" i="9"/>
  <c r="Z22" i="9"/>
  <c r="W22" i="9"/>
  <c r="M22" i="9"/>
  <c r="D22" i="9"/>
  <c r="N22" i="9"/>
  <c r="E22" i="9"/>
  <c r="Y22" i="9"/>
  <c r="L41" i="2"/>
  <c r="L23" i="2"/>
  <c r="M26" i="2"/>
  <c r="K22" i="2"/>
  <c r="K28" i="2" s="1"/>
  <c r="K40" i="2"/>
  <c r="L22" i="2"/>
  <c r="L28" i="2" s="1"/>
  <c r="M22" i="2"/>
  <c r="M28" i="2" s="1"/>
  <c r="K44" i="2"/>
  <c r="K26" i="2"/>
  <c r="L21" i="2"/>
  <c r="L39" i="2"/>
  <c r="K21" i="2"/>
  <c r="M39" i="2"/>
  <c r="M21" i="2"/>
  <c r="M41" i="2"/>
  <c r="N41" i="2" s="1"/>
  <c r="M23" i="2"/>
  <c r="H27" i="2"/>
  <c r="K45" i="2" l="1"/>
  <c r="M45" i="2"/>
  <c r="N44" i="2"/>
  <c r="N45" i="2" s="1"/>
  <c r="L45" i="2"/>
</calcChain>
</file>

<file path=xl/sharedStrings.xml><?xml version="1.0" encoding="utf-8"?>
<sst xmlns="http://schemas.openxmlformats.org/spreadsheetml/2006/main" count="326" uniqueCount="82">
  <si>
    <t>RstIntPer</t>
  </si>
  <si>
    <t>Regio</t>
  </si>
  <si>
    <t>A1</t>
  </si>
  <si>
    <t>A2</t>
  </si>
  <si>
    <t>B1</t>
  </si>
  <si>
    <t>B2</t>
  </si>
  <si>
    <t>Exterior</t>
  </si>
  <si>
    <t>Randstad</t>
  </si>
  <si>
    <t>Intermediate zone</t>
  </si>
  <si>
    <t>Peripheral zone</t>
  </si>
  <si>
    <t>y2020</t>
  </si>
  <si>
    <t>y2017</t>
  </si>
  <si>
    <t>tov 2017</t>
  </si>
  <si>
    <t>infrastructure</t>
  </si>
  <si>
    <t>Residential</t>
  </si>
  <si>
    <t>Industrial</t>
  </si>
  <si>
    <t>Recreation</t>
  </si>
  <si>
    <t>Nature</t>
  </si>
  <si>
    <t>Agriculture</t>
  </si>
  <si>
    <t>Buildinglot</t>
  </si>
  <si>
    <t>Land-use</t>
  </si>
  <si>
    <t>Nature_Forest</t>
  </si>
  <si>
    <t>Other</t>
  </si>
  <si>
    <t>Infrastructure</t>
  </si>
  <si>
    <t>Water</t>
  </si>
  <si>
    <t>-</t>
  </si>
  <si>
    <t>Total</t>
  </si>
  <si>
    <t>Current (2000)</t>
  </si>
  <si>
    <t>total claim</t>
  </si>
  <si>
    <t>Table 3 - Expected land use (hectares) in 2040 following the four scenarios, compared to the 2017 situation.</t>
  </si>
  <si>
    <t>Land-use type</t>
  </si>
  <si>
    <t>A1 (GE)</t>
  </si>
  <si>
    <t>A2 (TM)</t>
  </si>
  <si>
    <t>B1 (SE)</t>
  </si>
  <si>
    <t>B2 (RC)</t>
  </si>
  <si>
    <t>Current (2017)</t>
  </si>
  <si>
    <t>Building lot</t>
  </si>
  <si>
    <t>Total (excl. infra &amp; water)</t>
  </si>
  <si>
    <t>Source: WLO (2006), adapted by SPINlab - Vrije Universiteit Amsterdam</t>
  </si>
  <si>
    <t>LUS-demo 2012; WLO claims voor 2030</t>
  </si>
  <si>
    <t>additional in 30 years</t>
  </si>
  <si>
    <t>additional in 23 years</t>
  </si>
  <si>
    <t>per year</t>
  </si>
  <si>
    <t>idem per jaar</t>
  </si>
  <si>
    <t>2017-2000</t>
  </si>
  <si>
    <t>idem/jaar</t>
  </si>
  <si>
    <t>additional claims (2040-2020)</t>
  </si>
  <si>
    <t>Additional claims (2040-2017)</t>
  </si>
  <si>
    <t>totaal</t>
  </si>
  <si>
    <t>Most logic solution is to strive for same totals in 2040</t>
  </si>
  <si>
    <t>additional claims (2040-2017) per year</t>
  </si>
  <si>
    <t>vergelijkbaar met 2017 versie, behalve B2</t>
  </si>
  <si>
    <t>veel lager dan 2017 claim omdat er nu opeens veel meer natuur gekarteerd is</t>
  </si>
  <si>
    <t>analyse</t>
  </si>
  <si>
    <t>oplossing</t>
  </si>
  <si>
    <t>additional claims (2040-2017) total</t>
  </si>
  <si>
    <t>B2 terugbrengen naar ca. 500ha per jaar extra, neem een derde van claims B1</t>
  </si>
  <si>
    <t>vergelijkbaar met 2017 versie, behalve B2 trewijl ook daar (natuurgerichte) recreatie te verwachten valt.</t>
  </si>
  <si>
    <t>B2 gelijkstellen aan derde van B1 (net als wonen)</t>
  </si>
  <si>
    <t>voorstel additionele claim (2040-2020)</t>
  </si>
  <si>
    <t>additional claims (2040-2020) per year als we 2040 einddoel handhaven</t>
  </si>
  <si>
    <t>lager dan 2017 claims, terwijl er kennelijk veel gerealiseerd is in afgelopen 3 jaar, in verlengde daarvan de claims omhoog bijstellen. B2 nu zelfs negatief terwijl circulaire economie juist ook ruimte vraagt</t>
  </si>
  <si>
    <t>de claims 25% ophogen en B2 gelijkstellen aan B1</t>
  </si>
  <si>
    <t>Aansluiten bij de laatste plannen voor het natuurnetwerk NL. Volgens CLO is nu 703.000 ha gerealiseerd en  groeit dit tot minimaal 738.000 (+35.000) en maximaal 774.000 (+71.000)ha in 2028. We hanteren de toename omdat de basiskartering in 2022 van CBS afwijkt van de CLO gegevens. Zie: https://www.clo.nl/indicatoren/nl142505-aandeel-beschermde-natuurgebieden-in-nederland-2022</t>
  </si>
  <si>
    <t>moet terug naar 0 als er voldoende vraag is voor wonen/werken/recreatie</t>
  </si>
  <si>
    <t>sluitpost</t>
  </si>
  <si>
    <t>zodanig aanpassen dat netto vraag in 20240 0 is</t>
  </si>
  <si>
    <t>op 0 zetten</t>
  </si>
  <si>
    <t>we nemen voor residential/indus/rec/nat de additionele relatieve verdeling RstIntPer uit 2017</t>
  </si>
  <si>
    <t>building lot alles eraf, volgens huidige verdeling</t>
  </si>
  <si>
    <t>agriculture is rest potje afhankelijk van alle andere sectoren.</t>
  </si>
  <si>
    <t>2025-01-16 ovl Eric en Jip</t>
  </si>
  <si>
    <t>BuildingLot</t>
  </si>
  <si>
    <t>v2017</t>
  </si>
  <si>
    <t>Additionele claims</t>
  </si>
  <si>
    <t>Totaal</t>
  </si>
  <si>
    <t>%Randstad</t>
  </si>
  <si>
    <t>%Intermediate</t>
  </si>
  <si>
    <t>%Peripheral</t>
  </si>
  <si>
    <t>v2025</t>
  </si>
  <si>
    <t>Totaal (uit Nat. Claims)</t>
  </si>
  <si>
    <t>Check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</si>
</sst>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-* #,##0.00_-;\-* #,##0.00_-;_-* &quot;-&quot;??_-;_-@_-"/>
    <numFmt numFmtId="165" formatCode="_ * #,##0_ ;_ * \-#,##0_ ;_ * &quot;-&quot;??_ ;_ @_ "/>
    <numFmt numFmtId="166" formatCode="0.0"/>
    <numFmt numFmtId="167" formatCode="_-* #,##0_-;\-* #,##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3" fontId="0" fillId="0" borderId="0" xfId="0" applyNumberFormat="1"/>
    <xf numFmtId="165" fontId="0" fillId="0" borderId="0" xfId="1" applyNumberFormat="1" applyFont="1"/>
    <xf numFmtId="9" fontId="0" fillId="0" borderId="0" xfId="2" applyFont="1"/>
    <xf numFmtId="165" fontId="0" fillId="0" borderId="0" xfId="0" applyNumberFormat="1"/>
    <xf numFmtId="0" fontId="16" fillId="0" borderId="0" xfId="0" applyFon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7" fontId="14" fillId="0" borderId="0" xfId="0" applyNumberFormat="1" applyFont="1"/>
    <xf numFmtId="165" fontId="0" fillId="0" borderId="10" xfId="0" applyNumberFormat="1" applyBorder="1"/>
    <xf numFmtId="0" fontId="0" fillId="0" borderId="10" xfId="0" applyBorder="1"/>
    <xf numFmtId="165" fontId="14" fillId="0" borderId="10" xfId="0" applyNumberFormat="1" applyFont="1" applyBorder="1"/>
    <xf numFmtId="165" fontId="0" fillId="33" borderId="10" xfId="0" applyNumberFormat="1" applyFill="1" applyBorder="1"/>
    <xf numFmtId="0" fontId="0" fillId="33" borderId="0" xfId="0" applyFill="1"/>
    <xf numFmtId="165" fontId="0" fillId="33" borderId="11" xfId="0" applyNumberFormat="1" applyFill="1" applyBorder="1"/>
    <xf numFmtId="0" fontId="18" fillId="0" borderId="0" xfId="0" applyFont="1"/>
    <xf numFmtId="0" fontId="1" fillId="30" borderId="0" xfId="41" applyAlignment="1">
      <alignment horizontal="center"/>
    </xf>
    <xf numFmtId="0" fontId="1" fillId="15" borderId="0" xfId="26" applyAlignment="1">
      <alignment horizontal="center"/>
    </xf>
    <xf numFmtId="0" fontId="1" fillId="12" borderId="0" xfId="23" applyAlignment="1">
      <alignment horizontal="center"/>
    </xf>
    <xf numFmtId="0" fontId="1" fillId="33" borderId="0" xfId="33" applyFill="1" applyAlignment="1">
      <alignment horizontal="center"/>
    </xf>
    <xf numFmtId="0" fontId="1" fillId="33" borderId="16" xfId="33" applyFill="1" applyBorder="1" applyAlignment="1">
      <alignment horizontal="center"/>
    </xf>
    <xf numFmtId="0" fontId="1" fillId="20" borderId="12" xfId="31" applyBorder="1" applyAlignment="1">
      <alignment horizontal="center"/>
    </xf>
    <xf numFmtId="0" fontId="1" fillId="20" borderId="13" xfId="31" applyBorder="1" applyAlignment="1">
      <alignment horizontal="center"/>
    </xf>
    <xf numFmtId="0" fontId="1" fillId="20" borderId="14" xfId="31" applyBorder="1" applyAlignment="1">
      <alignment horizontal="center"/>
    </xf>
    <xf numFmtId="0" fontId="1" fillId="34" borderId="15" xfId="41" applyFill="1" applyBorder="1" applyAlignment="1">
      <alignment horizontal="center"/>
    </xf>
    <xf numFmtId="0" fontId="1" fillId="34" borderId="0" xfId="41" applyFill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A4DE-4904-4234-9879-BEB8EEB0E256}">
  <dimension ref="A1:F5"/>
  <sheetViews>
    <sheetView workbookViewId="0">
      <selection activeCell="C7" sqref="C7"/>
    </sheetView>
  </sheetViews>
  <sheetFormatPr defaultRowHeight="15" x14ac:dyDescent="0.25"/>
  <cols>
    <col min="2" max="2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f>Claims!C17</f>
        <v>0</v>
      </c>
      <c r="D2">
        <f>Claims!D17</f>
        <v>0</v>
      </c>
      <c r="E2">
        <f>Claims!E17</f>
        <v>0</v>
      </c>
      <c r="F2">
        <f>Claims!F17</f>
        <v>0</v>
      </c>
    </row>
    <row r="3" spans="1:6" x14ac:dyDescent="0.25">
      <c r="A3">
        <v>1</v>
      </c>
      <c r="B3" t="s">
        <v>7</v>
      </c>
      <c r="C3">
        <f>Claims!C18</f>
        <v>35178.417894101935</v>
      </c>
      <c r="D3">
        <f>Claims!D18</f>
        <v>22623.438363510089</v>
      </c>
      <c r="E3">
        <f>Claims!E18</f>
        <v>16042.250229911986</v>
      </c>
      <c r="F3">
        <f>Claims!F18</f>
        <v>5197.8528249684841</v>
      </c>
    </row>
    <row r="4" spans="1:6" x14ac:dyDescent="0.25">
      <c r="A4">
        <v>2</v>
      </c>
      <c r="B4" t="s">
        <v>8</v>
      </c>
      <c r="C4">
        <f>Claims!C19</f>
        <v>22640.084259384239</v>
      </c>
      <c r="D4">
        <f>Claims!D19</f>
        <v>14657.985714878037</v>
      </c>
      <c r="E4">
        <f>Claims!E19</f>
        <v>8658.8220384302585</v>
      </c>
      <c r="F4">
        <f>Claims!F19</f>
        <v>4876.8138416981838</v>
      </c>
    </row>
    <row r="5" spans="1:6" x14ac:dyDescent="0.25">
      <c r="A5">
        <v>3</v>
      </c>
      <c r="B5" t="s">
        <v>9</v>
      </c>
      <c r="C5">
        <f>Claims!C20</f>
        <v>14270.497846513825</v>
      </c>
      <c r="D5">
        <f>Claims!D20</f>
        <v>9342.5759216118695</v>
      </c>
      <c r="E5">
        <f>Claims!E20</f>
        <v>5522.9277316577554</v>
      </c>
      <c r="F5">
        <f>Claims!F20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8A29-9BA4-469D-8E81-4AC11527BD57}">
  <dimension ref="A1:F5"/>
  <sheetViews>
    <sheetView workbookViewId="0">
      <selection activeCell="C2" sqref="C2:F5"/>
    </sheetView>
  </sheetViews>
  <sheetFormatPr defaultRowHeight="15" x14ac:dyDescent="0.25"/>
  <cols>
    <col min="2" max="2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f>Claims!G17</f>
        <v>0</v>
      </c>
      <c r="D2">
        <f>Claims!H17</f>
        <v>0</v>
      </c>
      <c r="E2">
        <f>Claims!I17</f>
        <v>0</v>
      </c>
      <c r="F2">
        <f>Claims!J17</f>
        <v>0</v>
      </c>
    </row>
    <row r="3" spans="1:6" x14ac:dyDescent="0.25">
      <c r="A3">
        <v>1</v>
      </c>
      <c r="B3" t="s">
        <v>7</v>
      </c>
      <c r="C3">
        <f>Claims!G18</f>
        <v>8564.6583762471237</v>
      </c>
      <c r="D3">
        <f>Claims!H18</f>
        <v>3194.2349491638129</v>
      </c>
      <c r="E3">
        <f>Claims!I18</f>
        <v>2858.9768934498156</v>
      </c>
      <c r="F3">
        <f>Claims!J18</f>
        <v>2858.9768928864987</v>
      </c>
    </row>
    <row r="4" spans="1:6" x14ac:dyDescent="0.25">
      <c r="A4">
        <v>2</v>
      </c>
      <c r="B4" t="s">
        <v>8</v>
      </c>
      <c r="C4">
        <f>Claims!G19</f>
        <v>7786.8225183947834</v>
      </c>
      <c r="D4">
        <f>Claims!H19</f>
        <v>5803.5854614490017</v>
      </c>
      <c r="E4">
        <f>Claims!I19</f>
        <v>2018.8675099725217</v>
      </c>
      <c r="F4">
        <f>Claims!J19</f>
        <v>2018.86751025475</v>
      </c>
    </row>
    <row r="5" spans="1:6" x14ac:dyDescent="0.25">
      <c r="A5">
        <v>3</v>
      </c>
      <c r="B5" t="s">
        <v>9</v>
      </c>
      <c r="C5">
        <f>Claims!G20</f>
        <v>7869.769105358092</v>
      </c>
      <c r="D5">
        <f>Claims!H20</f>
        <v>6818.429589387184</v>
      </c>
      <c r="E5">
        <f>Claims!I20</f>
        <v>2534.6555965776624</v>
      </c>
      <c r="F5">
        <f>Claims!J20</f>
        <v>2534.6555968587509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C4D6-D08C-4574-80C3-050D11BF327D}">
  <dimension ref="A1:F5"/>
  <sheetViews>
    <sheetView workbookViewId="0">
      <selection activeCell="C2" sqref="C2:F5"/>
    </sheetView>
  </sheetViews>
  <sheetFormatPr defaultRowHeight="15" x14ac:dyDescent="0.25"/>
  <cols>
    <col min="2" max="2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f>Claims!K17</f>
        <v>0</v>
      </c>
      <c r="D2">
        <f>Claims!L17</f>
        <v>0</v>
      </c>
      <c r="E2">
        <f>Claims!M17</f>
        <v>0</v>
      </c>
      <c r="F2">
        <f>Claims!N17</f>
        <v>0</v>
      </c>
    </row>
    <row r="3" spans="1:6" x14ac:dyDescent="0.25">
      <c r="A3">
        <v>1</v>
      </c>
      <c r="B3" t="s">
        <v>7</v>
      </c>
      <c r="C3">
        <f>Claims!K18</f>
        <v>16276.728473224881</v>
      </c>
      <c r="D3">
        <f>Claims!L18</f>
        <v>13458.317044969379</v>
      </c>
      <c r="E3">
        <f>Claims!M18</f>
        <v>8361.5338065092637</v>
      </c>
      <c r="F3">
        <f>Claims!N18</f>
        <v>3339.3601603774682</v>
      </c>
    </row>
    <row r="4" spans="1:6" x14ac:dyDescent="0.25">
      <c r="A4">
        <v>2</v>
      </c>
      <c r="B4" t="s">
        <v>8</v>
      </c>
      <c r="C4">
        <f>Claims!K19</f>
        <v>8679.5726379710923</v>
      </c>
      <c r="D4">
        <f>Claims!L19</f>
        <v>4856.6829550306202</v>
      </c>
      <c r="E4">
        <f>Claims!M19</f>
        <v>2916.1861705639703</v>
      </c>
      <c r="F4">
        <f>Claims!N19</f>
        <v>576.63983962253212</v>
      </c>
    </row>
    <row r="5" spans="1:6" x14ac:dyDescent="0.25">
      <c r="A5">
        <v>3</v>
      </c>
      <c r="B5" t="s">
        <v>9</v>
      </c>
      <c r="C5">
        <f>Claims!K20</f>
        <v>3556.698888804031</v>
      </c>
      <c r="D5">
        <f>Claims!L20</f>
        <v>0</v>
      </c>
      <c r="E5">
        <f>Claims!M20</f>
        <v>470.28002292676678</v>
      </c>
      <c r="F5">
        <f>Claims!N20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8943-3230-4275-A5A2-91A3DE9E7B8A}">
  <dimension ref="A1:F5"/>
  <sheetViews>
    <sheetView workbookViewId="0">
      <selection activeCell="C2" sqref="C2:F5"/>
    </sheetView>
  </sheetViews>
  <sheetFormatPr defaultRowHeight="15" x14ac:dyDescent="0.25"/>
  <cols>
    <col min="2" max="2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f>Claims!O17</f>
        <v>0</v>
      </c>
      <c r="D2">
        <f>Claims!P17</f>
        <v>0</v>
      </c>
      <c r="E2">
        <f>Claims!Q17</f>
        <v>0</v>
      </c>
      <c r="F2">
        <f>Claims!R17</f>
        <v>0</v>
      </c>
    </row>
    <row r="3" spans="1:6" x14ac:dyDescent="0.25">
      <c r="A3">
        <v>1</v>
      </c>
      <c r="B3" t="s">
        <v>7</v>
      </c>
      <c r="C3">
        <f>Claims!O18</f>
        <v>7934.5605090314539</v>
      </c>
      <c r="D3">
        <f>Claims!P18</f>
        <v>7789.4979175677599</v>
      </c>
      <c r="E3">
        <f>Claims!Q18</f>
        <v>15736.945790174215</v>
      </c>
      <c r="F3">
        <f>Claims!R18</f>
        <v>12524.908345319693</v>
      </c>
    </row>
    <row r="4" spans="1:6" x14ac:dyDescent="0.25">
      <c r="A4">
        <v>2</v>
      </c>
      <c r="B4" t="s">
        <v>8</v>
      </c>
      <c r="C4">
        <f>Claims!O19</f>
        <v>14107.958280723678</v>
      </c>
      <c r="D4">
        <f>Claims!P19</f>
        <v>15061.112157672052</v>
      </c>
      <c r="E4">
        <f>Claims!Q19</f>
        <v>30439.557722305552</v>
      </c>
      <c r="F4">
        <f>Claims!R19</f>
        <v>31578.457555692534</v>
      </c>
    </row>
    <row r="5" spans="1:6" x14ac:dyDescent="0.25">
      <c r="A5">
        <v>3</v>
      </c>
      <c r="B5" t="s">
        <v>9</v>
      </c>
      <c r="C5">
        <f>Claims!O20</f>
        <v>12957.481210244869</v>
      </c>
      <c r="D5">
        <f>Claims!P20</f>
        <v>12149.389924760186</v>
      </c>
      <c r="E5">
        <f>Claims!Q20</f>
        <v>24823.496487520242</v>
      </c>
      <c r="F5">
        <f>Claims!R20</f>
        <v>26896.634098987779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4767-4407-4477-931B-2AF14AA45329}">
  <dimension ref="A1:F5"/>
  <sheetViews>
    <sheetView workbookViewId="0">
      <selection activeCell="C2" sqref="C2:F5"/>
    </sheetView>
  </sheetViews>
  <sheetFormatPr defaultRowHeight="15" x14ac:dyDescent="0.25"/>
  <cols>
    <col min="2" max="2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f>Claims!W17</f>
        <v>0</v>
      </c>
      <c r="D2">
        <f>Claims!X17</f>
        <v>0</v>
      </c>
      <c r="E2">
        <f>Claims!Y17</f>
        <v>0</v>
      </c>
      <c r="F2">
        <f>Claims!Z17</f>
        <v>0</v>
      </c>
    </row>
    <row r="3" spans="1:6" x14ac:dyDescent="0.25">
      <c r="A3">
        <v>1</v>
      </c>
      <c r="B3" t="s">
        <v>7</v>
      </c>
      <c r="C3">
        <f>Claims!W18</f>
        <v>-53530.001361996634</v>
      </c>
      <c r="D3">
        <f>Claims!X18</f>
        <v>-32871.257853391544</v>
      </c>
      <c r="E3">
        <f>Claims!Y18</f>
        <v>-34900.459981103893</v>
      </c>
      <c r="F3">
        <f>Claims!Z18</f>
        <v>-16033.019536105601</v>
      </c>
    </row>
    <row r="4" spans="1:6" x14ac:dyDescent="0.25">
      <c r="A4">
        <v>2</v>
      </c>
      <c r="B4" t="s">
        <v>8</v>
      </c>
      <c r="C4">
        <f>Claims!W19</f>
        <v>-49002.947188209138</v>
      </c>
      <c r="D4">
        <f>Claims!X19</f>
        <v>-37314.182053772573</v>
      </c>
      <c r="E4">
        <f>Claims!Y19</f>
        <v>-37377.308813142532</v>
      </c>
      <c r="F4">
        <f>Claims!Z19</f>
        <v>-30461.018438075833</v>
      </c>
    </row>
    <row r="5" spans="1:6" x14ac:dyDescent="0.25">
      <c r="A5">
        <v>3</v>
      </c>
      <c r="B5" t="s">
        <v>9</v>
      </c>
      <c r="C5">
        <f>Claims!W20</f>
        <v>-35840.05144979422</v>
      </c>
      <c r="D5">
        <f>Claims!X20</f>
        <v>-24119.560092835884</v>
      </c>
      <c r="E5">
        <f>Claims!Y20</f>
        <v>-26656.231205753582</v>
      </c>
      <c r="F5">
        <f>Claims!Z20</f>
        <v>-24458.962025818568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80A5-74A6-455E-B147-F3205C83B262}">
  <dimension ref="A1:F5"/>
  <sheetViews>
    <sheetView tabSelected="1" workbookViewId="0">
      <selection activeCell="E4" sqref="E4"/>
    </sheetView>
  </sheetViews>
  <sheetFormatPr defaultRowHeight="15" x14ac:dyDescent="0.25"/>
  <cols>
    <col min="2" max="2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f>Claims!S17</f>
        <v>-15</v>
      </c>
      <c r="D2">
        <f>Claims!T17</f>
        <v>-15</v>
      </c>
      <c r="E2">
        <f>Claims!U17</f>
        <v>-15</v>
      </c>
      <c r="F2">
        <f>Claims!V17</f>
        <v>-15</v>
      </c>
    </row>
    <row r="3" spans="1:6" x14ac:dyDescent="0.25">
      <c r="A3">
        <v>1</v>
      </c>
      <c r="B3" t="s">
        <v>7</v>
      </c>
      <c r="C3">
        <f>Claims!S18</f>
        <v>-8287</v>
      </c>
      <c r="D3">
        <f>Claims!T18</f>
        <v>-8287</v>
      </c>
      <c r="E3">
        <f>Claims!U18</f>
        <v>-8287</v>
      </c>
      <c r="F3">
        <f>Claims!V18</f>
        <v>-8287</v>
      </c>
    </row>
    <row r="4" spans="1:6" x14ac:dyDescent="0.25">
      <c r="A4">
        <v>2</v>
      </c>
      <c r="B4" t="s">
        <v>8</v>
      </c>
      <c r="C4">
        <f>Claims!S19</f>
        <v>-6079</v>
      </c>
      <c r="D4">
        <f>Claims!T19</f>
        <v>-6079</v>
      </c>
      <c r="E4">
        <f>Claims!U19</f>
        <v>-6079</v>
      </c>
      <c r="F4">
        <f>Claims!V19</f>
        <v>-6079</v>
      </c>
    </row>
    <row r="5" spans="1:6" x14ac:dyDescent="0.25">
      <c r="A5">
        <v>3</v>
      </c>
      <c r="B5" t="s">
        <v>9</v>
      </c>
      <c r="C5">
        <f>Claims!S20</f>
        <v>-7069</v>
      </c>
      <c r="D5">
        <f>Claims!T20</f>
        <v>-7069</v>
      </c>
      <c r="E5">
        <f>Claims!U20</f>
        <v>-7069</v>
      </c>
      <c r="F5">
        <f>Claims!V20</f>
        <v>-7069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21CF-1712-441F-BF39-74A4F7CF14CD}">
  <dimension ref="A1:Q45"/>
  <sheetViews>
    <sheetView workbookViewId="0">
      <selection activeCell="B18" sqref="B18:E18"/>
    </sheetView>
  </sheetViews>
  <sheetFormatPr defaultRowHeight="15" x14ac:dyDescent="0.25"/>
  <cols>
    <col min="1" max="1" width="17.85546875" bestFit="1" customWidth="1"/>
    <col min="2" max="2" width="10.85546875" bestFit="1" customWidth="1"/>
    <col min="3" max="3" width="10.28515625" bestFit="1" customWidth="1"/>
    <col min="4" max="4" width="17.85546875" bestFit="1" customWidth="1"/>
    <col min="5" max="5" width="15.7109375" bestFit="1" customWidth="1"/>
    <col min="6" max="7" width="10.5703125" bestFit="1" customWidth="1"/>
    <col min="8" max="8" width="10" bestFit="1" customWidth="1"/>
    <col min="9" max="9" width="10" customWidth="1"/>
    <col min="10" max="10" width="97" bestFit="1" customWidth="1"/>
    <col min="11" max="11" width="9.5703125" bestFit="1" customWidth="1"/>
    <col min="16" max="16" width="79" customWidth="1"/>
    <col min="17" max="17" width="34.140625" customWidth="1"/>
  </cols>
  <sheetData>
    <row r="1" spans="1:15" x14ac:dyDescent="0.25">
      <c r="J1" t="s">
        <v>29</v>
      </c>
    </row>
    <row r="2" spans="1:15" x14ac:dyDescent="0.25">
      <c r="A2" t="s">
        <v>11</v>
      </c>
      <c r="B2" t="s">
        <v>6</v>
      </c>
      <c r="C2" t="s">
        <v>7</v>
      </c>
      <c r="D2" t="s">
        <v>8</v>
      </c>
      <c r="E2" t="s">
        <v>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</row>
    <row r="3" spans="1:15" x14ac:dyDescent="0.25">
      <c r="A3" t="s">
        <v>14</v>
      </c>
      <c r="B3" s="2">
        <v>104</v>
      </c>
      <c r="C3" s="2">
        <v>97512</v>
      </c>
      <c r="D3" s="2">
        <v>92495</v>
      </c>
      <c r="E3" s="2">
        <v>91943</v>
      </c>
      <c r="F3" s="2">
        <f t="shared" ref="F3:F10" si="0">SUM(B3:E3)</f>
        <v>282054</v>
      </c>
      <c r="J3" t="s">
        <v>14</v>
      </c>
      <c r="K3" s="1">
        <v>362963</v>
      </c>
      <c r="L3" s="1">
        <v>337498</v>
      </c>
      <c r="M3" s="1">
        <v>321098</v>
      </c>
      <c r="N3" s="1">
        <v>292486</v>
      </c>
      <c r="O3" s="1">
        <v>282056</v>
      </c>
    </row>
    <row r="4" spans="1:15" x14ac:dyDescent="0.25">
      <c r="A4" t="s">
        <v>15</v>
      </c>
      <c r="B4" s="2">
        <v>34</v>
      </c>
      <c r="C4" s="2">
        <v>31034</v>
      </c>
      <c r="D4" s="2">
        <v>29551</v>
      </c>
      <c r="E4" s="2">
        <v>30735</v>
      </c>
      <c r="F4" s="2">
        <f t="shared" si="0"/>
        <v>91354</v>
      </c>
      <c r="J4" t="s">
        <v>15</v>
      </c>
      <c r="K4" s="1">
        <v>118250</v>
      </c>
      <c r="L4" s="1">
        <v>111526</v>
      </c>
      <c r="M4" s="1">
        <v>104803</v>
      </c>
      <c r="N4" s="1">
        <v>94045</v>
      </c>
      <c r="O4" s="1">
        <v>91356</v>
      </c>
    </row>
    <row r="5" spans="1:15" x14ac:dyDescent="0.25">
      <c r="A5" t="s">
        <v>16</v>
      </c>
      <c r="B5" s="2">
        <v>81</v>
      </c>
      <c r="C5" s="2">
        <v>40111</v>
      </c>
      <c r="D5" s="2">
        <v>35367</v>
      </c>
      <c r="E5" s="2">
        <v>37394</v>
      </c>
      <c r="F5" s="2">
        <f t="shared" si="0"/>
        <v>112953</v>
      </c>
      <c r="J5" t="s">
        <v>16</v>
      </c>
      <c r="K5" s="1">
        <v>145356</v>
      </c>
      <c r="L5" s="1">
        <v>135158</v>
      </c>
      <c r="M5" s="1">
        <v>128591</v>
      </c>
      <c r="N5" s="1">
        <v>117132</v>
      </c>
      <c r="O5" s="1">
        <v>112955</v>
      </c>
    </row>
    <row r="6" spans="1:15" x14ac:dyDescent="0.25">
      <c r="A6" t="s">
        <v>17</v>
      </c>
      <c r="B6" s="2">
        <v>977</v>
      </c>
      <c r="C6" s="2">
        <v>76178</v>
      </c>
      <c r="D6" s="2">
        <v>224604</v>
      </c>
      <c r="E6" s="2">
        <v>200663</v>
      </c>
      <c r="F6" s="2">
        <f t="shared" si="0"/>
        <v>502422</v>
      </c>
      <c r="J6" t="s">
        <v>17</v>
      </c>
      <c r="K6" s="1">
        <v>526551</v>
      </c>
      <c r="L6" s="1">
        <v>526551</v>
      </c>
      <c r="M6" s="1">
        <v>636551</v>
      </c>
      <c r="N6" s="1">
        <v>636551</v>
      </c>
      <c r="O6" s="1">
        <v>502423</v>
      </c>
    </row>
    <row r="7" spans="1:15" x14ac:dyDescent="0.25">
      <c r="A7" t="s">
        <v>18</v>
      </c>
      <c r="B7" s="2">
        <v>3268</v>
      </c>
      <c r="C7" s="2">
        <v>398380</v>
      </c>
      <c r="D7" s="2">
        <v>698815</v>
      </c>
      <c r="E7" s="2">
        <v>1133210</v>
      </c>
      <c r="F7" s="2">
        <f t="shared" si="0"/>
        <v>2233673</v>
      </c>
      <c r="J7" t="s">
        <v>18</v>
      </c>
      <c r="K7" s="1">
        <v>2094395</v>
      </c>
      <c r="L7" s="1">
        <v>2136781</v>
      </c>
      <c r="M7" s="1">
        <v>2056472</v>
      </c>
      <c r="N7" s="1">
        <v>2099543</v>
      </c>
      <c r="O7" s="1">
        <v>2233671</v>
      </c>
    </row>
    <row r="8" spans="1:15" x14ac:dyDescent="0.25">
      <c r="A8" t="s">
        <v>19</v>
      </c>
      <c r="B8" s="2">
        <v>11</v>
      </c>
      <c r="C8" s="2">
        <v>8644</v>
      </c>
      <c r="D8" s="2">
        <v>7731</v>
      </c>
      <c r="E8" s="2">
        <v>8666</v>
      </c>
      <c r="F8" s="2">
        <f t="shared" si="0"/>
        <v>25052</v>
      </c>
      <c r="J8" t="s">
        <v>36</v>
      </c>
      <c r="K8">
        <v>0</v>
      </c>
      <c r="L8">
        <v>0</v>
      </c>
      <c r="M8">
        <v>0</v>
      </c>
      <c r="N8">
        <v>7757</v>
      </c>
      <c r="O8" s="1">
        <v>25053</v>
      </c>
    </row>
    <row r="9" spans="1:15" x14ac:dyDescent="0.25">
      <c r="A9" t="s">
        <v>13</v>
      </c>
      <c r="B9" s="2">
        <v>279</v>
      </c>
      <c r="C9" s="2">
        <v>32671</v>
      </c>
      <c r="D9" s="2">
        <v>38660</v>
      </c>
      <c r="E9" s="2">
        <v>50300</v>
      </c>
      <c r="F9" s="2">
        <f t="shared" si="0"/>
        <v>121910</v>
      </c>
      <c r="J9" t="s">
        <v>23</v>
      </c>
      <c r="K9" s="1">
        <v>121912</v>
      </c>
      <c r="L9" s="1">
        <v>121912</v>
      </c>
      <c r="M9" s="1">
        <v>121912</v>
      </c>
      <c r="N9" s="1">
        <v>121912</v>
      </c>
      <c r="O9" s="1">
        <v>121912</v>
      </c>
    </row>
    <row r="10" spans="1:15" x14ac:dyDescent="0.25">
      <c r="B10" s="2">
        <f>SUM(B3:B9)</f>
        <v>4754</v>
      </c>
      <c r="C10" s="2">
        <f>SUM(C3:C9)</f>
        <v>684530</v>
      </c>
      <c r="D10" s="2">
        <f>SUM(D3:D9)</f>
        <v>1127223</v>
      </c>
      <c r="E10" s="2">
        <f>SUM(E3:E9)</f>
        <v>1552911</v>
      </c>
      <c r="F10" s="2">
        <f t="shared" si="0"/>
        <v>3369418</v>
      </c>
    </row>
    <row r="11" spans="1:15" x14ac:dyDescent="0.25">
      <c r="B11" s="2"/>
      <c r="C11" s="2"/>
      <c r="D11" s="2"/>
      <c r="E11" s="2"/>
      <c r="F11" s="2"/>
      <c r="J11" t="s">
        <v>49</v>
      </c>
    </row>
    <row r="12" spans="1:15" x14ac:dyDescent="0.25">
      <c r="A12" t="s">
        <v>10</v>
      </c>
      <c r="B12" s="2" t="s">
        <v>6</v>
      </c>
      <c r="C12" s="2" t="s">
        <v>7</v>
      </c>
      <c r="D12" s="2" t="s">
        <v>8</v>
      </c>
      <c r="E12" s="2" t="s">
        <v>9</v>
      </c>
      <c r="F12" s="2"/>
      <c r="G12" s="2" t="s">
        <v>12</v>
      </c>
      <c r="H12" s="2" t="s">
        <v>42</v>
      </c>
      <c r="I12" s="2"/>
      <c r="J12" s="2" t="s">
        <v>46</v>
      </c>
    </row>
    <row r="13" spans="1:15" x14ac:dyDescent="0.25">
      <c r="A13" t="s">
        <v>14</v>
      </c>
      <c r="B13" s="2">
        <v>144</v>
      </c>
      <c r="C13" s="2">
        <v>100774</v>
      </c>
      <c r="D13" s="2">
        <v>95406</v>
      </c>
      <c r="E13" s="2">
        <v>94550</v>
      </c>
      <c r="F13" s="2">
        <f t="shared" ref="F13:F20" si="1">SUM(B13:E13)</f>
        <v>290874</v>
      </c>
      <c r="G13" s="3">
        <f t="shared" ref="G13:G19" si="2">(F13-F3)/F3</f>
        <v>3.1270607755961626E-2</v>
      </c>
      <c r="H13" s="4">
        <f>(F13-F3)/3</f>
        <v>2940</v>
      </c>
      <c r="I13" s="4"/>
      <c r="J13" t="s">
        <v>14</v>
      </c>
      <c r="K13" s="4">
        <f>K3-$F13</f>
        <v>72089</v>
      </c>
      <c r="L13" s="4">
        <f t="shared" ref="L13:O13" si="3">L3-$F13</f>
        <v>46624</v>
      </c>
      <c r="M13" s="4">
        <f t="shared" si="3"/>
        <v>30224</v>
      </c>
      <c r="N13" s="4">
        <f>N3-$F13</f>
        <v>1612</v>
      </c>
      <c r="O13" s="4">
        <f t="shared" si="3"/>
        <v>-8818</v>
      </c>
    </row>
    <row r="14" spans="1:15" x14ac:dyDescent="0.25">
      <c r="A14" t="s">
        <v>15</v>
      </c>
      <c r="B14" s="2">
        <v>45</v>
      </c>
      <c r="C14" s="2">
        <v>33437</v>
      </c>
      <c r="D14" s="2">
        <v>31821</v>
      </c>
      <c r="E14" s="2">
        <v>33570</v>
      </c>
      <c r="F14" s="2">
        <f t="shared" si="1"/>
        <v>98873</v>
      </c>
      <c r="G14" s="3">
        <f t="shared" si="2"/>
        <v>8.2306193489064525E-2</v>
      </c>
      <c r="H14" s="4">
        <f t="shared" ref="H14:H19" si="4">(F14-F4)/3</f>
        <v>2506.3333333333335</v>
      </c>
      <c r="I14" s="4"/>
      <c r="J14" t="s">
        <v>15</v>
      </c>
      <c r="K14" s="4">
        <f t="shared" ref="K14:O14" si="5">K4-$F14</f>
        <v>19377</v>
      </c>
      <c r="L14" s="4">
        <f t="shared" si="5"/>
        <v>12653</v>
      </c>
      <c r="M14" s="4">
        <f t="shared" si="5"/>
        <v>5930</v>
      </c>
      <c r="N14" s="4">
        <f t="shared" si="5"/>
        <v>-4828</v>
      </c>
      <c r="O14" s="4">
        <f t="shared" si="5"/>
        <v>-7517</v>
      </c>
    </row>
    <row r="15" spans="1:15" x14ac:dyDescent="0.25">
      <c r="A15" t="s">
        <v>16</v>
      </c>
      <c r="B15" s="2">
        <v>84</v>
      </c>
      <c r="C15" s="2">
        <v>41350</v>
      </c>
      <c r="D15" s="2">
        <v>36665</v>
      </c>
      <c r="E15" s="2">
        <v>38744</v>
      </c>
      <c r="F15" s="2">
        <f t="shared" si="1"/>
        <v>116843</v>
      </c>
      <c r="G15" s="3">
        <f t="shared" si="2"/>
        <v>3.4439102989739095E-2</v>
      </c>
      <c r="H15" s="4">
        <f t="shared" si="4"/>
        <v>1296.6666666666667</v>
      </c>
      <c r="I15" s="4"/>
      <c r="J15" t="s">
        <v>16</v>
      </c>
      <c r="K15" s="4">
        <f t="shared" ref="K15:O15" si="6">K5-$F15</f>
        <v>28513</v>
      </c>
      <c r="L15" s="4">
        <f t="shared" si="6"/>
        <v>18315</v>
      </c>
      <c r="M15" s="4">
        <f t="shared" si="6"/>
        <v>11748</v>
      </c>
      <c r="N15" s="4">
        <f t="shared" si="6"/>
        <v>289</v>
      </c>
      <c r="O15" s="4">
        <f t="shared" si="6"/>
        <v>-3888</v>
      </c>
    </row>
    <row r="16" spans="1:15" x14ac:dyDescent="0.25">
      <c r="A16" t="s">
        <v>17</v>
      </c>
      <c r="B16" s="2">
        <v>1473</v>
      </c>
      <c r="C16" s="2">
        <v>97937</v>
      </c>
      <c r="D16" s="2">
        <v>266962</v>
      </c>
      <c r="E16" s="2">
        <v>262834</v>
      </c>
      <c r="F16" s="2">
        <f t="shared" si="1"/>
        <v>629206</v>
      </c>
      <c r="G16" s="3">
        <f t="shared" si="2"/>
        <v>0.25234563773083185</v>
      </c>
      <c r="H16" s="4">
        <f t="shared" si="4"/>
        <v>42261.333333333336</v>
      </c>
      <c r="I16" s="4"/>
      <c r="J16" t="s">
        <v>17</v>
      </c>
      <c r="K16" s="4">
        <f t="shared" ref="K16:O16" si="7">K6-$F16</f>
        <v>-102655</v>
      </c>
      <c r="L16" s="4">
        <f t="shared" si="7"/>
        <v>-102655</v>
      </c>
      <c r="M16" s="4">
        <f t="shared" si="7"/>
        <v>7345</v>
      </c>
      <c r="N16" s="4">
        <f t="shared" si="7"/>
        <v>7345</v>
      </c>
      <c r="O16" s="4">
        <f t="shared" si="7"/>
        <v>-126783</v>
      </c>
    </row>
    <row r="17" spans="1:17" x14ac:dyDescent="0.25">
      <c r="A17" t="s">
        <v>18</v>
      </c>
      <c r="B17" s="2">
        <v>2916</v>
      </c>
      <c r="C17" s="2">
        <v>375627</v>
      </c>
      <c r="D17" s="2">
        <v>657187</v>
      </c>
      <c r="E17" s="2">
        <v>1072700</v>
      </c>
      <c r="F17" s="2">
        <f t="shared" si="1"/>
        <v>2108430</v>
      </c>
      <c r="G17" s="3">
        <f t="shared" si="2"/>
        <v>-5.6070427497668641E-2</v>
      </c>
      <c r="H17" s="4">
        <f t="shared" si="4"/>
        <v>-41747.666666666664</v>
      </c>
      <c r="I17" s="4"/>
      <c r="J17" t="s">
        <v>18</v>
      </c>
      <c r="K17" s="4">
        <f t="shared" ref="K17:O17" si="8">K7-$F17</f>
        <v>-14035</v>
      </c>
      <c r="L17" s="4">
        <f t="shared" si="8"/>
        <v>28351</v>
      </c>
      <c r="M17" s="4">
        <f t="shared" si="8"/>
        <v>-51958</v>
      </c>
      <c r="N17" s="4">
        <f t="shared" si="8"/>
        <v>-8887</v>
      </c>
      <c r="O17" s="4">
        <f t="shared" si="8"/>
        <v>125241</v>
      </c>
    </row>
    <row r="18" spans="1:17" x14ac:dyDescent="0.25">
      <c r="A18" t="s">
        <v>19</v>
      </c>
      <c r="B18" s="2">
        <v>15</v>
      </c>
      <c r="C18" s="2">
        <v>8287</v>
      </c>
      <c r="D18" s="2">
        <v>6079</v>
      </c>
      <c r="E18" s="2">
        <v>7069</v>
      </c>
      <c r="F18" s="2">
        <f t="shared" si="1"/>
        <v>21450</v>
      </c>
      <c r="G18" s="3">
        <f t="shared" si="2"/>
        <v>-0.14378093565384001</v>
      </c>
      <c r="H18" s="4">
        <f t="shared" si="4"/>
        <v>-1200.6666666666667</v>
      </c>
      <c r="I18" s="4"/>
      <c r="J18" t="s">
        <v>36</v>
      </c>
      <c r="K18" s="4">
        <f t="shared" ref="K18:O18" si="9">K8-$F18</f>
        <v>-21450</v>
      </c>
      <c r="L18" s="4">
        <f t="shared" si="9"/>
        <v>-21450</v>
      </c>
      <c r="M18" s="4">
        <f t="shared" si="9"/>
        <v>-21450</v>
      </c>
      <c r="N18" s="4">
        <f t="shared" si="9"/>
        <v>-13693</v>
      </c>
      <c r="O18" s="4">
        <f t="shared" si="9"/>
        <v>3603</v>
      </c>
    </row>
    <row r="19" spans="1:17" x14ac:dyDescent="0.25">
      <c r="A19" t="s">
        <v>13</v>
      </c>
      <c r="B19" s="2">
        <v>201</v>
      </c>
      <c r="C19" s="2">
        <v>27217</v>
      </c>
      <c r="D19" s="2">
        <v>33150</v>
      </c>
      <c r="E19" s="2">
        <v>42885</v>
      </c>
      <c r="F19" s="2">
        <f t="shared" si="1"/>
        <v>103453</v>
      </c>
      <c r="G19" s="3">
        <f t="shared" si="2"/>
        <v>-0.15139857271757853</v>
      </c>
      <c r="H19" s="4">
        <f t="shared" si="4"/>
        <v>-6152.333333333333</v>
      </c>
      <c r="I19" s="4"/>
      <c r="K19" s="4"/>
      <c r="L19" s="4"/>
      <c r="M19" s="4"/>
      <c r="N19" s="4"/>
      <c r="O19" s="4"/>
    </row>
    <row r="20" spans="1:17" x14ac:dyDescent="0.25">
      <c r="B20" s="2">
        <f>SUM(B13:B19)</f>
        <v>4878</v>
      </c>
      <c r="C20" s="2">
        <f>SUM(C13:C19)</f>
        <v>684629</v>
      </c>
      <c r="D20" s="2">
        <f>SUM(D13:D19)</f>
        <v>1127270</v>
      </c>
      <c r="E20" s="2">
        <f>SUM(E13:E19)</f>
        <v>1552352</v>
      </c>
      <c r="F20" s="2">
        <f t="shared" si="1"/>
        <v>3369129</v>
      </c>
      <c r="G20" s="3"/>
      <c r="J20" s="14" t="s">
        <v>60</v>
      </c>
      <c r="K20" s="14"/>
      <c r="L20" s="14"/>
      <c r="M20" s="14"/>
      <c r="N20" s="14"/>
      <c r="O20" s="14"/>
      <c r="P20" s="14" t="s">
        <v>53</v>
      </c>
      <c r="Q20" s="14" t="s">
        <v>54</v>
      </c>
    </row>
    <row r="21" spans="1:17" x14ac:dyDescent="0.25">
      <c r="A21" t="s">
        <v>47</v>
      </c>
      <c r="J21" t="s">
        <v>14</v>
      </c>
      <c r="K21" s="8">
        <f t="shared" ref="K21:N27" si="10">K13/20</f>
        <v>3604.45</v>
      </c>
      <c r="L21" s="8">
        <f t="shared" si="10"/>
        <v>2331.1999999999998</v>
      </c>
      <c r="M21" s="8">
        <f t="shared" si="10"/>
        <v>1511.2</v>
      </c>
      <c r="N21" s="9">
        <f>N13/20</f>
        <v>80.599999999999994</v>
      </c>
      <c r="O21" s="8">
        <f t="shared" ref="O21:O27" si="11">O13/3</f>
        <v>-2939.3333333333335</v>
      </c>
      <c r="P21" s="14" t="s">
        <v>51</v>
      </c>
      <c r="Q21" s="14" t="s">
        <v>56</v>
      </c>
    </row>
    <row r="22" spans="1:17" x14ac:dyDescent="0.25">
      <c r="A22" s="5" t="s">
        <v>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48</v>
      </c>
      <c r="J22" t="s">
        <v>15</v>
      </c>
      <c r="K22" s="9">
        <f t="shared" si="10"/>
        <v>968.85</v>
      </c>
      <c r="L22" s="9">
        <f t="shared" si="10"/>
        <v>632.65</v>
      </c>
      <c r="M22" s="9">
        <f t="shared" si="10"/>
        <v>296.5</v>
      </c>
      <c r="N22" s="9">
        <f t="shared" si="10"/>
        <v>-241.4</v>
      </c>
      <c r="O22" s="8">
        <f t="shared" si="11"/>
        <v>-2505.6666666666665</v>
      </c>
      <c r="P22" s="14" t="s">
        <v>61</v>
      </c>
      <c r="Q22" s="14" t="s">
        <v>62</v>
      </c>
    </row>
    <row r="23" spans="1:17" x14ac:dyDescent="0.25">
      <c r="A23" s="2" t="s">
        <v>6</v>
      </c>
      <c r="B23" s="2">
        <f>Residential!C2</f>
        <v>0</v>
      </c>
      <c r="C23" s="2">
        <f>Industrial!C2</f>
        <v>0</v>
      </c>
      <c r="D23" s="2">
        <f>Recreation!C2</f>
        <v>0</v>
      </c>
      <c r="E23" s="2">
        <f>Nature!C2</f>
        <v>0</v>
      </c>
      <c r="F23" s="2">
        <f>Agriculture!C2</f>
        <v>0</v>
      </c>
      <c r="G23" s="2">
        <f>BuildingLot!C2</f>
        <v>-15</v>
      </c>
      <c r="H23" s="2">
        <f>SUM(B23:G23)</f>
        <v>-15</v>
      </c>
      <c r="J23" t="s">
        <v>16</v>
      </c>
      <c r="K23" s="8">
        <f t="shared" si="10"/>
        <v>1425.65</v>
      </c>
      <c r="L23" s="8">
        <f t="shared" si="10"/>
        <v>915.75</v>
      </c>
      <c r="M23" s="8">
        <f t="shared" si="10"/>
        <v>587.4</v>
      </c>
      <c r="N23" s="9">
        <f t="shared" si="10"/>
        <v>14.45</v>
      </c>
      <c r="O23" s="8">
        <f t="shared" si="11"/>
        <v>-1296</v>
      </c>
      <c r="P23" s="14" t="s">
        <v>57</v>
      </c>
      <c r="Q23" s="14" t="s">
        <v>58</v>
      </c>
    </row>
    <row r="24" spans="1:17" x14ac:dyDescent="0.25">
      <c r="A24" s="2" t="s">
        <v>7</v>
      </c>
      <c r="B24" s="2">
        <f>Residential!C3</f>
        <v>35178.417894101935</v>
      </c>
      <c r="C24" s="2">
        <f>Industrial!C3</f>
        <v>8564.6583762471237</v>
      </c>
      <c r="D24" s="2">
        <f>Recreation!C3</f>
        <v>16276.728473224881</v>
      </c>
      <c r="E24" s="2">
        <f>Nature!C3</f>
        <v>7934.5605090314539</v>
      </c>
      <c r="F24" s="2">
        <f>Agriculture!C3</f>
        <v>-53530.001361996634</v>
      </c>
      <c r="G24" s="2">
        <f>BuildingLot!C3</f>
        <v>-8287</v>
      </c>
      <c r="H24" s="2">
        <f>SUM(B24:G24)</f>
        <v>6137.3638906087581</v>
      </c>
      <c r="J24" t="s">
        <v>17</v>
      </c>
      <c r="K24" s="9">
        <f t="shared" si="10"/>
        <v>-5132.75</v>
      </c>
      <c r="L24" s="9">
        <f t="shared" si="10"/>
        <v>-5132.75</v>
      </c>
      <c r="M24" s="9">
        <f t="shared" si="10"/>
        <v>367.25</v>
      </c>
      <c r="N24" s="9">
        <f t="shared" si="10"/>
        <v>367.25</v>
      </c>
      <c r="O24" s="8">
        <f t="shared" si="11"/>
        <v>-42261</v>
      </c>
      <c r="P24" s="14" t="s">
        <v>52</v>
      </c>
      <c r="Q24" s="14" t="s">
        <v>63</v>
      </c>
    </row>
    <row r="25" spans="1:17" x14ac:dyDescent="0.25">
      <c r="A25" s="2" t="s">
        <v>8</v>
      </c>
      <c r="B25" s="2">
        <f>Residential!C4</f>
        <v>22640.084259384239</v>
      </c>
      <c r="C25" s="2">
        <f>Industrial!C4</f>
        <v>7786.8225183947834</v>
      </c>
      <c r="D25" s="2">
        <f>Recreation!C4</f>
        <v>8679.5726379710923</v>
      </c>
      <c r="E25" s="2">
        <f>Nature!C4</f>
        <v>14107.958280723678</v>
      </c>
      <c r="F25" s="2">
        <f>Agriculture!C4</f>
        <v>-49002.947188209138</v>
      </c>
      <c r="G25" s="2">
        <f>BuildingLot!C4</f>
        <v>-6079</v>
      </c>
      <c r="H25" s="2">
        <f>SUM(B25:G25)</f>
        <v>-1867.5094917353417</v>
      </c>
      <c r="J25" t="s">
        <v>18</v>
      </c>
      <c r="K25" s="9">
        <f t="shared" si="10"/>
        <v>-701.75</v>
      </c>
      <c r="L25" s="9">
        <f t="shared" si="10"/>
        <v>1417.55</v>
      </c>
      <c r="M25" s="9">
        <f t="shared" si="10"/>
        <v>-2597.9</v>
      </c>
      <c r="N25" s="9">
        <f t="shared" si="10"/>
        <v>-444.35</v>
      </c>
      <c r="O25" s="8">
        <f t="shared" si="11"/>
        <v>41747</v>
      </c>
      <c r="P25" s="14" t="s">
        <v>65</v>
      </c>
      <c r="Q25" s="14" t="s">
        <v>66</v>
      </c>
    </row>
    <row r="26" spans="1:17" x14ac:dyDescent="0.25">
      <c r="A26" s="2" t="s">
        <v>9</v>
      </c>
      <c r="B26" s="2">
        <f>Residential!C5</f>
        <v>14270.497846513825</v>
      </c>
      <c r="C26" s="2">
        <f>Industrial!C5</f>
        <v>7869.769105358092</v>
      </c>
      <c r="D26" s="2">
        <f>Recreation!C5</f>
        <v>3556.698888804031</v>
      </c>
      <c r="E26" s="2">
        <f>Nature!C5</f>
        <v>12957.481210244869</v>
      </c>
      <c r="F26" s="2">
        <f>Agriculture!C5</f>
        <v>-35840.05144979422</v>
      </c>
      <c r="G26" s="2">
        <f>BuildingLot!C5</f>
        <v>-7069</v>
      </c>
      <c r="H26" s="2">
        <f>SUM(B26:G26)</f>
        <v>-4254.6043988734018</v>
      </c>
      <c r="I26" s="2"/>
      <c r="J26" t="s">
        <v>36</v>
      </c>
      <c r="K26" s="9">
        <f t="shared" si="10"/>
        <v>-1072.5</v>
      </c>
      <c r="L26" s="9">
        <f t="shared" si="10"/>
        <v>-1072.5</v>
      </c>
      <c r="M26" s="9">
        <f t="shared" si="10"/>
        <v>-1072.5</v>
      </c>
      <c r="N26" s="9">
        <f t="shared" si="10"/>
        <v>-684.65</v>
      </c>
      <c r="O26" s="8">
        <f t="shared" si="11"/>
        <v>1201</v>
      </c>
      <c r="P26" s="14" t="s">
        <v>64</v>
      </c>
      <c r="Q26" s="14" t="s">
        <v>67</v>
      </c>
    </row>
    <row r="27" spans="1:17" x14ac:dyDescent="0.25">
      <c r="A27" s="2" t="s">
        <v>28</v>
      </c>
      <c r="B27" s="4">
        <f>SUM(B23:B26)</f>
        <v>72089</v>
      </c>
      <c r="C27" s="4">
        <f t="shared" ref="C27:G27" si="12">SUM(C23:C26)</f>
        <v>24221.25</v>
      </c>
      <c r="D27" s="4">
        <f t="shared" si="12"/>
        <v>28513.000000000004</v>
      </c>
      <c r="E27" s="4">
        <f t="shared" si="12"/>
        <v>35000</v>
      </c>
      <c r="F27" s="4">
        <f t="shared" si="12"/>
        <v>-138373</v>
      </c>
      <c r="G27" s="4">
        <f t="shared" si="12"/>
        <v>-21450</v>
      </c>
      <c r="H27" s="4">
        <f>SUM(H23:H26)</f>
        <v>0.25000000001455192</v>
      </c>
      <c r="I27" s="2"/>
      <c r="J27" t="s">
        <v>23</v>
      </c>
      <c r="K27" s="8">
        <f t="shared" si="10"/>
        <v>0</v>
      </c>
      <c r="L27" s="8">
        <f t="shared" si="10"/>
        <v>0</v>
      </c>
      <c r="M27" s="8">
        <f t="shared" si="10"/>
        <v>0</v>
      </c>
      <c r="N27" s="8">
        <f t="shared" si="10"/>
        <v>0</v>
      </c>
      <c r="O27" s="8">
        <f t="shared" si="11"/>
        <v>0</v>
      </c>
    </row>
    <row r="28" spans="1:17" x14ac:dyDescent="0.25">
      <c r="A28" s="2"/>
      <c r="B28" s="8"/>
      <c r="C28" s="8"/>
      <c r="D28" s="8"/>
      <c r="E28" s="8"/>
      <c r="F28" s="8"/>
      <c r="I28" s="2"/>
      <c r="K28" s="7">
        <f>K22*1.25</f>
        <v>1211.0625</v>
      </c>
      <c r="L28" s="7">
        <f t="shared" ref="L28:N28" si="13">L22*1.25</f>
        <v>790.8125</v>
      </c>
      <c r="M28" s="7">
        <f t="shared" si="13"/>
        <v>370.625</v>
      </c>
      <c r="N28" s="7">
        <f t="shared" si="13"/>
        <v>-301.75</v>
      </c>
    </row>
    <row r="29" spans="1:17" x14ac:dyDescent="0.25">
      <c r="A29" t="s">
        <v>55</v>
      </c>
      <c r="I29" s="2"/>
      <c r="J29" t="s">
        <v>50</v>
      </c>
    </row>
    <row r="30" spans="1:17" x14ac:dyDescent="0.25">
      <c r="A30" t="str">
        <f>'claims oude versies'!K15</f>
        <v>Residential</v>
      </c>
      <c r="B30">
        <f>'claims oude versies'!L15</f>
        <v>80907</v>
      </c>
      <c r="C30">
        <f>'claims oude versies'!M15</f>
        <v>55442</v>
      </c>
      <c r="D30">
        <f>'claims oude versies'!N15</f>
        <v>39042</v>
      </c>
      <c r="E30">
        <f>'claims oude versies'!O15</f>
        <v>10430</v>
      </c>
      <c r="I30" s="4"/>
      <c r="J30" s="4" t="str">
        <f>'claims oude versies'!K25</f>
        <v>Residential</v>
      </c>
      <c r="K30" s="4">
        <f t="shared" ref="K30:K35" si="14">B30/23</f>
        <v>3517.695652173913</v>
      </c>
      <c r="L30" s="4">
        <f t="shared" ref="L30" si="15">C30/23</f>
        <v>2410.521739130435</v>
      </c>
      <c r="M30" s="4">
        <f t="shared" ref="M30:M35" si="16">D30/23</f>
        <v>1697.4782608695652</v>
      </c>
      <c r="N30" s="4">
        <f t="shared" ref="N30:N35" si="17">E30/23</f>
        <v>453.47826086956519</v>
      </c>
    </row>
    <row r="31" spans="1:17" x14ac:dyDescent="0.25">
      <c r="A31" t="str">
        <f>'claims oude versies'!K16</f>
        <v>Industrial</v>
      </c>
      <c r="B31">
        <f>'claims oude versies'!L16</f>
        <v>26894</v>
      </c>
      <c r="C31">
        <f>'claims oude versies'!M16</f>
        <v>20170</v>
      </c>
      <c r="D31">
        <f>'claims oude versies'!N16</f>
        <v>13447</v>
      </c>
      <c r="E31">
        <f>'claims oude versies'!O16</f>
        <v>2689</v>
      </c>
      <c r="J31" s="4" t="str">
        <f>'claims oude versies'!K26</f>
        <v>Industrial</v>
      </c>
      <c r="K31" s="4">
        <f t="shared" si="14"/>
        <v>1169.304347826087</v>
      </c>
      <c r="L31" s="4">
        <f>C31/23</f>
        <v>876.95652173913038</v>
      </c>
      <c r="M31" s="4">
        <f t="shared" si="16"/>
        <v>584.6521739130435</v>
      </c>
      <c r="N31" s="4">
        <f t="shared" si="17"/>
        <v>116.91304347826087</v>
      </c>
    </row>
    <row r="32" spans="1:17" x14ac:dyDescent="0.25">
      <c r="A32" t="str">
        <f>'claims oude versies'!K17</f>
        <v>Recreation</v>
      </c>
      <c r="B32">
        <f>'claims oude versies'!L17</f>
        <v>32401</v>
      </c>
      <c r="C32">
        <f>'claims oude versies'!M17</f>
        <v>22203</v>
      </c>
      <c r="D32">
        <f>'claims oude versies'!N17</f>
        <v>15636</v>
      </c>
      <c r="E32">
        <f>'claims oude versies'!O17</f>
        <v>4177</v>
      </c>
      <c r="J32" s="4" t="str">
        <f>'claims oude versies'!K27</f>
        <v>Recreation</v>
      </c>
      <c r="K32" s="4">
        <f t="shared" si="14"/>
        <v>1408.7391304347825</v>
      </c>
      <c r="L32" s="4">
        <f t="shared" ref="L32:L35" si="18">C32/23</f>
        <v>965.3478260869565</v>
      </c>
      <c r="M32" s="4">
        <f t="shared" si="16"/>
        <v>679.82608695652175</v>
      </c>
      <c r="N32" s="4">
        <f t="shared" si="17"/>
        <v>181.60869565217391</v>
      </c>
    </row>
    <row r="33" spans="1:16" x14ac:dyDescent="0.25">
      <c r="A33" t="str">
        <f>'claims oude versies'!K18</f>
        <v>Agriculture</v>
      </c>
      <c r="B33">
        <f>'claims oude versies'!L18</f>
        <v>-139276</v>
      </c>
      <c r="C33">
        <f>'claims oude versies'!M18</f>
        <v>-96890</v>
      </c>
      <c r="D33">
        <f>'claims oude versies'!N18</f>
        <v>-177199</v>
      </c>
      <c r="E33">
        <f>'claims oude versies'!O18</f>
        <v>-134128</v>
      </c>
      <c r="J33" s="4" t="str">
        <f>'claims oude versies'!K28</f>
        <v>Agriculture</v>
      </c>
      <c r="K33" s="4">
        <f t="shared" si="14"/>
        <v>-6055.478260869565</v>
      </c>
      <c r="L33" s="4">
        <f t="shared" si="18"/>
        <v>-4212.608695652174</v>
      </c>
      <c r="M33" s="4">
        <f t="shared" si="16"/>
        <v>-7704.304347826087</v>
      </c>
      <c r="N33" s="4">
        <f t="shared" si="17"/>
        <v>-5831.652173913043</v>
      </c>
    </row>
    <row r="34" spans="1:16" x14ac:dyDescent="0.25">
      <c r="A34" t="str">
        <f>'claims oude versies'!K19</f>
        <v>Nature</v>
      </c>
      <c r="B34">
        <f>'claims oude versies'!L19</f>
        <v>24128</v>
      </c>
      <c r="C34">
        <f>'claims oude versies'!M19</f>
        <v>24128</v>
      </c>
      <c r="D34">
        <f>'claims oude versies'!N19</f>
        <v>134128</v>
      </c>
      <c r="E34">
        <f>'claims oude versies'!O19</f>
        <v>134128</v>
      </c>
      <c r="J34" s="4" t="str">
        <f>'claims oude versies'!K29</f>
        <v>Nature</v>
      </c>
      <c r="K34" s="4">
        <f t="shared" si="14"/>
        <v>1049.0434782608695</v>
      </c>
      <c r="L34" s="4">
        <f t="shared" si="18"/>
        <v>1049.0434782608695</v>
      </c>
      <c r="M34" s="4">
        <f t="shared" si="16"/>
        <v>5831.652173913043</v>
      </c>
      <c r="N34" s="4">
        <f t="shared" si="17"/>
        <v>5831.652173913043</v>
      </c>
    </row>
    <row r="35" spans="1:16" x14ac:dyDescent="0.25">
      <c r="A35" t="str">
        <f>'claims oude versies'!K20</f>
        <v>Building lot</v>
      </c>
      <c r="B35">
        <f>'claims oude versies'!L20</f>
        <v>-25053</v>
      </c>
      <c r="C35">
        <f>'claims oude versies'!M20</f>
        <v>-25053</v>
      </c>
      <c r="D35">
        <f>'claims oude versies'!N20</f>
        <v>-25053</v>
      </c>
      <c r="E35">
        <f>'claims oude versies'!O20</f>
        <v>-17296</v>
      </c>
      <c r="J35" s="4" t="str">
        <f>'claims oude versies'!K30</f>
        <v>Building lot</v>
      </c>
      <c r="K35" s="4">
        <f t="shared" si="14"/>
        <v>-1089.2608695652175</v>
      </c>
      <c r="L35" s="4">
        <f t="shared" si="18"/>
        <v>-1089.2608695652175</v>
      </c>
      <c r="M35" s="4">
        <f t="shared" si="16"/>
        <v>-1089.2608695652175</v>
      </c>
      <c r="N35" s="4">
        <f t="shared" si="17"/>
        <v>-752</v>
      </c>
    </row>
    <row r="36" spans="1:16" x14ac:dyDescent="0.25">
      <c r="J36" s="4" t="str">
        <f>'claims oude versies'!K31</f>
        <v>Infrastructure</v>
      </c>
      <c r="K36" s="4">
        <f>'claims oude versies'!L31</f>
        <v>0</v>
      </c>
      <c r="L36" s="4">
        <f>'claims oude versies'!M31</f>
        <v>0</v>
      </c>
      <c r="M36" s="4">
        <f>'claims oude versies'!N31</f>
        <v>0</v>
      </c>
      <c r="N36" s="4">
        <f>'claims oude versies'!O31</f>
        <v>0</v>
      </c>
    </row>
    <row r="38" spans="1:16" x14ac:dyDescent="0.25">
      <c r="J38" s="13" t="s">
        <v>59</v>
      </c>
      <c r="K38" s="13" t="s">
        <v>31</v>
      </c>
      <c r="L38" s="13" t="s">
        <v>32</v>
      </c>
      <c r="M38" s="13" t="s">
        <v>33</v>
      </c>
      <c r="N38" s="13" t="s">
        <v>34</v>
      </c>
      <c r="P38" s="15" t="s">
        <v>71</v>
      </c>
    </row>
    <row r="39" spans="1:16" x14ac:dyDescent="0.25">
      <c r="J39" s="11" t="s">
        <v>14</v>
      </c>
      <c r="K39" s="10">
        <f>K13</f>
        <v>72089</v>
      </c>
      <c r="L39" s="10">
        <f t="shared" ref="L39:M39" si="19">L13</f>
        <v>46624</v>
      </c>
      <c r="M39" s="10">
        <f t="shared" si="19"/>
        <v>30224</v>
      </c>
      <c r="N39" s="12">
        <f>M39/3</f>
        <v>10074.666666666666</v>
      </c>
      <c r="P39" t="s">
        <v>68</v>
      </c>
    </row>
    <row r="40" spans="1:16" x14ac:dyDescent="0.25">
      <c r="J40" s="11" t="s">
        <v>15</v>
      </c>
      <c r="K40" s="12">
        <f>K14*1.25</f>
        <v>24221.25</v>
      </c>
      <c r="L40" s="12">
        <f>L14*1.25</f>
        <v>15816.25</v>
      </c>
      <c r="M40" s="12">
        <f>M14*1.25</f>
        <v>7412.5</v>
      </c>
      <c r="N40" s="12">
        <f>M40</f>
        <v>7412.5</v>
      </c>
      <c r="P40" t="s">
        <v>69</v>
      </c>
    </row>
    <row r="41" spans="1:16" x14ac:dyDescent="0.25">
      <c r="J41" s="11" t="s">
        <v>16</v>
      </c>
      <c r="K41" s="10">
        <f t="shared" ref="K41:M41" si="20">K15</f>
        <v>28513</v>
      </c>
      <c r="L41" s="10">
        <f t="shared" si="20"/>
        <v>18315</v>
      </c>
      <c r="M41" s="10">
        <f t="shared" si="20"/>
        <v>11748</v>
      </c>
      <c r="N41" s="12">
        <f>M41/3</f>
        <v>3916</v>
      </c>
      <c r="P41" t="s">
        <v>70</v>
      </c>
    </row>
    <row r="42" spans="1:16" x14ac:dyDescent="0.25">
      <c r="J42" s="11" t="s">
        <v>17</v>
      </c>
      <c r="K42" s="12">
        <v>35000</v>
      </c>
      <c r="L42" s="12">
        <v>35000</v>
      </c>
      <c r="M42" s="12">
        <v>71000</v>
      </c>
      <c r="N42" s="12">
        <v>71000</v>
      </c>
    </row>
    <row r="43" spans="1:16" x14ac:dyDescent="0.25">
      <c r="J43" s="11" t="s">
        <v>18</v>
      </c>
      <c r="K43" s="10">
        <v>-138373</v>
      </c>
      <c r="L43" s="10">
        <v>-94305</v>
      </c>
      <c r="M43" s="10">
        <v>-98934</v>
      </c>
      <c r="N43" s="10">
        <v>-70953</v>
      </c>
    </row>
    <row r="44" spans="1:16" x14ac:dyDescent="0.25">
      <c r="J44" s="11" t="s">
        <v>36</v>
      </c>
      <c r="K44" s="12">
        <f t="shared" ref="K44:M44" si="21">K18</f>
        <v>-21450</v>
      </c>
      <c r="L44" s="12">
        <f t="shared" si="21"/>
        <v>-21450</v>
      </c>
      <c r="M44" s="12">
        <f t="shared" si="21"/>
        <v>-21450</v>
      </c>
      <c r="N44" s="12">
        <f>M44</f>
        <v>-21450</v>
      </c>
    </row>
    <row r="45" spans="1:16" x14ac:dyDescent="0.25">
      <c r="J45" s="11" t="s">
        <v>48</v>
      </c>
      <c r="K45" s="10">
        <f>SUM(K39:K44)</f>
        <v>0.25</v>
      </c>
      <c r="L45" s="10">
        <f t="shared" ref="L45:N45" si="22">SUM(L39:L44)</f>
        <v>0.25</v>
      </c>
      <c r="M45" s="10">
        <f t="shared" si="22"/>
        <v>0.5</v>
      </c>
      <c r="N45" s="10">
        <f t="shared" si="22"/>
        <v>0.16666666665696539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4A2E-EB29-4C85-9E50-0A037FD01F17}">
  <dimension ref="B1:AA34"/>
  <sheetViews>
    <sheetView workbookViewId="0">
      <selection activeCell="C17" sqref="C17:F20"/>
    </sheetView>
  </sheetViews>
  <sheetFormatPr defaultRowHeight="15" x14ac:dyDescent="0.25"/>
  <cols>
    <col min="1" max="1" width="3.140625" customWidth="1"/>
    <col min="2" max="2" width="21.85546875" bestFit="1" customWidth="1"/>
    <col min="3" max="9" width="10.140625" bestFit="1" customWidth="1"/>
    <col min="10" max="10" width="9.42578125" bestFit="1" customWidth="1"/>
    <col min="11" max="13" width="10.140625" bestFit="1" customWidth="1"/>
    <col min="14" max="14" width="9.42578125" bestFit="1" customWidth="1"/>
    <col min="15" max="16" width="10.140625" bestFit="1" customWidth="1"/>
    <col min="17" max="18" width="11.140625" bestFit="1" customWidth="1"/>
    <col min="19" max="22" width="10.7109375" bestFit="1" customWidth="1"/>
    <col min="23" max="23" width="11.85546875" bestFit="1" customWidth="1"/>
    <col min="24" max="24" width="10.85546875" bestFit="1" customWidth="1"/>
    <col min="25" max="26" width="11.85546875" bestFit="1" customWidth="1"/>
    <col min="27" max="27" width="10.5703125" bestFit="1" customWidth="1"/>
  </cols>
  <sheetData>
    <row r="1" spans="2:26" x14ac:dyDescent="0.25">
      <c r="B1" s="5" t="s">
        <v>73</v>
      </c>
      <c r="C1" t="s">
        <v>74</v>
      </c>
    </row>
    <row r="2" spans="2:26" x14ac:dyDescent="0.25">
      <c r="C2" s="18" t="s">
        <v>14</v>
      </c>
      <c r="D2" s="18"/>
      <c r="E2" s="18"/>
      <c r="F2" s="18"/>
      <c r="G2" s="19" t="s">
        <v>15</v>
      </c>
      <c r="H2" s="19"/>
      <c r="I2" s="19"/>
      <c r="J2" s="19"/>
      <c r="K2" s="20" t="s">
        <v>16</v>
      </c>
      <c r="L2" s="20"/>
      <c r="M2" s="20"/>
      <c r="N2" s="21"/>
      <c r="O2" s="22" t="s">
        <v>17</v>
      </c>
      <c r="P2" s="23"/>
      <c r="Q2" s="23"/>
      <c r="R2" s="24"/>
      <c r="S2" s="25" t="s">
        <v>72</v>
      </c>
      <c r="T2" s="26"/>
      <c r="U2" s="26"/>
      <c r="V2" s="26"/>
      <c r="W2" s="17" t="s">
        <v>18</v>
      </c>
      <c r="X2" s="17"/>
      <c r="Y2" s="17"/>
      <c r="Z2" s="17"/>
    </row>
    <row r="3" spans="2:26" s="16" customFormat="1" x14ac:dyDescent="0.25"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2</v>
      </c>
      <c r="H3" s="16" t="s">
        <v>3</v>
      </c>
      <c r="I3" s="16" t="s">
        <v>4</v>
      </c>
      <c r="J3" s="16" t="s">
        <v>5</v>
      </c>
      <c r="K3" s="16" t="s">
        <v>2</v>
      </c>
      <c r="L3" s="16" t="s">
        <v>3</v>
      </c>
      <c r="M3" s="16" t="s">
        <v>4</v>
      </c>
      <c r="N3" s="16" t="s">
        <v>5</v>
      </c>
      <c r="O3" s="16" t="s">
        <v>2</v>
      </c>
      <c r="P3" s="16" t="s">
        <v>3</v>
      </c>
      <c r="Q3" s="16" t="s">
        <v>4</v>
      </c>
      <c r="R3" s="16" t="s">
        <v>5</v>
      </c>
      <c r="S3" s="16" t="s">
        <v>2</v>
      </c>
      <c r="T3" s="16" t="s">
        <v>3</v>
      </c>
      <c r="U3" s="16" t="s">
        <v>4</v>
      </c>
      <c r="V3" s="16" t="s">
        <v>5</v>
      </c>
      <c r="W3" s="16" t="s">
        <v>2</v>
      </c>
      <c r="X3" s="16" t="s">
        <v>3</v>
      </c>
      <c r="Y3" s="16" t="s">
        <v>4</v>
      </c>
      <c r="Z3" s="16" t="s">
        <v>5</v>
      </c>
    </row>
    <row r="4" spans="2:26" x14ac:dyDescent="0.25">
      <c r="B4" t="s">
        <v>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-15</v>
      </c>
      <c r="T4" s="2">
        <v>-15</v>
      </c>
      <c r="U4" s="2">
        <v>-15</v>
      </c>
      <c r="V4" s="2">
        <v>-15</v>
      </c>
      <c r="W4" s="2">
        <v>0</v>
      </c>
      <c r="X4" s="2">
        <v>0</v>
      </c>
      <c r="Y4" s="2">
        <v>0</v>
      </c>
      <c r="Z4" s="2">
        <v>0</v>
      </c>
    </row>
    <row r="5" spans="2:26" x14ac:dyDescent="0.25">
      <c r="B5" t="s">
        <v>7</v>
      </c>
      <c r="C5" s="2">
        <v>39481.46516</v>
      </c>
      <c r="D5" s="2">
        <v>26902.140960000001</v>
      </c>
      <c r="E5" s="2">
        <v>20722.641490000002</v>
      </c>
      <c r="F5" s="2">
        <v>5381.1160040000004</v>
      </c>
      <c r="G5" s="2">
        <v>9509.7101060000005</v>
      </c>
      <c r="H5" s="2">
        <v>4073.6000300000001</v>
      </c>
      <c r="I5" s="2">
        <v>5186.4444299999996</v>
      </c>
      <c r="J5" s="2">
        <v>1037.1384640000001</v>
      </c>
      <c r="K5" s="2">
        <v>18496.155289999999</v>
      </c>
      <c r="L5" s="2">
        <v>16315.21853</v>
      </c>
      <c r="M5" s="2">
        <v>11128.204040000001</v>
      </c>
      <c r="N5" s="2">
        <v>8318.2022369999995</v>
      </c>
      <c r="O5" s="2">
        <v>5469.8989860000001</v>
      </c>
      <c r="P5" s="2">
        <v>5369.8962549999997</v>
      </c>
      <c r="Q5" s="2">
        <v>29729.124210000002</v>
      </c>
      <c r="R5" s="2">
        <v>23661.170399999999</v>
      </c>
      <c r="S5" s="2">
        <v>-8287</v>
      </c>
      <c r="T5" s="2">
        <v>-8287</v>
      </c>
      <c r="U5" s="2">
        <v>-8287</v>
      </c>
      <c r="V5" s="2">
        <v>-8287</v>
      </c>
      <c r="W5" s="2">
        <v>-53879.590020000003</v>
      </c>
      <c r="X5" s="2">
        <v>-33772.305769999999</v>
      </c>
      <c r="Y5" s="2">
        <v>-62509.617230000003</v>
      </c>
      <c r="Z5" s="2">
        <v>-32963.270989999997</v>
      </c>
    </row>
    <row r="6" spans="2:26" x14ac:dyDescent="0.25">
      <c r="B6" t="s">
        <v>8</v>
      </c>
      <c r="C6" s="2">
        <v>25409.434290000001</v>
      </c>
      <c r="D6" s="2">
        <v>17430.206300000002</v>
      </c>
      <c r="E6" s="2">
        <v>11185.06832</v>
      </c>
      <c r="F6" s="2">
        <v>5048.7579960000003</v>
      </c>
      <c r="G6" s="2">
        <v>8646.0453579999994</v>
      </c>
      <c r="H6" s="2">
        <v>7401.298366</v>
      </c>
      <c r="I6" s="2">
        <v>3662.409506</v>
      </c>
      <c r="J6" s="2">
        <v>732.37568090000002</v>
      </c>
      <c r="K6" s="2">
        <v>9863.0829670000003</v>
      </c>
      <c r="L6" s="2">
        <v>5887.6487660000003</v>
      </c>
      <c r="M6" s="2">
        <v>3881.095918</v>
      </c>
      <c r="N6" s="2">
        <v>1436.384988</v>
      </c>
      <c r="O6" s="2">
        <v>9725.693894</v>
      </c>
      <c r="P6" s="2">
        <v>10382.77571</v>
      </c>
      <c r="Q6" s="2">
        <v>57504.258099999999</v>
      </c>
      <c r="R6" s="2">
        <v>59655.787060000002</v>
      </c>
      <c r="S6" s="2">
        <v>-6079</v>
      </c>
      <c r="T6" s="2">
        <v>-6079</v>
      </c>
      <c r="U6" s="2">
        <v>-6079</v>
      </c>
      <c r="V6" s="2">
        <v>-6079</v>
      </c>
      <c r="W6" s="2">
        <v>-49322.970990000002</v>
      </c>
      <c r="X6" s="2">
        <v>-38337.016839999997</v>
      </c>
      <c r="Y6" s="2">
        <v>-66945.858829999997</v>
      </c>
      <c r="Z6" s="2">
        <v>-62626.681340000003</v>
      </c>
    </row>
    <row r="7" spans="2:26" x14ac:dyDescent="0.25">
      <c r="B7" t="s">
        <v>9</v>
      </c>
      <c r="C7" s="2">
        <v>16016.074549999999</v>
      </c>
      <c r="D7" s="2">
        <v>11109.509099999999</v>
      </c>
      <c r="E7" s="2">
        <v>7134.2641910000002</v>
      </c>
      <c r="F7" s="2">
        <v>0</v>
      </c>
      <c r="G7" s="2">
        <v>8738.1445359999998</v>
      </c>
      <c r="H7" s="2">
        <v>8695.5266040000006</v>
      </c>
      <c r="I7" s="2">
        <v>4598.0960640000003</v>
      </c>
      <c r="J7" s="2">
        <v>919.48585490000005</v>
      </c>
      <c r="K7" s="2">
        <v>4041.6755170000001</v>
      </c>
      <c r="L7" s="2">
        <v>0</v>
      </c>
      <c r="M7" s="2">
        <v>625.88661030000003</v>
      </c>
      <c r="N7" s="2">
        <v>0</v>
      </c>
      <c r="O7" s="2">
        <v>8932.5821199999991</v>
      </c>
      <c r="P7" s="2">
        <v>8375.5030360000001</v>
      </c>
      <c r="Q7" s="2">
        <v>46894.792690000002</v>
      </c>
      <c r="R7" s="2">
        <v>50811.217539999998</v>
      </c>
      <c r="S7" s="2">
        <v>-7069</v>
      </c>
      <c r="T7" s="2">
        <v>-7069</v>
      </c>
      <c r="U7" s="2">
        <v>-7069</v>
      </c>
      <c r="V7" s="2">
        <v>-7069</v>
      </c>
      <c r="W7" s="2">
        <v>-36074.112260000002</v>
      </c>
      <c r="X7" s="2">
        <v>-24780.71153</v>
      </c>
      <c r="Y7" s="2">
        <v>-47743.52001</v>
      </c>
      <c r="Z7" s="2">
        <v>-50286.684399999998</v>
      </c>
    </row>
    <row r="8" spans="2:26" ht="15.75" customHeight="1" x14ac:dyDescent="0.25">
      <c r="B8" t="s">
        <v>75</v>
      </c>
      <c r="C8" s="2">
        <f t="shared" ref="C8:R8" si="0">SUM(C5:C7)</f>
        <v>80906.974000000002</v>
      </c>
      <c r="D8" s="2">
        <f t="shared" si="0"/>
        <v>55441.856360000005</v>
      </c>
      <c r="E8" s="2">
        <f t="shared" si="0"/>
        <v>39041.974001000002</v>
      </c>
      <c r="F8" s="2">
        <f t="shared" si="0"/>
        <v>10429.874</v>
      </c>
      <c r="G8" s="2">
        <f t="shared" si="0"/>
        <v>26893.9</v>
      </c>
      <c r="H8" s="2">
        <f t="shared" si="0"/>
        <v>20170.425000000003</v>
      </c>
      <c r="I8" s="2">
        <f t="shared" si="0"/>
        <v>13446.95</v>
      </c>
      <c r="J8" s="2">
        <f t="shared" si="0"/>
        <v>2688.9999998000003</v>
      </c>
      <c r="K8" s="2">
        <f t="shared" si="0"/>
        <v>32400.913773999997</v>
      </c>
      <c r="L8" s="2">
        <f t="shared" si="0"/>
        <v>22202.867296</v>
      </c>
      <c r="M8" s="2">
        <f t="shared" si="0"/>
        <v>15635.1865683</v>
      </c>
      <c r="N8" s="2">
        <f t="shared" si="0"/>
        <v>9754.5872249999993</v>
      </c>
      <c r="O8" s="2">
        <f t="shared" si="0"/>
        <v>24128.174999999999</v>
      </c>
      <c r="P8" s="2">
        <f t="shared" si="0"/>
        <v>24128.175001</v>
      </c>
      <c r="Q8" s="2">
        <f t="shared" si="0"/>
        <v>134128.17499999999</v>
      </c>
      <c r="R8" s="2">
        <f t="shared" si="0"/>
        <v>134128.17499999999</v>
      </c>
      <c r="S8" s="2"/>
      <c r="T8" s="2"/>
      <c r="U8" s="2"/>
      <c r="V8" s="2"/>
      <c r="W8" s="2">
        <f>SUM(W5:W7)</f>
        <v>-139276.67327</v>
      </c>
      <c r="X8" s="2">
        <f>SUM(X5:X7)</f>
        <v>-96890.034140000003</v>
      </c>
      <c r="Y8" s="2">
        <f>SUM(Y5:Y7)</f>
        <v>-177198.99606999999</v>
      </c>
      <c r="Z8" s="2">
        <f>SUM(Z5:Z7)</f>
        <v>-145876.63673</v>
      </c>
    </row>
    <row r="9" spans="2:26" ht="15.75" customHeight="1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2:26" ht="15.75" customHeight="1" x14ac:dyDescent="0.25">
      <c r="B10" t="s">
        <v>76</v>
      </c>
      <c r="C10" s="3">
        <f t="shared" ref="C10:R10" si="1">C5/C8</f>
        <v>0.48798593258474848</v>
      </c>
      <c r="D10" s="3">
        <f t="shared" si="1"/>
        <v>0.48523160525716563</v>
      </c>
      <c r="E10" s="3">
        <f t="shared" si="1"/>
        <v>0.53077852798808844</v>
      </c>
      <c r="F10" s="3">
        <f t="shared" si="1"/>
        <v>0.51593298289126033</v>
      </c>
      <c r="G10" s="3">
        <f t="shared" si="1"/>
        <v>0.35360100639922065</v>
      </c>
      <c r="H10" s="3">
        <f t="shared" si="1"/>
        <v>0.2019590578780566</v>
      </c>
      <c r="I10" s="3">
        <f t="shared" si="1"/>
        <v>0.38569671412476431</v>
      </c>
      <c r="J10" s="3">
        <f t="shared" si="1"/>
        <v>0.38569671404876882</v>
      </c>
      <c r="K10" s="3">
        <f t="shared" si="1"/>
        <v>0.57085289072440226</v>
      </c>
      <c r="L10" s="3">
        <f t="shared" si="1"/>
        <v>0.73482484548017357</v>
      </c>
      <c r="M10" s="3">
        <f t="shared" si="1"/>
        <v>0.71174104583837794</v>
      </c>
      <c r="N10" s="3">
        <f t="shared" si="1"/>
        <v>0.85274774269087539</v>
      </c>
      <c r="O10" s="3">
        <f t="shared" si="1"/>
        <v>0.22670172882947012</v>
      </c>
      <c r="P10" s="3">
        <f t="shared" si="1"/>
        <v>0.22255708335907887</v>
      </c>
      <c r="Q10" s="3">
        <f t="shared" si="1"/>
        <v>0.22164712380527063</v>
      </c>
      <c r="R10" s="3">
        <f t="shared" si="1"/>
        <v>0.1764071597932351</v>
      </c>
      <c r="W10" s="3">
        <f>W5/W8</f>
        <v>0.38685293635316598</v>
      </c>
      <c r="X10" s="3">
        <f>X5/X8</f>
        <v>0.348563255960888</v>
      </c>
      <c r="Y10" s="3">
        <f>Y5/Y8</f>
        <v>0.35276507551603992</v>
      </c>
      <c r="Z10" s="3">
        <f>Z5/Z8</f>
        <v>0.22596676019485576</v>
      </c>
    </row>
    <row r="11" spans="2:26" x14ac:dyDescent="0.25">
      <c r="B11" t="s">
        <v>77</v>
      </c>
      <c r="C11" s="3">
        <f t="shared" ref="C11:R11" si="2">C6/C8</f>
        <v>0.31405740486598843</v>
      </c>
      <c r="D11" s="3">
        <f t="shared" si="2"/>
        <v>0.31438713355520842</v>
      </c>
      <c r="E11" s="3">
        <f t="shared" si="2"/>
        <v>0.28648828872519383</v>
      </c>
      <c r="F11" s="3">
        <f t="shared" si="2"/>
        <v>0.48406701710873978</v>
      </c>
      <c r="G11" s="3">
        <f t="shared" si="2"/>
        <v>0.3214872278843901</v>
      </c>
      <c r="H11" s="3">
        <f t="shared" si="2"/>
        <v>0.36693814661813018</v>
      </c>
      <c r="I11" s="3">
        <f t="shared" si="2"/>
        <v>0.27235986643811422</v>
      </c>
      <c r="J11" s="3">
        <f t="shared" si="2"/>
        <v>0.27235986647618887</v>
      </c>
      <c r="K11" s="3">
        <f t="shared" si="2"/>
        <v>0.30440755578055945</v>
      </c>
      <c r="L11" s="3">
        <f t="shared" si="2"/>
        <v>0.26517515451982637</v>
      </c>
      <c r="M11" s="3">
        <f t="shared" si="2"/>
        <v>0.2482283086962862</v>
      </c>
      <c r="N11" s="3">
        <f t="shared" si="2"/>
        <v>0.14725225730912464</v>
      </c>
      <c r="O11" s="3">
        <f t="shared" si="2"/>
        <v>0.4030845223063908</v>
      </c>
      <c r="P11" s="3">
        <f t="shared" si="2"/>
        <v>0.43031749021920151</v>
      </c>
      <c r="Q11" s="3">
        <f t="shared" si="2"/>
        <v>0.42872616510289507</v>
      </c>
      <c r="R11" s="3">
        <f t="shared" si="2"/>
        <v>0.4447670078266554</v>
      </c>
      <c r="W11" s="3">
        <f>W6/W8</f>
        <v>0.35413662483439068</v>
      </c>
      <c r="X11" s="3">
        <f>X6/X8</f>
        <v>0.395675542694158</v>
      </c>
      <c r="Y11" s="3">
        <f>Y6/Y8</f>
        <v>0.37780044083068037</v>
      </c>
      <c r="Z11" s="3">
        <f>Z6/Z8</f>
        <v>0.42931262156745781</v>
      </c>
    </row>
    <row r="12" spans="2:26" x14ac:dyDescent="0.25">
      <c r="B12" t="s">
        <v>78</v>
      </c>
      <c r="C12" s="3">
        <f t="shared" ref="C12:R12" si="3">C7/C8</f>
        <v>0.19795666254926306</v>
      </c>
      <c r="D12" s="3">
        <f t="shared" si="3"/>
        <v>0.20038126118762589</v>
      </c>
      <c r="E12" s="3">
        <f t="shared" si="3"/>
        <v>0.1827331832867177</v>
      </c>
      <c r="F12" s="3">
        <f t="shared" si="3"/>
        <v>0</v>
      </c>
      <c r="G12" s="3">
        <f t="shared" si="3"/>
        <v>0.32491176571638919</v>
      </c>
      <c r="H12" s="3">
        <f t="shared" si="3"/>
        <v>0.43110279550381309</v>
      </c>
      <c r="I12" s="3">
        <f t="shared" si="3"/>
        <v>0.34194341943712142</v>
      </c>
      <c r="J12" s="3">
        <f t="shared" si="3"/>
        <v>0.34194341947504225</v>
      </c>
      <c r="K12" s="3">
        <f t="shared" si="3"/>
        <v>0.12473955349503843</v>
      </c>
      <c r="L12" s="3">
        <f t="shared" si="3"/>
        <v>0</v>
      </c>
      <c r="M12" s="3">
        <f t="shared" si="3"/>
        <v>4.0030645465335954E-2</v>
      </c>
      <c r="N12" s="3">
        <f t="shared" si="3"/>
        <v>0</v>
      </c>
      <c r="O12" s="3">
        <f t="shared" si="3"/>
        <v>0.3702137488641391</v>
      </c>
      <c r="P12" s="3">
        <f t="shared" si="3"/>
        <v>0.34712542642171962</v>
      </c>
      <c r="Q12" s="3">
        <f t="shared" si="3"/>
        <v>0.34962671109183441</v>
      </c>
      <c r="R12" s="3">
        <f t="shared" si="3"/>
        <v>0.37882583238010958</v>
      </c>
      <c r="W12" s="3">
        <f>W7/W8</f>
        <v>0.25901043881244334</v>
      </c>
      <c r="X12" s="3">
        <f>X7/X8</f>
        <v>0.25576120134495395</v>
      </c>
      <c r="Y12" s="3">
        <f>Y7/Y8</f>
        <v>0.26943448365327977</v>
      </c>
      <c r="Z12" s="3">
        <f>Z7/Z8</f>
        <v>0.34472061823768646</v>
      </c>
    </row>
    <row r="14" spans="2:26" x14ac:dyDescent="0.25">
      <c r="B14" s="5" t="s">
        <v>79</v>
      </c>
      <c r="C14" t="s">
        <v>74</v>
      </c>
    </row>
    <row r="15" spans="2:26" x14ac:dyDescent="0.25">
      <c r="C15" s="18" t="s">
        <v>14</v>
      </c>
      <c r="D15" s="18"/>
      <c r="E15" s="18"/>
      <c r="F15" s="18"/>
      <c r="G15" s="19" t="s">
        <v>15</v>
      </c>
      <c r="H15" s="19"/>
      <c r="I15" s="19"/>
      <c r="J15" s="19"/>
      <c r="K15" s="20" t="s">
        <v>16</v>
      </c>
      <c r="L15" s="20"/>
      <c r="M15" s="20"/>
      <c r="N15" s="21"/>
      <c r="O15" s="22" t="s">
        <v>17</v>
      </c>
      <c r="P15" s="23"/>
      <c r="Q15" s="23"/>
      <c r="R15" s="24"/>
      <c r="S15" s="25" t="s">
        <v>72</v>
      </c>
      <c r="T15" s="26"/>
      <c r="U15" s="26"/>
      <c r="V15" s="26"/>
      <c r="W15" s="17" t="s">
        <v>18</v>
      </c>
      <c r="X15" s="17"/>
      <c r="Y15" s="17"/>
      <c r="Z15" s="17"/>
    </row>
    <row r="16" spans="2:26" x14ac:dyDescent="0.25">
      <c r="B16" s="16" t="s">
        <v>1</v>
      </c>
      <c r="C16" s="16" t="s">
        <v>2</v>
      </c>
      <c r="D16" s="16" t="s">
        <v>3</v>
      </c>
      <c r="E16" s="16" t="s">
        <v>4</v>
      </c>
      <c r="F16" s="16" t="s">
        <v>5</v>
      </c>
      <c r="G16" s="16" t="s">
        <v>2</v>
      </c>
      <c r="H16" s="16" t="s">
        <v>3</v>
      </c>
      <c r="I16" s="16" t="s">
        <v>4</v>
      </c>
      <c r="J16" s="16" t="s">
        <v>5</v>
      </c>
      <c r="K16" s="16" t="s">
        <v>2</v>
      </c>
      <c r="L16" s="16" t="s">
        <v>3</v>
      </c>
      <c r="M16" s="16" t="s">
        <v>4</v>
      </c>
      <c r="N16" s="16" t="s">
        <v>5</v>
      </c>
      <c r="O16" s="16" t="s">
        <v>2</v>
      </c>
      <c r="P16" s="16" t="s">
        <v>3</v>
      </c>
      <c r="Q16" s="16" t="s">
        <v>4</v>
      </c>
      <c r="R16" s="16" t="s">
        <v>5</v>
      </c>
      <c r="S16" s="16" t="s">
        <v>2</v>
      </c>
      <c r="T16" s="16" t="s">
        <v>3</v>
      </c>
      <c r="U16" s="16" t="s">
        <v>4</v>
      </c>
      <c r="V16" s="16" t="s">
        <v>5</v>
      </c>
      <c r="W16" s="16" t="s">
        <v>2</v>
      </c>
      <c r="X16" s="16" t="s">
        <v>3</v>
      </c>
      <c r="Y16" s="16" t="s">
        <v>4</v>
      </c>
      <c r="Z16" s="16" t="s">
        <v>5</v>
      </c>
    </row>
    <row r="17" spans="2:27" x14ac:dyDescent="0.25">
      <c r="B17" t="s">
        <v>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-15</v>
      </c>
      <c r="T17" s="2">
        <v>-15</v>
      </c>
      <c r="U17" s="2">
        <v>-15</v>
      </c>
      <c r="V17" s="2">
        <v>-15</v>
      </c>
      <c r="W17" s="2">
        <v>0</v>
      </c>
      <c r="X17" s="2">
        <v>0</v>
      </c>
      <c r="Y17" s="2">
        <v>0</v>
      </c>
      <c r="Z17" s="2">
        <v>0</v>
      </c>
    </row>
    <row r="18" spans="2:27" x14ac:dyDescent="0.25">
      <c r="B18" t="s">
        <v>7</v>
      </c>
      <c r="C18" s="2">
        <f t="shared" ref="C18:R18" si="4">C$23*C10</f>
        <v>35178.417894101935</v>
      </c>
      <c r="D18" s="2">
        <f t="shared" si="4"/>
        <v>22623.438363510089</v>
      </c>
      <c r="E18" s="2">
        <f t="shared" si="4"/>
        <v>16042.250229911986</v>
      </c>
      <c r="F18" s="2">
        <f t="shared" si="4"/>
        <v>5197.8528249684841</v>
      </c>
      <c r="G18" s="2">
        <f t="shared" si="4"/>
        <v>8564.6583762471237</v>
      </c>
      <c r="H18" s="2">
        <f t="shared" si="4"/>
        <v>3194.2349491638129</v>
      </c>
      <c r="I18" s="2">
        <f t="shared" si="4"/>
        <v>2858.9768934498156</v>
      </c>
      <c r="J18" s="2">
        <f t="shared" si="4"/>
        <v>2858.9768928864987</v>
      </c>
      <c r="K18" s="2">
        <f t="shared" si="4"/>
        <v>16276.728473224881</v>
      </c>
      <c r="L18" s="2">
        <f t="shared" si="4"/>
        <v>13458.317044969379</v>
      </c>
      <c r="M18" s="2">
        <f t="shared" si="4"/>
        <v>8361.5338065092637</v>
      </c>
      <c r="N18" s="2">
        <f t="shared" si="4"/>
        <v>3339.3601603774682</v>
      </c>
      <c r="O18" s="2">
        <f t="shared" si="4"/>
        <v>7934.5605090314539</v>
      </c>
      <c r="P18" s="2">
        <f t="shared" si="4"/>
        <v>7789.4979175677599</v>
      </c>
      <c r="Q18" s="2">
        <f t="shared" si="4"/>
        <v>15736.945790174215</v>
      </c>
      <c r="R18" s="2">
        <f t="shared" si="4"/>
        <v>12524.908345319693</v>
      </c>
      <c r="S18" s="2">
        <v>-8287</v>
      </c>
      <c r="T18" s="2">
        <v>-8287</v>
      </c>
      <c r="U18" s="2">
        <v>-8287</v>
      </c>
      <c r="V18" s="2">
        <v>-8287</v>
      </c>
      <c r="W18" s="2">
        <f t="shared" ref="W18:Z20" si="5">W$23*W10</f>
        <v>-53530.001361996634</v>
      </c>
      <c r="X18" s="2">
        <f t="shared" si="5"/>
        <v>-32871.257853391544</v>
      </c>
      <c r="Y18" s="2">
        <f t="shared" si="5"/>
        <v>-34900.459981103893</v>
      </c>
      <c r="Z18" s="2">
        <f t="shared" si="5"/>
        <v>-16033.019536105601</v>
      </c>
    </row>
    <row r="19" spans="2:27" x14ac:dyDescent="0.25">
      <c r="B19" t="s">
        <v>8</v>
      </c>
      <c r="C19" s="2">
        <f t="shared" ref="C19:R19" si="6">C$23*C11</f>
        <v>22640.084259384239</v>
      </c>
      <c r="D19" s="2">
        <f t="shared" si="6"/>
        <v>14657.985714878037</v>
      </c>
      <c r="E19" s="2">
        <f t="shared" si="6"/>
        <v>8658.8220384302585</v>
      </c>
      <c r="F19" s="2">
        <f t="shared" si="6"/>
        <v>4876.8138416981838</v>
      </c>
      <c r="G19" s="2">
        <f t="shared" si="6"/>
        <v>7786.8225183947834</v>
      </c>
      <c r="H19" s="2">
        <f t="shared" si="6"/>
        <v>5803.5854614490017</v>
      </c>
      <c r="I19" s="2">
        <f t="shared" si="6"/>
        <v>2018.8675099725217</v>
      </c>
      <c r="J19" s="2">
        <f t="shared" si="6"/>
        <v>2018.86751025475</v>
      </c>
      <c r="K19" s="2">
        <f t="shared" si="6"/>
        <v>8679.5726379710923</v>
      </c>
      <c r="L19" s="2">
        <f t="shared" si="6"/>
        <v>4856.6829550306202</v>
      </c>
      <c r="M19" s="2">
        <f t="shared" si="6"/>
        <v>2916.1861705639703</v>
      </c>
      <c r="N19" s="2">
        <f t="shared" si="6"/>
        <v>576.63983962253212</v>
      </c>
      <c r="O19" s="2">
        <f t="shared" si="6"/>
        <v>14107.958280723678</v>
      </c>
      <c r="P19" s="2">
        <f t="shared" si="6"/>
        <v>15061.112157672052</v>
      </c>
      <c r="Q19" s="2">
        <f t="shared" si="6"/>
        <v>30439.557722305552</v>
      </c>
      <c r="R19" s="2">
        <f t="shared" si="6"/>
        <v>31578.457555692534</v>
      </c>
      <c r="S19" s="2">
        <v>-6079</v>
      </c>
      <c r="T19" s="2">
        <v>-6079</v>
      </c>
      <c r="U19" s="2">
        <v>-6079</v>
      </c>
      <c r="V19" s="2">
        <v>-6079</v>
      </c>
      <c r="W19" s="2">
        <f t="shared" si="5"/>
        <v>-49002.947188209138</v>
      </c>
      <c r="X19" s="2">
        <f t="shared" si="5"/>
        <v>-37314.182053772573</v>
      </c>
      <c r="Y19" s="2">
        <f t="shared" si="5"/>
        <v>-37377.308813142532</v>
      </c>
      <c r="Z19" s="2">
        <f t="shared" si="5"/>
        <v>-30461.018438075833</v>
      </c>
    </row>
    <row r="20" spans="2:27" x14ac:dyDescent="0.25">
      <c r="B20" t="s">
        <v>9</v>
      </c>
      <c r="C20" s="2">
        <f t="shared" ref="C20:R20" si="7">C$23*C12</f>
        <v>14270.497846513825</v>
      </c>
      <c r="D20" s="2">
        <f t="shared" si="7"/>
        <v>9342.5759216118695</v>
      </c>
      <c r="E20" s="2">
        <f t="shared" si="7"/>
        <v>5522.9277316577554</v>
      </c>
      <c r="F20" s="2">
        <f t="shared" si="7"/>
        <v>0</v>
      </c>
      <c r="G20" s="2">
        <f t="shared" si="7"/>
        <v>7869.769105358092</v>
      </c>
      <c r="H20" s="2">
        <f t="shared" si="7"/>
        <v>6818.429589387184</v>
      </c>
      <c r="I20" s="2">
        <f t="shared" si="7"/>
        <v>2534.6555965776624</v>
      </c>
      <c r="J20" s="2">
        <f t="shared" si="7"/>
        <v>2534.6555968587509</v>
      </c>
      <c r="K20" s="2">
        <f t="shared" si="7"/>
        <v>3556.698888804031</v>
      </c>
      <c r="L20" s="2">
        <f t="shared" si="7"/>
        <v>0</v>
      </c>
      <c r="M20" s="2">
        <f t="shared" si="7"/>
        <v>470.28002292676678</v>
      </c>
      <c r="N20" s="2">
        <f t="shared" si="7"/>
        <v>0</v>
      </c>
      <c r="O20" s="2">
        <f t="shared" si="7"/>
        <v>12957.481210244869</v>
      </c>
      <c r="P20" s="2">
        <f t="shared" si="7"/>
        <v>12149.389924760186</v>
      </c>
      <c r="Q20" s="2">
        <f t="shared" si="7"/>
        <v>24823.496487520242</v>
      </c>
      <c r="R20" s="2">
        <f t="shared" si="7"/>
        <v>26896.634098987779</v>
      </c>
      <c r="S20" s="2">
        <v>-7069</v>
      </c>
      <c r="T20" s="2">
        <v>-7069</v>
      </c>
      <c r="U20" s="2">
        <v>-7069</v>
      </c>
      <c r="V20" s="2">
        <v>-7069</v>
      </c>
      <c r="W20" s="2">
        <f t="shared" si="5"/>
        <v>-35840.05144979422</v>
      </c>
      <c r="X20" s="2">
        <f t="shared" si="5"/>
        <v>-24119.560092835884</v>
      </c>
      <c r="Y20" s="2">
        <f t="shared" si="5"/>
        <v>-26656.231205753582</v>
      </c>
      <c r="Z20" s="2">
        <f t="shared" si="5"/>
        <v>-24458.962025818568</v>
      </c>
    </row>
    <row r="21" spans="2:27" x14ac:dyDescent="0.25">
      <c r="AA21" s="5" t="s">
        <v>81</v>
      </c>
    </row>
    <row r="22" spans="2:27" x14ac:dyDescent="0.25">
      <c r="B22" t="s">
        <v>75</v>
      </c>
      <c r="C22" s="4">
        <f>SUM(C17:C20)</f>
        <v>72089</v>
      </c>
      <c r="D22" s="4">
        <f t="shared" ref="D22:Z22" si="8">SUM(D17:D20)</f>
        <v>46623.999999999993</v>
      </c>
      <c r="E22" s="4">
        <f t="shared" si="8"/>
        <v>30224</v>
      </c>
      <c r="F22" s="4">
        <f t="shared" si="8"/>
        <v>10074.666666666668</v>
      </c>
      <c r="G22" s="4">
        <f t="shared" si="8"/>
        <v>24221.25</v>
      </c>
      <c r="H22" s="4">
        <f t="shared" si="8"/>
        <v>15816.249999999998</v>
      </c>
      <c r="I22" s="4">
        <f t="shared" si="8"/>
        <v>7412.5</v>
      </c>
      <c r="J22" s="4">
        <f t="shared" si="8"/>
        <v>7412.5</v>
      </c>
      <c r="K22" s="4">
        <f t="shared" si="8"/>
        <v>28513.000000000004</v>
      </c>
      <c r="L22" s="4">
        <f t="shared" si="8"/>
        <v>18315</v>
      </c>
      <c r="M22" s="4">
        <f t="shared" si="8"/>
        <v>11748</v>
      </c>
      <c r="N22" s="4">
        <f t="shared" si="8"/>
        <v>3916.0000000000005</v>
      </c>
      <c r="O22" s="4">
        <f t="shared" si="8"/>
        <v>35000</v>
      </c>
      <c r="P22" s="4">
        <f t="shared" si="8"/>
        <v>35000</v>
      </c>
      <c r="Q22" s="4">
        <f t="shared" si="8"/>
        <v>71000</v>
      </c>
      <c r="R22" s="4">
        <f t="shared" si="8"/>
        <v>71000</v>
      </c>
      <c r="S22" s="4">
        <f t="shared" si="8"/>
        <v>-21450</v>
      </c>
      <c r="T22" s="4">
        <f t="shared" si="8"/>
        <v>-21450</v>
      </c>
      <c r="U22" s="4">
        <f t="shared" si="8"/>
        <v>-21450</v>
      </c>
      <c r="V22" s="4">
        <f t="shared" si="8"/>
        <v>-21450</v>
      </c>
      <c r="W22" s="4">
        <f t="shared" si="8"/>
        <v>-138373</v>
      </c>
      <c r="X22" s="4">
        <f t="shared" si="8"/>
        <v>-94305</v>
      </c>
      <c r="Y22" s="4">
        <f t="shared" si="8"/>
        <v>-98934</v>
      </c>
      <c r="Z22" s="4">
        <f t="shared" si="8"/>
        <v>-70953</v>
      </c>
      <c r="AA22" s="4">
        <f>SUM(C22:Z22)</f>
        <v>1.1666666666278616</v>
      </c>
    </row>
    <row r="23" spans="2:27" x14ac:dyDescent="0.25">
      <c r="B23" t="s">
        <v>80</v>
      </c>
      <c r="C23" s="2">
        <f>Current!K39</f>
        <v>72089</v>
      </c>
      <c r="D23" s="2">
        <f>Current!L39</f>
        <v>46624</v>
      </c>
      <c r="E23" s="2">
        <f>Current!M39</f>
        <v>30224</v>
      </c>
      <c r="F23" s="2">
        <f>Current!N39</f>
        <v>10074.666666666666</v>
      </c>
      <c r="G23" s="2">
        <f>Current!K40</f>
        <v>24221.25</v>
      </c>
      <c r="H23" s="2">
        <f>Current!L40</f>
        <v>15816.25</v>
      </c>
      <c r="I23" s="2">
        <f>Current!M40</f>
        <v>7412.5</v>
      </c>
      <c r="J23" s="2">
        <f>Current!N40</f>
        <v>7412.5</v>
      </c>
      <c r="K23" s="2">
        <f>Current!K41</f>
        <v>28513</v>
      </c>
      <c r="L23" s="2">
        <f>Current!L41</f>
        <v>18315</v>
      </c>
      <c r="M23" s="2">
        <f>Current!M41</f>
        <v>11748</v>
      </c>
      <c r="N23" s="2">
        <f>Current!N41</f>
        <v>3916</v>
      </c>
      <c r="O23" s="2">
        <f>Current!K42</f>
        <v>35000</v>
      </c>
      <c r="P23" s="2">
        <f>Current!L42</f>
        <v>35000</v>
      </c>
      <c r="Q23" s="2">
        <f>Current!M42</f>
        <v>71000</v>
      </c>
      <c r="R23" s="2">
        <f>Current!N42</f>
        <v>71000</v>
      </c>
      <c r="S23" s="2">
        <f>Current!K44</f>
        <v>-21450</v>
      </c>
      <c r="T23" s="2">
        <f>Current!L44</f>
        <v>-21450</v>
      </c>
      <c r="U23" s="2">
        <f>Current!M44</f>
        <v>-21450</v>
      </c>
      <c r="V23" s="2">
        <f>Current!N44</f>
        <v>-21450</v>
      </c>
      <c r="W23" s="2">
        <f>Current!K43</f>
        <v>-138373</v>
      </c>
      <c r="X23" s="2">
        <f>Current!L43</f>
        <v>-94305</v>
      </c>
      <c r="Y23" s="2">
        <f>Current!M43</f>
        <v>-98934</v>
      </c>
      <c r="Z23" s="2">
        <f>Current!N43</f>
        <v>-70953</v>
      </c>
      <c r="AA23" s="4">
        <f>SUM(C23:Z23)</f>
        <v>1.1666666666278616</v>
      </c>
    </row>
    <row r="28" spans="2:27" x14ac:dyDescent="0.25">
      <c r="S28" s="2"/>
      <c r="T28" s="2"/>
      <c r="U28" s="2"/>
      <c r="V28" s="2"/>
    </row>
    <row r="31" spans="2:27" x14ac:dyDescent="0.25">
      <c r="S31" s="2"/>
    </row>
    <row r="32" spans="2:27" x14ac:dyDescent="0.25">
      <c r="S32" s="2"/>
    </row>
    <row r="33" spans="19:19" x14ac:dyDescent="0.25">
      <c r="S33" s="2"/>
    </row>
    <row r="34" spans="19:19" x14ac:dyDescent="0.25">
      <c r="S34" s="2"/>
    </row>
  </sheetData>
  <mergeCells count="12">
    <mergeCell ref="W15:Z15"/>
    <mergeCell ref="C2:F2"/>
    <mergeCell ref="G2:J2"/>
    <mergeCell ref="K2:N2"/>
    <mergeCell ref="O2:R2"/>
    <mergeCell ref="S2:V2"/>
    <mergeCell ref="W2:Z2"/>
    <mergeCell ref="C15:F15"/>
    <mergeCell ref="G15:J15"/>
    <mergeCell ref="K15:N15"/>
    <mergeCell ref="O15:R15"/>
    <mergeCell ref="S15:V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3E69-734D-4968-A24D-367A510E885A}">
  <dimension ref="A1:P32"/>
  <sheetViews>
    <sheetView topLeftCell="A22" workbookViewId="0">
      <selection activeCell="B22" sqref="B22"/>
    </sheetView>
  </sheetViews>
  <sheetFormatPr defaultRowHeight="15" x14ac:dyDescent="0.25"/>
  <sheetData>
    <row r="1" spans="1:16" x14ac:dyDescent="0.25">
      <c r="A1" t="s">
        <v>39</v>
      </c>
      <c r="K1" t="s">
        <v>29</v>
      </c>
    </row>
    <row r="2" spans="1:16" x14ac:dyDescent="0.25">
      <c r="A2" t="s">
        <v>20</v>
      </c>
      <c r="B2" t="s">
        <v>2</v>
      </c>
      <c r="C2" t="s">
        <v>3</v>
      </c>
      <c r="D2" t="s">
        <v>4</v>
      </c>
      <c r="E2" t="s">
        <v>5</v>
      </c>
      <c r="F2" t="s">
        <v>27</v>
      </c>
      <c r="H2" t="s">
        <v>44</v>
      </c>
      <c r="I2" t="s">
        <v>45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</row>
    <row r="3" spans="1:16" x14ac:dyDescent="0.25">
      <c r="A3" t="s">
        <v>14</v>
      </c>
      <c r="B3">
        <v>328536</v>
      </c>
      <c r="C3">
        <v>341462</v>
      </c>
      <c r="D3">
        <v>274001</v>
      </c>
      <c r="E3">
        <v>282301</v>
      </c>
      <c r="F3">
        <v>224793</v>
      </c>
      <c r="H3" s="1">
        <f>P3-F3</f>
        <v>57263</v>
      </c>
      <c r="I3" s="6">
        <f>H3/17</f>
        <v>3368.4117647058824</v>
      </c>
      <c r="K3" t="s">
        <v>14</v>
      </c>
      <c r="L3" s="1">
        <v>362963</v>
      </c>
      <c r="M3" s="1">
        <v>337498</v>
      </c>
      <c r="N3" s="1">
        <v>321098</v>
      </c>
      <c r="O3" s="1">
        <v>292486</v>
      </c>
      <c r="P3" s="1">
        <v>282056</v>
      </c>
    </row>
    <row r="4" spans="1:16" x14ac:dyDescent="0.25">
      <c r="A4" t="s">
        <v>15</v>
      </c>
      <c r="B4">
        <v>127962</v>
      </c>
      <c r="C4">
        <v>127962</v>
      </c>
      <c r="D4">
        <v>134107</v>
      </c>
      <c r="E4">
        <v>134107</v>
      </c>
      <c r="F4">
        <v>104043</v>
      </c>
      <c r="H4" s="1">
        <f t="shared" ref="H4:H10" si="0">P4-F4</f>
        <v>-12687</v>
      </c>
      <c r="I4" s="6">
        <f t="shared" ref="I4:I10" si="1">H4/17</f>
        <v>-746.29411764705878</v>
      </c>
      <c r="K4" t="s">
        <v>15</v>
      </c>
      <c r="L4" s="1">
        <v>118250</v>
      </c>
      <c r="M4" s="1">
        <v>111526</v>
      </c>
      <c r="N4" s="1">
        <v>104803</v>
      </c>
      <c r="O4" s="1">
        <v>94045</v>
      </c>
      <c r="P4" s="1">
        <v>91356</v>
      </c>
    </row>
    <row r="5" spans="1:16" x14ac:dyDescent="0.25">
      <c r="A5" t="s">
        <v>16</v>
      </c>
      <c r="B5">
        <v>174608</v>
      </c>
      <c r="C5">
        <v>182208</v>
      </c>
      <c r="D5">
        <v>135116</v>
      </c>
      <c r="E5">
        <v>136671</v>
      </c>
      <c r="F5">
        <v>89642</v>
      </c>
      <c r="H5" s="1">
        <f t="shared" si="0"/>
        <v>23313</v>
      </c>
      <c r="I5" s="6">
        <f t="shared" si="1"/>
        <v>1371.3529411764705</v>
      </c>
      <c r="K5" t="s">
        <v>16</v>
      </c>
      <c r="L5" s="1">
        <v>145356</v>
      </c>
      <c r="M5" s="1">
        <v>135158</v>
      </c>
      <c r="N5" s="1">
        <v>128591</v>
      </c>
      <c r="O5" s="1">
        <v>117132</v>
      </c>
      <c r="P5" s="1">
        <v>112955</v>
      </c>
    </row>
    <row r="6" spans="1:16" x14ac:dyDescent="0.25">
      <c r="A6" t="s">
        <v>18</v>
      </c>
      <c r="B6">
        <v>2077050</v>
      </c>
      <c r="C6">
        <v>2211180</v>
      </c>
      <c r="D6">
        <v>2131394</v>
      </c>
      <c r="E6">
        <v>2201843</v>
      </c>
      <c r="F6">
        <v>2354560</v>
      </c>
      <c r="H6" s="1">
        <f t="shared" si="0"/>
        <v>-120889</v>
      </c>
      <c r="I6" s="6">
        <f t="shared" si="1"/>
        <v>-7111.1176470588234</v>
      </c>
      <c r="K6" t="s">
        <v>18</v>
      </c>
      <c r="L6" s="1">
        <v>2094395</v>
      </c>
      <c r="M6" s="1">
        <v>2136781</v>
      </c>
      <c r="N6" s="1">
        <v>2056472</v>
      </c>
      <c r="O6" s="1">
        <v>2099543</v>
      </c>
      <c r="P6" s="1">
        <v>2233671</v>
      </c>
    </row>
    <row r="7" spans="1:16" x14ac:dyDescent="0.25">
      <c r="A7" t="s">
        <v>21</v>
      </c>
      <c r="B7">
        <v>530250</v>
      </c>
      <c r="C7">
        <v>595250</v>
      </c>
      <c r="D7">
        <v>647250</v>
      </c>
      <c r="E7">
        <v>661250</v>
      </c>
      <c r="F7">
        <v>485250</v>
      </c>
      <c r="H7" s="1">
        <f t="shared" si="0"/>
        <v>17173</v>
      </c>
      <c r="I7" s="6">
        <f t="shared" si="1"/>
        <v>1010.1764705882352</v>
      </c>
      <c r="K7" t="s">
        <v>17</v>
      </c>
      <c r="L7" s="1">
        <v>526551</v>
      </c>
      <c r="M7" s="1">
        <v>526551</v>
      </c>
      <c r="N7" s="1">
        <v>636551</v>
      </c>
      <c r="O7" s="1">
        <v>636551</v>
      </c>
      <c r="P7" s="1">
        <v>502423</v>
      </c>
    </row>
    <row r="8" spans="1:16" x14ac:dyDescent="0.25">
      <c r="A8" t="s">
        <v>22</v>
      </c>
      <c r="B8">
        <v>42078</v>
      </c>
      <c r="C8">
        <v>42078</v>
      </c>
      <c r="D8">
        <v>42078</v>
      </c>
      <c r="E8">
        <v>42078</v>
      </c>
      <c r="F8">
        <v>42078</v>
      </c>
      <c r="H8" s="1">
        <f t="shared" si="0"/>
        <v>-17025</v>
      </c>
      <c r="I8" s="6">
        <f t="shared" si="1"/>
        <v>-1001.4705882352941</v>
      </c>
      <c r="K8" t="s">
        <v>36</v>
      </c>
      <c r="L8">
        <v>0</v>
      </c>
      <c r="M8">
        <v>0</v>
      </c>
      <c r="N8">
        <v>0</v>
      </c>
      <c r="O8">
        <v>7757</v>
      </c>
      <c r="P8" s="1">
        <v>25053</v>
      </c>
    </row>
    <row r="9" spans="1:16" x14ac:dyDescent="0.25">
      <c r="A9" t="s">
        <v>23</v>
      </c>
      <c r="B9">
        <v>87034</v>
      </c>
      <c r="C9">
        <v>87034</v>
      </c>
      <c r="D9">
        <v>87034</v>
      </c>
      <c r="E9">
        <v>87034</v>
      </c>
      <c r="F9">
        <v>82835</v>
      </c>
      <c r="H9" s="1">
        <f t="shared" si="0"/>
        <v>39077</v>
      </c>
      <c r="I9" s="6">
        <f t="shared" si="1"/>
        <v>2298.6470588235293</v>
      </c>
      <c r="K9" t="s">
        <v>23</v>
      </c>
      <c r="L9" s="1">
        <v>121912</v>
      </c>
      <c r="M9" s="1">
        <v>121912</v>
      </c>
      <c r="N9" s="1">
        <v>121912</v>
      </c>
      <c r="O9" s="1">
        <v>121912</v>
      </c>
      <c r="P9" s="1">
        <v>121912</v>
      </c>
    </row>
    <row r="10" spans="1:16" x14ac:dyDescent="0.25">
      <c r="A10" t="s">
        <v>24</v>
      </c>
      <c r="B10">
        <v>2852990</v>
      </c>
      <c r="C10">
        <v>2852990</v>
      </c>
      <c r="D10">
        <v>2852990</v>
      </c>
      <c r="E10">
        <v>2852990</v>
      </c>
      <c r="F10">
        <v>2852990</v>
      </c>
      <c r="H10" s="1">
        <f t="shared" si="0"/>
        <v>294687</v>
      </c>
      <c r="I10" s="6">
        <f t="shared" si="1"/>
        <v>17334.529411764706</v>
      </c>
      <c r="K10" t="s">
        <v>24</v>
      </c>
      <c r="L10" s="1">
        <v>3147677</v>
      </c>
      <c r="M10" s="1">
        <v>3147677</v>
      </c>
      <c r="N10" s="1">
        <v>3147677</v>
      </c>
      <c r="O10" s="1">
        <v>3147677</v>
      </c>
      <c r="P10" s="1">
        <v>3147677</v>
      </c>
    </row>
    <row r="11" spans="1:16" x14ac:dyDescent="0.25">
      <c r="A11" t="s">
        <v>6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K11" t="s">
        <v>6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</row>
    <row r="12" spans="1:16" x14ac:dyDescent="0.25">
      <c r="A12" t="s">
        <v>26</v>
      </c>
      <c r="B12">
        <v>6220508</v>
      </c>
      <c r="C12">
        <v>6440164</v>
      </c>
      <c r="D12">
        <v>6303970</v>
      </c>
      <c r="E12">
        <v>6398274</v>
      </c>
      <c r="F12">
        <v>6236191</v>
      </c>
      <c r="K12" t="s">
        <v>37</v>
      </c>
      <c r="L12" s="1">
        <v>3247515</v>
      </c>
      <c r="M12" s="1">
        <v>3247515</v>
      </c>
      <c r="N12" s="1">
        <v>3247515</v>
      </c>
      <c r="O12" s="1">
        <v>3247515</v>
      </c>
      <c r="P12" s="1">
        <v>3247515</v>
      </c>
    </row>
    <row r="13" spans="1:16" x14ac:dyDescent="0.25">
      <c r="K13" t="s">
        <v>38</v>
      </c>
      <c r="M13" s="1"/>
      <c r="N13" s="1">
        <f t="shared" ref="N13" si="2">SUM(N3:N8)</f>
        <v>3247515</v>
      </c>
      <c r="O13" s="1">
        <f>SUM(O3:O8)</f>
        <v>3247514</v>
      </c>
      <c r="P13" s="1">
        <f>SUM(P3:P8)</f>
        <v>3247514</v>
      </c>
    </row>
    <row r="14" spans="1:16" x14ac:dyDescent="0.25">
      <c r="A14" t="s">
        <v>40</v>
      </c>
      <c r="K14" t="s">
        <v>41</v>
      </c>
    </row>
    <row r="15" spans="1:16" x14ac:dyDescent="0.25">
      <c r="A15" t="s">
        <v>14</v>
      </c>
      <c r="B15">
        <f>B3-$F3</f>
        <v>103743</v>
      </c>
      <c r="C15">
        <f t="shared" ref="C15:E15" si="3">C3-$F3</f>
        <v>116669</v>
      </c>
      <c r="D15">
        <f t="shared" si="3"/>
        <v>49208</v>
      </c>
      <c r="E15">
        <f t="shared" si="3"/>
        <v>57508</v>
      </c>
      <c r="K15" t="s">
        <v>14</v>
      </c>
      <c r="L15" s="1">
        <f>L3-$P3</f>
        <v>80907</v>
      </c>
      <c r="M15" s="1">
        <f t="shared" ref="M15:O15" si="4">M3-$P3</f>
        <v>55442</v>
      </c>
      <c r="N15" s="1">
        <f t="shared" si="4"/>
        <v>39042</v>
      </c>
      <c r="O15" s="1">
        <f t="shared" si="4"/>
        <v>10430</v>
      </c>
    </row>
    <row r="16" spans="1:16" x14ac:dyDescent="0.25">
      <c r="A16" t="s">
        <v>15</v>
      </c>
      <c r="B16">
        <f t="shared" ref="B16:E16" si="5">B4-$F4</f>
        <v>23919</v>
      </c>
      <c r="C16">
        <f t="shared" si="5"/>
        <v>23919</v>
      </c>
      <c r="D16">
        <f t="shared" si="5"/>
        <v>30064</v>
      </c>
      <c r="E16">
        <f t="shared" si="5"/>
        <v>30064</v>
      </c>
      <c r="K16" t="s">
        <v>15</v>
      </c>
      <c r="L16" s="1">
        <f t="shared" ref="L16:O16" si="6">L4-$P4</f>
        <v>26894</v>
      </c>
      <c r="M16" s="1">
        <f t="shared" si="6"/>
        <v>20170</v>
      </c>
      <c r="N16" s="1">
        <f t="shared" si="6"/>
        <v>13447</v>
      </c>
      <c r="O16" s="1">
        <f t="shared" si="6"/>
        <v>2689</v>
      </c>
    </row>
    <row r="17" spans="1:15" x14ac:dyDescent="0.25">
      <c r="A17" t="s">
        <v>16</v>
      </c>
      <c r="B17">
        <f t="shared" ref="B17:E17" si="7">B5-$F5</f>
        <v>84966</v>
      </c>
      <c r="C17">
        <f t="shared" si="7"/>
        <v>92566</v>
      </c>
      <c r="D17">
        <f t="shared" si="7"/>
        <v>45474</v>
      </c>
      <c r="E17">
        <f t="shared" si="7"/>
        <v>47029</v>
      </c>
      <c r="K17" t="s">
        <v>16</v>
      </c>
      <c r="L17" s="1">
        <f t="shared" ref="L17:O17" si="8">L5-$P5</f>
        <v>32401</v>
      </c>
      <c r="M17" s="1">
        <f t="shared" si="8"/>
        <v>22203</v>
      </c>
      <c r="N17" s="1">
        <f t="shared" si="8"/>
        <v>15636</v>
      </c>
      <c r="O17" s="1">
        <f t="shared" si="8"/>
        <v>4177</v>
      </c>
    </row>
    <row r="18" spans="1:15" x14ac:dyDescent="0.25">
      <c r="A18" t="s">
        <v>18</v>
      </c>
      <c r="B18">
        <f t="shared" ref="B18:E18" si="9">B6-$F6</f>
        <v>-277510</v>
      </c>
      <c r="C18">
        <f t="shared" si="9"/>
        <v>-143380</v>
      </c>
      <c r="D18">
        <f t="shared" si="9"/>
        <v>-223166</v>
      </c>
      <c r="E18">
        <f t="shared" si="9"/>
        <v>-152717</v>
      </c>
      <c r="K18" t="s">
        <v>18</v>
      </c>
      <c r="L18" s="1">
        <f t="shared" ref="L18:O18" si="10">L6-$P6</f>
        <v>-139276</v>
      </c>
      <c r="M18" s="1">
        <f t="shared" si="10"/>
        <v>-96890</v>
      </c>
      <c r="N18" s="1">
        <f t="shared" si="10"/>
        <v>-177199</v>
      </c>
      <c r="O18" s="1">
        <f t="shared" si="10"/>
        <v>-134128</v>
      </c>
    </row>
    <row r="19" spans="1:15" x14ac:dyDescent="0.25">
      <c r="A19" t="s">
        <v>21</v>
      </c>
      <c r="B19">
        <f t="shared" ref="B19:E19" si="11">B7-$F7</f>
        <v>45000</v>
      </c>
      <c r="C19">
        <f t="shared" si="11"/>
        <v>110000</v>
      </c>
      <c r="D19">
        <f t="shared" si="11"/>
        <v>162000</v>
      </c>
      <c r="E19">
        <f t="shared" si="11"/>
        <v>176000</v>
      </c>
      <c r="K19" t="s">
        <v>17</v>
      </c>
      <c r="L19" s="1">
        <f t="shared" ref="L19:O19" si="12">L7-$P7</f>
        <v>24128</v>
      </c>
      <c r="M19" s="1">
        <f t="shared" si="12"/>
        <v>24128</v>
      </c>
      <c r="N19" s="1">
        <f t="shared" si="12"/>
        <v>134128</v>
      </c>
      <c r="O19" s="1">
        <f t="shared" si="12"/>
        <v>134128</v>
      </c>
    </row>
    <row r="20" spans="1:15" x14ac:dyDescent="0.25">
      <c r="A20" t="s">
        <v>22</v>
      </c>
      <c r="B20">
        <f t="shared" ref="B20:E20" si="13">B8-$F8</f>
        <v>0</v>
      </c>
      <c r="C20">
        <f t="shared" si="13"/>
        <v>0</v>
      </c>
      <c r="D20">
        <f t="shared" si="13"/>
        <v>0</v>
      </c>
      <c r="E20">
        <f t="shared" si="13"/>
        <v>0</v>
      </c>
      <c r="K20" t="s">
        <v>36</v>
      </c>
      <c r="L20" s="1">
        <f t="shared" ref="L20:O20" si="14">L8-$P8</f>
        <v>-25053</v>
      </c>
      <c r="M20" s="1">
        <f t="shared" si="14"/>
        <v>-25053</v>
      </c>
      <c r="N20" s="1">
        <f t="shared" si="14"/>
        <v>-25053</v>
      </c>
      <c r="O20" s="1">
        <f t="shared" si="14"/>
        <v>-17296</v>
      </c>
    </row>
    <row r="21" spans="1:15" x14ac:dyDescent="0.25">
      <c r="A21" t="s">
        <v>23</v>
      </c>
      <c r="B21">
        <f t="shared" ref="B21:E22" si="15">B9-$F9</f>
        <v>4199</v>
      </c>
      <c r="C21">
        <f t="shared" si="15"/>
        <v>4199</v>
      </c>
      <c r="D21">
        <f t="shared" si="15"/>
        <v>4199</v>
      </c>
      <c r="E21">
        <f t="shared" si="15"/>
        <v>4199</v>
      </c>
      <c r="K21" t="s">
        <v>23</v>
      </c>
      <c r="L21" s="1">
        <f t="shared" ref="L21:O21" si="16">L9-$P9</f>
        <v>0</v>
      </c>
      <c r="M21" s="1">
        <f t="shared" si="16"/>
        <v>0</v>
      </c>
      <c r="N21" s="1">
        <f t="shared" si="16"/>
        <v>0</v>
      </c>
      <c r="O21" s="1">
        <f t="shared" si="16"/>
        <v>0</v>
      </c>
    </row>
    <row r="22" spans="1:15" x14ac:dyDescent="0.25">
      <c r="A22" t="s">
        <v>24</v>
      </c>
      <c r="B22">
        <f t="shared" si="15"/>
        <v>0</v>
      </c>
      <c r="C22">
        <f t="shared" si="15"/>
        <v>0</v>
      </c>
      <c r="D22">
        <f t="shared" si="15"/>
        <v>0</v>
      </c>
      <c r="E22">
        <f t="shared" si="15"/>
        <v>0</v>
      </c>
      <c r="K22" t="s">
        <v>24</v>
      </c>
      <c r="L22" s="1">
        <f t="shared" ref="L22:O22" si="17">L10-$P10</f>
        <v>0</v>
      </c>
      <c r="M22" s="1">
        <f t="shared" si="17"/>
        <v>0</v>
      </c>
      <c r="N22" s="1">
        <f t="shared" si="17"/>
        <v>0</v>
      </c>
      <c r="O22" s="1">
        <f t="shared" si="17"/>
        <v>0</v>
      </c>
    </row>
    <row r="24" spans="1:15" x14ac:dyDescent="0.25">
      <c r="A24" t="s">
        <v>43</v>
      </c>
      <c r="K24" t="s">
        <v>43</v>
      </c>
    </row>
    <row r="25" spans="1:15" x14ac:dyDescent="0.25">
      <c r="A25" t="s">
        <v>14</v>
      </c>
      <c r="B25" s="6">
        <f>B15/30</f>
        <v>3458.1</v>
      </c>
      <c r="C25" s="6">
        <f t="shared" ref="C25:E25" si="18">C15/30</f>
        <v>3888.9666666666667</v>
      </c>
      <c r="D25" s="6">
        <f t="shared" si="18"/>
        <v>1640.2666666666667</v>
      </c>
      <c r="E25" s="6">
        <f t="shared" si="18"/>
        <v>1916.9333333333334</v>
      </c>
      <c r="K25" t="s">
        <v>14</v>
      </c>
      <c r="L25" s="6">
        <f>L15/23</f>
        <v>3517.695652173913</v>
      </c>
      <c r="M25" s="6">
        <f t="shared" ref="M25:O25" si="19">M15/23</f>
        <v>2410.521739130435</v>
      </c>
      <c r="N25" s="6">
        <f t="shared" si="19"/>
        <v>1697.4782608695652</v>
      </c>
      <c r="O25" s="6">
        <f t="shared" si="19"/>
        <v>453.47826086956519</v>
      </c>
    </row>
    <row r="26" spans="1:15" x14ac:dyDescent="0.25">
      <c r="A26" t="s">
        <v>15</v>
      </c>
      <c r="B26" s="6">
        <f t="shared" ref="B26:E26" si="20">B16/30</f>
        <v>797.3</v>
      </c>
      <c r="C26" s="6">
        <f t="shared" si="20"/>
        <v>797.3</v>
      </c>
      <c r="D26" s="6">
        <f t="shared" si="20"/>
        <v>1002.1333333333333</v>
      </c>
      <c r="E26" s="6">
        <f t="shared" si="20"/>
        <v>1002.1333333333333</v>
      </c>
      <c r="K26" t="s">
        <v>15</v>
      </c>
      <c r="L26" s="6">
        <f t="shared" ref="L26:O26" si="21">L16/23</f>
        <v>1169.304347826087</v>
      </c>
      <c r="M26" s="6">
        <f t="shared" si="21"/>
        <v>876.95652173913038</v>
      </c>
      <c r="N26" s="6">
        <f t="shared" si="21"/>
        <v>584.6521739130435</v>
      </c>
      <c r="O26" s="6">
        <f t="shared" si="21"/>
        <v>116.91304347826087</v>
      </c>
    </row>
    <row r="27" spans="1:15" x14ac:dyDescent="0.25">
      <c r="A27" t="s">
        <v>16</v>
      </c>
      <c r="B27" s="6">
        <f t="shared" ref="B27:E27" si="22">B17/30</f>
        <v>2832.2</v>
      </c>
      <c r="C27" s="6">
        <f t="shared" si="22"/>
        <v>3085.5333333333333</v>
      </c>
      <c r="D27" s="6">
        <f t="shared" si="22"/>
        <v>1515.8</v>
      </c>
      <c r="E27" s="6">
        <f t="shared" si="22"/>
        <v>1567.6333333333334</v>
      </c>
      <c r="K27" t="s">
        <v>16</v>
      </c>
      <c r="L27" s="6">
        <f t="shared" ref="L27:O27" si="23">L17/23</f>
        <v>1408.7391304347825</v>
      </c>
      <c r="M27" s="6">
        <f t="shared" si="23"/>
        <v>965.3478260869565</v>
      </c>
      <c r="N27" s="6">
        <f t="shared" si="23"/>
        <v>679.82608695652175</v>
      </c>
      <c r="O27" s="6">
        <f t="shared" si="23"/>
        <v>181.60869565217391</v>
      </c>
    </row>
    <row r="28" spans="1:15" x14ac:dyDescent="0.25">
      <c r="A28" t="s">
        <v>18</v>
      </c>
      <c r="B28" s="6">
        <f t="shared" ref="B28:E28" si="24">B18/30</f>
        <v>-9250.3333333333339</v>
      </c>
      <c r="C28" s="6">
        <f t="shared" si="24"/>
        <v>-4779.333333333333</v>
      </c>
      <c r="D28" s="6">
        <f t="shared" si="24"/>
        <v>-7438.8666666666668</v>
      </c>
      <c r="E28" s="6">
        <f t="shared" si="24"/>
        <v>-5090.5666666666666</v>
      </c>
      <c r="K28" t="s">
        <v>18</v>
      </c>
      <c r="L28" s="6">
        <f t="shared" ref="L28:O28" si="25">L18/23</f>
        <v>-6055.478260869565</v>
      </c>
      <c r="M28" s="6">
        <f t="shared" si="25"/>
        <v>-4212.608695652174</v>
      </c>
      <c r="N28" s="6">
        <f t="shared" si="25"/>
        <v>-7704.304347826087</v>
      </c>
      <c r="O28" s="6">
        <f t="shared" si="25"/>
        <v>-5831.652173913043</v>
      </c>
    </row>
    <row r="29" spans="1:15" x14ac:dyDescent="0.25">
      <c r="A29" t="s">
        <v>21</v>
      </c>
      <c r="B29" s="6">
        <f t="shared" ref="B29:E29" si="26">B19/30</f>
        <v>1500</v>
      </c>
      <c r="C29" s="6">
        <f t="shared" si="26"/>
        <v>3666.6666666666665</v>
      </c>
      <c r="D29" s="6">
        <f t="shared" si="26"/>
        <v>5400</v>
      </c>
      <c r="E29" s="6">
        <f t="shared" si="26"/>
        <v>5866.666666666667</v>
      </c>
      <c r="K29" t="s">
        <v>17</v>
      </c>
      <c r="L29" s="6">
        <f t="shared" ref="L29:O29" si="27">L19/23</f>
        <v>1049.0434782608695</v>
      </c>
      <c r="M29" s="6">
        <f t="shared" si="27"/>
        <v>1049.0434782608695</v>
      </c>
      <c r="N29" s="6">
        <f t="shared" si="27"/>
        <v>5831.652173913043</v>
      </c>
      <c r="O29" s="6">
        <f t="shared" si="27"/>
        <v>5831.652173913043</v>
      </c>
    </row>
    <row r="30" spans="1:15" x14ac:dyDescent="0.25">
      <c r="A30" t="s">
        <v>22</v>
      </c>
      <c r="B30" s="6">
        <f t="shared" ref="B30:E30" si="28">B20/30</f>
        <v>0</v>
      </c>
      <c r="C30" s="6">
        <f t="shared" si="28"/>
        <v>0</v>
      </c>
      <c r="D30" s="6">
        <f t="shared" si="28"/>
        <v>0</v>
      </c>
      <c r="E30" s="6">
        <f t="shared" si="28"/>
        <v>0</v>
      </c>
      <c r="K30" t="s">
        <v>36</v>
      </c>
      <c r="L30" s="6">
        <f t="shared" ref="L30:O30" si="29">L20/23</f>
        <v>-1089.2608695652175</v>
      </c>
      <c r="M30" s="6">
        <f t="shared" si="29"/>
        <v>-1089.2608695652175</v>
      </c>
      <c r="N30" s="6">
        <f t="shared" si="29"/>
        <v>-1089.2608695652175</v>
      </c>
      <c r="O30" s="6">
        <f t="shared" si="29"/>
        <v>-752</v>
      </c>
    </row>
    <row r="31" spans="1:15" x14ac:dyDescent="0.25">
      <c r="A31" t="s">
        <v>23</v>
      </c>
      <c r="B31" s="6">
        <f t="shared" ref="B31:E31" si="30">B21/30</f>
        <v>139.96666666666667</v>
      </c>
      <c r="C31" s="6">
        <f t="shared" si="30"/>
        <v>139.96666666666667</v>
      </c>
      <c r="D31" s="6">
        <f t="shared" si="30"/>
        <v>139.96666666666667</v>
      </c>
      <c r="E31" s="6">
        <f t="shared" si="30"/>
        <v>139.96666666666667</v>
      </c>
      <c r="K31" t="s">
        <v>23</v>
      </c>
      <c r="L31" s="6">
        <f t="shared" ref="L31:O31" si="31">L21/23</f>
        <v>0</v>
      </c>
      <c r="M31" s="6">
        <f t="shared" si="31"/>
        <v>0</v>
      </c>
      <c r="N31" s="6">
        <f t="shared" si="31"/>
        <v>0</v>
      </c>
      <c r="O31" s="6">
        <f t="shared" si="31"/>
        <v>0</v>
      </c>
    </row>
    <row r="32" spans="1:15" x14ac:dyDescent="0.25">
      <c r="A32" t="s">
        <v>24</v>
      </c>
      <c r="B32" s="6">
        <f t="shared" ref="B32:E32" si="32">B22/30</f>
        <v>0</v>
      </c>
      <c r="C32" s="6">
        <f t="shared" si="32"/>
        <v>0</v>
      </c>
      <c r="D32" s="6">
        <f t="shared" si="32"/>
        <v>0</v>
      </c>
      <c r="E32" s="6">
        <f t="shared" si="32"/>
        <v>0</v>
      </c>
      <c r="K32" t="s">
        <v>24</v>
      </c>
      <c r="L32" s="6">
        <f t="shared" ref="L32:O32" si="33">L22/23</f>
        <v>0</v>
      </c>
      <c r="M32" s="6">
        <f t="shared" si="33"/>
        <v>0</v>
      </c>
      <c r="N32" s="6">
        <f t="shared" si="33"/>
        <v>0</v>
      </c>
      <c r="O32" s="6">
        <f t="shared" si="33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Residential</vt:lpstr>
      <vt:lpstr>Industrial</vt:lpstr>
      <vt:lpstr>Recreation</vt:lpstr>
      <vt:lpstr>Nature</vt:lpstr>
      <vt:lpstr>Agriculture</vt:lpstr>
      <vt:lpstr>BuildingLot</vt:lpstr>
      <vt:lpstr>Current</vt:lpstr>
      <vt:lpstr>Claims</vt:lpstr>
      <vt:lpstr>claims oude versies</vt:lpstr>
      <vt:lpstr>'claims oude versies'!_Hlk124844593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Claassens</dc:creator>
  <cp:lastModifiedBy>Jip Claassens (Object Vision/VU)</cp:lastModifiedBy>
  <dcterms:created xsi:type="dcterms:W3CDTF">2024-12-24T14:10:41Z</dcterms:created>
  <dcterms:modified xsi:type="dcterms:W3CDTF">2025-01-16T13:03:05Z</dcterms:modified>
</cp:coreProperties>
</file>