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23475" windowHeight="14085" activeTab="1"/>
  </bookViews>
  <sheets>
    <sheet name="main" sheetId="1" r:id="rId1"/>
    <sheet name="probe_effect1" sheetId="2" r:id="rId2"/>
    <sheet name="probe_effect2" sheetId="3" r:id="rId3"/>
  </sheets>
  <calcPr calcId="125725"/>
</workbook>
</file>

<file path=xl/calcChain.xml><?xml version="1.0" encoding="utf-8"?>
<calcChain xmlns="http://schemas.openxmlformats.org/spreadsheetml/2006/main">
  <c r="F60" i="2"/>
  <c r="F59"/>
  <c r="F58"/>
  <c r="F57"/>
  <c r="F56"/>
  <c r="E60"/>
  <c r="E59"/>
  <c r="E58"/>
  <c r="E57"/>
  <c r="E56"/>
  <c r="F59" i="3"/>
  <c r="F58"/>
  <c r="F57"/>
  <c r="F56"/>
  <c r="F60"/>
  <c r="E60"/>
  <c r="E59"/>
  <c r="E58"/>
  <c r="E57"/>
  <c r="E56"/>
  <c r="C60"/>
  <c r="B60"/>
  <c r="C59"/>
  <c r="B59"/>
  <c r="C58"/>
  <c r="B58"/>
  <c r="C57"/>
  <c r="B57"/>
  <c r="C56"/>
  <c r="B56"/>
  <c r="C60" i="2"/>
  <c r="C59"/>
  <c r="B60"/>
  <c r="B59"/>
  <c r="B58"/>
  <c r="B57"/>
  <c r="B56"/>
  <c r="C56"/>
  <c r="C57"/>
  <c r="C58"/>
  <c r="H63" i="1"/>
  <c r="E63"/>
  <c r="B63"/>
  <c r="I59"/>
  <c r="I58"/>
  <c r="I57"/>
  <c r="H59"/>
  <c r="H58"/>
  <c r="H57"/>
  <c r="D59"/>
  <c r="D58"/>
  <c r="D57"/>
  <c r="F61"/>
  <c r="E61"/>
  <c r="F60"/>
  <c r="F59"/>
  <c r="F58"/>
  <c r="F57"/>
  <c r="E60"/>
  <c r="E59"/>
  <c r="E58"/>
  <c r="E57"/>
  <c r="B57"/>
  <c r="B58"/>
  <c r="B59"/>
  <c r="B60"/>
  <c r="B61"/>
  <c r="C61"/>
  <c r="C60"/>
  <c r="C59"/>
  <c r="C58"/>
  <c r="C57"/>
  <c r="B62" i="3" l="1"/>
  <c r="B63"/>
  <c r="B63" i="2"/>
  <c r="B62"/>
</calcChain>
</file>

<file path=xl/sharedStrings.xml><?xml version="1.0" encoding="utf-8"?>
<sst xmlns="http://schemas.openxmlformats.org/spreadsheetml/2006/main" count="166" uniqueCount="28">
  <si>
    <t>Profiled on Aug 15 2011 at 13:57; Used NaoService r42 and a freshly recharged Nao,</t>
  </si>
  <si>
    <t>Results (main1()):</t>
  </si>
  <si>
    <t xml:space="preserve"> duration [nano secs]</t>
  </si>
  <si>
    <t>Min</t>
  </si>
  <si>
    <t>Max</t>
  </si>
  <si>
    <t>Arith. Mittel</t>
  </si>
  <si>
    <t>Std. Dev.</t>
  </si>
  <si>
    <t>Std. Dev. M</t>
  </si>
  <si>
    <t xml:space="preserve">Consumption [mJ] </t>
  </si>
  <si>
    <t>E [J]</t>
  </si>
  <si>
    <t>t [s]</t>
  </si>
  <si>
    <t>Profiled on Aug 16 2011 at 08:30; Used NaoService r42 and a freshly recharged Nao.</t>
  </si>
  <si>
    <t>Results (main2()):</t>
  </si>
  <si>
    <t>Nao fell. Removed dataset</t>
  </si>
  <si>
    <t>Modification [%]</t>
  </si>
  <si>
    <t>E modif. [%]</t>
  </si>
  <si>
    <t>t modif. [%]</t>
  </si>
  <si>
    <t>Power [W]</t>
  </si>
  <si>
    <t xml:space="preserve"> </t>
  </si>
  <si>
    <t xml:space="preserve"> Consumption [mJ] </t>
  </si>
  <si>
    <t>Profiling the Nao sitting unstiff for 10 seconds to estimate the probe effect, Done at Wed Aug 17 08:46:27 CEST 2011</t>
  </si>
  <si>
    <t xml:space="preserve">Frequency: 12,5 </t>
  </si>
  <si>
    <t xml:space="preserve"> Frequency: 6,25</t>
  </si>
  <si>
    <t xml:space="preserve"> Exec, time [nano secs] </t>
  </si>
  <si>
    <t xml:space="preserve"> Exec, time [nano secs]</t>
  </si>
  <si>
    <t>Probe Effect [W]</t>
  </si>
  <si>
    <t>Std. Dev. M [W]</t>
  </si>
  <si>
    <t>Profiling the Nao standing for 10 seconds to estimate the probe effect, Done at Wed Aug 17 10:21:00 CEST 2011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</si>
</sst>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0" fillId="34" borderId="0" xfId="0" applyFill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3"/>
  <sheetViews>
    <sheetView topLeftCell="A46" workbookViewId="0">
      <selection activeCell="A55" sqref="A55:F61"/>
    </sheetView>
  </sheetViews>
  <sheetFormatPr baseColWidth="10" defaultRowHeight="15"/>
  <cols>
    <col min="1" max="6" width="19.5703125" customWidth="1"/>
    <col min="7" max="7" width="7.140625" customWidth="1"/>
    <col min="8" max="9" width="19.5703125" customWidth="1"/>
  </cols>
  <sheetData>
    <row r="1" spans="2:6">
      <c r="B1" t="s">
        <v>0</v>
      </c>
      <c r="E1" t="s">
        <v>11</v>
      </c>
    </row>
    <row r="3" spans="2:6">
      <c r="B3" t="s">
        <v>1</v>
      </c>
      <c r="E3" t="s">
        <v>12</v>
      </c>
    </row>
    <row r="4" spans="2:6">
      <c r="B4" t="s">
        <v>8</v>
      </c>
      <c r="C4" t="s">
        <v>2</v>
      </c>
      <c r="E4" t="s">
        <v>8</v>
      </c>
      <c r="F4" t="s">
        <v>2</v>
      </c>
    </row>
    <row r="5" spans="2:6">
      <c r="B5">
        <v>2225283.9457466798</v>
      </c>
      <c r="C5">
        <v>55532464956</v>
      </c>
      <c r="E5">
        <v>1977031.6183958999</v>
      </c>
      <c r="F5">
        <v>58424534523</v>
      </c>
    </row>
    <row r="6" spans="2:6">
      <c r="B6">
        <v>2153685.6770263002</v>
      </c>
      <c r="C6">
        <v>55859335959</v>
      </c>
      <c r="E6">
        <v>2120814.3565388802</v>
      </c>
      <c r="F6">
        <v>58139132341</v>
      </c>
    </row>
    <row r="7" spans="2:6">
      <c r="B7">
        <v>2180147.3011312601</v>
      </c>
      <c r="C7">
        <v>56185447913</v>
      </c>
      <c r="E7">
        <v>2129549.1693207002</v>
      </c>
      <c r="F7">
        <v>57974720297</v>
      </c>
    </row>
    <row r="8" spans="2:6">
      <c r="B8">
        <v>2159239.3289034199</v>
      </c>
      <c r="C8">
        <v>54477980116</v>
      </c>
      <c r="E8">
        <v>2113853.67571584</v>
      </c>
      <c r="F8">
        <v>58720841319</v>
      </c>
    </row>
    <row r="9" spans="2:6">
      <c r="B9">
        <v>2165515.8997061099</v>
      </c>
      <c r="C9">
        <v>55402359663</v>
      </c>
      <c r="E9">
        <v>2099360.7305538501</v>
      </c>
      <c r="F9">
        <v>58083607481</v>
      </c>
    </row>
    <row r="10" spans="2:6">
      <c r="B10">
        <v>2101630.5605073902</v>
      </c>
      <c r="C10">
        <v>55446899880</v>
      </c>
      <c r="E10">
        <v>2136877.5799654298</v>
      </c>
      <c r="F10">
        <v>58180940610</v>
      </c>
    </row>
    <row r="11" spans="2:6">
      <c r="B11">
        <v>2075803.6195445701</v>
      </c>
      <c r="C11">
        <v>55303242669</v>
      </c>
      <c r="E11">
        <v>2114519.4510965701</v>
      </c>
      <c r="F11">
        <v>58501780752</v>
      </c>
    </row>
    <row r="12" spans="2:6">
      <c r="B12">
        <v>2106574.0330649498</v>
      </c>
      <c r="C12">
        <v>55079409355</v>
      </c>
      <c r="E12">
        <v>2053645.7299025899</v>
      </c>
      <c r="F12">
        <v>57679864098</v>
      </c>
    </row>
    <row r="13" spans="2:6">
      <c r="B13">
        <v>2112552.0603048899</v>
      </c>
      <c r="C13">
        <v>55390375208</v>
      </c>
      <c r="E13">
        <v>2097922.52763187</v>
      </c>
      <c r="F13">
        <v>58105195701</v>
      </c>
    </row>
    <row r="14" spans="2:6">
      <c r="B14">
        <v>2051544.4999994801</v>
      </c>
      <c r="C14">
        <v>55380426054</v>
      </c>
      <c r="E14">
        <v>2125765.1778611201</v>
      </c>
      <c r="F14">
        <v>58370571217</v>
      </c>
    </row>
    <row r="15" spans="2:6">
      <c r="B15">
        <v>2197703.4341294002</v>
      </c>
      <c r="C15">
        <v>55188398511</v>
      </c>
      <c r="E15">
        <v>2095983.35282047</v>
      </c>
      <c r="F15">
        <v>58134358006</v>
      </c>
    </row>
    <row r="16" spans="2:6">
      <c r="B16">
        <v>2127748.5500159999</v>
      </c>
      <c r="C16">
        <v>55385430523</v>
      </c>
      <c r="E16">
        <v>2110301.9109053402</v>
      </c>
      <c r="F16">
        <v>58162397602</v>
      </c>
    </row>
    <row r="17" spans="2:6">
      <c r="B17">
        <v>2124067.2449397701</v>
      </c>
      <c r="C17">
        <v>55381520245</v>
      </c>
      <c r="E17">
        <v>2060004.74951756</v>
      </c>
      <c r="F17">
        <v>58121811675</v>
      </c>
    </row>
    <row r="18" spans="2:6">
      <c r="B18">
        <v>2138165.6212623301</v>
      </c>
      <c r="C18">
        <v>55445441564</v>
      </c>
      <c r="E18">
        <v>2099025.6361328601</v>
      </c>
      <c r="F18">
        <v>58259306829</v>
      </c>
    </row>
    <row r="19" spans="2:6">
      <c r="B19">
        <v>2148654.7843450801</v>
      </c>
      <c r="C19">
        <v>55190381730</v>
      </c>
      <c r="E19">
        <v>2109455.7193679302</v>
      </c>
      <c r="F19">
        <v>58084743774</v>
      </c>
    </row>
    <row r="20" spans="2:6">
      <c r="B20">
        <v>2202264.5619366402</v>
      </c>
      <c r="C20">
        <v>55304536584</v>
      </c>
      <c r="E20">
        <v>2125516.05998284</v>
      </c>
      <c r="F20">
        <v>58775639296</v>
      </c>
    </row>
    <row r="21" spans="2:6">
      <c r="B21">
        <v>2209928.8635059199</v>
      </c>
      <c r="C21">
        <v>55506424514</v>
      </c>
      <c r="E21">
        <v>2114971.29580876</v>
      </c>
      <c r="F21">
        <v>58853810320</v>
      </c>
    </row>
    <row r="22" spans="2:6">
      <c r="B22">
        <v>2179433.6906419201</v>
      </c>
      <c r="C22">
        <v>55424357582</v>
      </c>
      <c r="E22">
        <v>2101599.1433441299</v>
      </c>
      <c r="F22">
        <v>58014713395</v>
      </c>
    </row>
    <row r="23" spans="2:6">
      <c r="B23">
        <v>2155306.8505374701</v>
      </c>
      <c r="C23">
        <v>55287414964</v>
      </c>
      <c r="E23">
        <v>2094800.3912975299</v>
      </c>
      <c r="F23">
        <v>58211994170</v>
      </c>
    </row>
    <row r="24" spans="2:6">
      <c r="B24">
        <v>2128588.02146303</v>
      </c>
      <c r="C24">
        <v>55391415050</v>
      </c>
      <c r="E24">
        <v>2102037.79369856</v>
      </c>
      <c r="F24">
        <v>58214652165</v>
      </c>
    </row>
    <row r="25" spans="2:6">
      <c r="B25">
        <v>2201477.6067312602</v>
      </c>
      <c r="C25">
        <v>55364422174</v>
      </c>
      <c r="E25">
        <v>2087612.83993651</v>
      </c>
      <c r="F25">
        <v>58115753404</v>
      </c>
    </row>
    <row r="26" spans="2:6">
      <c r="B26">
        <v>2150162.4606205402</v>
      </c>
      <c r="C26">
        <v>55241298680</v>
      </c>
      <c r="E26">
        <v>2110771.1244743601</v>
      </c>
      <c r="F26">
        <v>58287263095</v>
      </c>
    </row>
    <row r="27" spans="2:6">
      <c r="B27">
        <v>2200793.8917606301</v>
      </c>
      <c r="C27">
        <v>55762439046</v>
      </c>
      <c r="E27">
        <v>2150093.00685977</v>
      </c>
      <c r="F27">
        <v>58244306304</v>
      </c>
    </row>
    <row r="28" spans="2:6">
      <c r="B28">
        <v>2146436.7622558698</v>
      </c>
      <c r="C28">
        <v>55670453758</v>
      </c>
      <c r="E28">
        <v>2203615.8546111998</v>
      </c>
      <c r="F28">
        <v>59872514556</v>
      </c>
    </row>
    <row r="29" spans="2:6">
      <c r="B29">
        <v>1989319.77129574</v>
      </c>
      <c r="C29">
        <v>56244783691</v>
      </c>
      <c r="E29">
        <v>2135331.6234508799</v>
      </c>
      <c r="F29">
        <v>58314651893</v>
      </c>
    </row>
    <row r="30" spans="2:6">
      <c r="B30">
        <v>2170314.0887421402</v>
      </c>
      <c r="C30">
        <v>55341462310</v>
      </c>
      <c r="E30">
        <v>2127483.04909311</v>
      </c>
      <c r="F30">
        <v>58365185031</v>
      </c>
    </row>
    <row r="31" spans="2:6">
      <c r="B31">
        <v>2096988.37964339</v>
      </c>
      <c r="C31">
        <v>55343343174</v>
      </c>
      <c r="E31">
        <v>2114573.5784829399</v>
      </c>
      <c r="F31">
        <v>58042590406</v>
      </c>
    </row>
    <row r="32" spans="2:6">
      <c r="B32">
        <v>2106056.27847833</v>
      </c>
      <c r="C32">
        <v>55361469765</v>
      </c>
      <c r="E32">
        <v>2096012.3006858199</v>
      </c>
      <c r="F32">
        <v>58179034409</v>
      </c>
    </row>
    <row r="33" spans="2:7">
      <c r="B33">
        <v>2141980.4443878401</v>
      </c>
      <c r="C33">
        <v>55323371952</v>
      </c>
      <c r="E33">
        <v>2121349.6694637998</v>
      </c>
      <c r="F33">
        <v>58826169717</v>
      </c>
    </row>
    <row r="34" spans="2:7">
      <c r="B34">
        <v>2229513.17676723</v>
      </c>
      <c r="C34">
        <v>56582441247</v>
      </c>
      <c r="E34" s="3">
        <v>3589681.75553024</v>
      </c>
      <c r="F34" s="3">
        <v>80499830621</v>
      </c>
      <c r="G34" t="s">
        <v>13</v>
      </c>
    </row>
    <row r="35" spans="2:7">
      <c r="B35">
        <v>2165140.6398510002</v>
      </c>
      <c r="C35">
        <v>55374458284</v>
      </c>
      <c r="E35">
        <v>1992497.56771148</v>
      </c>
      <c r="F35">
        <v>58153056807</v>
      </c>
    </row>
    <row r="36" spans="2:7">
      <c r="B36">
        <v>2144656.5431936001</v>
      </c>
      <c r="C36">
        <v>55489409324</v>
      </c>
      <c r="E36">
        <v>2036562.01220019</v>
      </c>
      <c r="F36">
        <v>58245463430</v>
      </c>
    </row>
    <row r="37" spans="2:7">
      <c r="B37">
        <v>2137191.4313336299</v>
      </c>
      <c r="C37">
        <v>55343477684</v>
      </c>
      <c r="E37">
        <v>2002439.7354071001</v>
      </c>
      <c r="F37">
        <v>58075631234</v>
      </c>
    </row>
    <row r="38" spans="2:7">
      <c r="B38">
        <v>2116497.5921582002</v>
      </c>
      <c r="C38">
        <v>55139456628</v>
      </c>
      <c r="E38">
        <v>1980514.4934727601</v>
      </c>
      <c r="F38">
        <v>58203408338</v>
      </c>
    </row>
    <row r="39" spans="2:7">
      <c r="B39">
        <v>2105953.5810565101</v>
      </c>
      <c r="C39">
        <v>54902400650</v>
      </c>
      <c r="E39">
        <v>1973854.0484656601</v>
      </c>
      <c r="F39">
        <v>58068941639</v>
      </c>
    </row>
    <row r="40" spans="2:7">
      <c r="B40">
        <v>2181804.0135303601</v>
      </c>
      <c r="C40">
        <v>55874482513</v>
      </c>
      <c r="E40">
        <v>1981209.8491384301</v>
      </c>
      <c r="F40">
        <v>58604298079</v>
      </c>
    </row>
    <row r="41" spans="2:7">
      <c r="B41">
        <v>2123293.0244185599</v>
      </c>
      <c r="C41">
        <v>55369385881</v>
      </c>
      <c r="E41">
        <v>1994370.0950855601</v>
      </c>
      <c r="F41">
        <v>58354135040</v>
      </c>
    </row>
    <row r="42" spans="2:7">
      <c r="B42">
        <v>2167836.3328317399</v>
      </c>
      <c r="C42">
        <v>55298449702</v>
      </c>
      <c r="E42">
        <v>2040018.46984524</v>
      </c>
      <c r="F42">
        <v>58006166511</v>
      </c>
    </row>
    <row r="43" spans="2:7">
      <c r="B43">
        <v>2156325.1673356802</v>
      </c>
      <c r="C43">
        <v>55379340017</v>
      </c>
      <c r="E43" s="3">
        <v>2889304.58830105</v>
      </c>
      <c r="F43" s="3">
        <v>71093243559</v>
      </c>
      <c r="G43" t="s">
        <v>13</v>
      </c>
    </row>
    <row r="44" spans="2:7">
      <c r="B44">
        <v>2218752.6004410801</v>
      </c>
      <c r="C44">
        <v>56187446077</v>
      </c>
      <c r="E44" s="3">
        <v>2754069.0637509101</v>
      </c>
      <c r="F44" s="3">
        <v>68890044908</v>
      </c>
      <c r="G44" t="s">
        <v>13</v>
      </c>
    </row>
    <row r="45" spans="2:7">
      <c r="B45">
        <v>2204927.7910108101</v>
      </c>
      <c r="C45">
        <v>55319266024</v>
      </c>
      <c r="E45">
        <v>2029260.5345687</v>
      </c>
      <c r="F45">
        <v>58828885228</v>
      </c>
    </row>
    <row r="46" spans="2:7">
      <c r="B46">
        <v>2176336.7285634498</v>
      </c>
      <c r="C46">
        <v>55307377129</v>
      </c>
      <c r="E46">
        <v>1989456.3633709999</v>
      </c>
      <c r="F46">
        <v>58004264837</v>
      </c>
    </row>
    <row r="47" spans="2:7">
      <c r="B47">
        <v>2176803.8665121198</v>
      </c>
      <c r="C47">
        <v>55478394512</v>
      </c>
      <c r="E47">
        <v>1915070.46356889</v>
      </c>
      <c r="F47">
        <v>58121246924</v>
      </c>
    </row>
    <row r="48" spans="2:7">
      <c r="B48">
        <v>2220163.1411584001</v>
      </c>
      <c r="C48">
        <v>55325331620</v>
      </c>
      <c r="E48">
        <v>1976100.5349125101</v>
      </c>
      <c r="F48">
        <v>58250112769</v>
      </c>
    </row>
    <row r="49" spans="1:9">
      <c r="B49">
        <v>2114250.3194687902</v>
      </c>
      <c r="C49">
        <v>55486415700</v>
      </c>
      <c r="E49">
        <v>2016794.06173363</v>
      </c>
      <c r="F49">
        <v>58148342252</v>
      </c>
    </row>
    <row r="50" spans="1:9">
      <c r="B50">
        <v>2201873.36511283</v>
      </c>
      <c r="C50">
        <v>55440397695</v>
      </c>
      <c r="E50">
        <v>1992387.3943795201</v>
      </c>
      <c r="F50">
        <v>58229225618</v>
      </c>
    </row>
    <row r="51" spans="1:9">
      <c r="B51">
        <v>2175907.48125721</v>
      </c>
      <c r="C51">
        <v>55428480720</v>
      </c>
      <c r="E51">
        <v>2003472.3057633201</v>
      </c>
      <c r="F51">
        <v>58257581782</v>
      </c>
    </row>
    <row r="52" spans="1:9">
      <c r="B52">
        <v>2025178.58636415</v>
      </c>
      <c r="C52">
        <v>55356397363</v>
      </c>
      <c r="E52">
        <v>1977774.3101391301</v>
      </c>
      <c r="F52">
        <v>58450411131</v>
      </c>
    </row>
    <row r="53" spans="1:9">
      <c r="B53">
        <v>2167145.2082068399</v>
      </c>
      <c r="C53">
        <v>56096527353</v>
      </c>
      <c r="E53">
        <v>1974977.64150323</v>
      </c>
      <c r="F53">
        <v>58364807777</v>
      </c>
    </row>
    <row r="54" spans="1:9">
      <c r="B54">
        <v>2194958.2259860402</v>
      </c>
      <c r="C54">
        <v>55426338084</v>
      </c>
      <c r="E54">
        <v>2025806.7590840301</v>
      </c>
      <c r="F54">
        <v>58104030876</v>
      </c>
    </row>
    <row r="56" spans="1:9" ht="18.75">
      <c r="A56" s="2"/>
      <c r="B56" s="5" t="s">
        <v>9</v>
      </c>
      <c r="C56" s="5" t="s">
        <v>10</v>
      </c>
      <c r="D56" s="4" t="s">
        <v>14</v>
      </c>
      <c r="E56" s="5" t="s">
        <v>9</v>
      </c>
      <c r="F56" s="5" t="s">
        <v>10</v>
      </c>
      <c r="H56" s="5" t="s">
        <v>15</v>
      </c>
      <c r="I56" s="5" t="s">
        <v>16</v>
      </c>
    </row>
    <row r="57" spans="1:9" s="1" customFormat="1" ht="18.75">
      <c r="A57" s="2" t="s">
        <v>3</v>
      </c>
      <c r="B57" s="2">
        <f>ROUND(MIN(B5:B54)/1000, 2)</f>
        <v>1989.32</v>
      </c>
      <c r="C57" s="2">
        <f>ROUND(MIN(C5:C54) / 1000000000,2)</f>
        <v>54.48</v>
      </c>
      <c r="D57" s="1">
        <f>ROUND((100-(E57/B57*100))*-1,2)</f>
        <v>-3.73</v>
      </c>
      <c r="E57" s="2">
        <f>ROUND(MIN(E45:E54,E35:E42,E5:E33)/1000, 2)</f>
        <v>1915.07</v>
      </c>
      <c r="F57" s="2">
        <f>ROUND(MIN(F45:F54,F35:F42,F5:F33) / 1000000000,2)</f>
        <v>57.68</v>
      </c>
      <c r="H57" s="2">
        <f>ROUND((100-(E57/B57*100))*-1,2)</f>
        <v>-3.73</v>
      </c>
      <c r="I57" s="2">
        <f t="shared" ref="I57:I59" si="0">ROUND((100-(F57/C57*100))*-1,2)</f>
        <v>5.87</v>
      </c>
    </row>
    <row r="58" spans="1:9" s="1" customFormat="1" ht="18.75">
      <c r="A58" s="2" t="s">
        <v>4</v>
      </c>
      <c r="B58" s="2">
        <f>ROUND(MAX(B5:B54)/1000,2)</f>
        <v>2229.5100000000002</v>
      </c>
      <c r="C58" s="2">
        <f>ROUND(MAX(C5:C54) / 1000000000,2)</f>
        <v>56.58</v>
      </c>
      <c r="D58" s="1">
        <f t="shared" ref="D58:D59" si="1">ROUND((100-(E58/B58*100))*-1,2)</f>
        <v>-1.1599999999999999</v>
      </c>
      <c r="E58" s="2">
        <f>ROUND(MAX(E45:E54,E35:E42,E5:E33)/1000,2)</f>
        <v>2203.62</v>
      </c>
      <c r="F58" s="2">
        <f>ROUND(MAX(F45:F54,F35:F42,F5:F33) / 1000000000,2)</f>
        <v>59.87</v>
      </c>
      <c r="H58" s="2">
        <f t="shared" ref="H58:H59" si="2">ROUND((100-(E58/B58*100))*-1,2)</f>
        <v>-1.1599999999999999</v>
      </c>
      <c r="I58" s="2">
        <f t="shared" si="0"/>
        <v>5.81</v>
      </c>
    </row>
    <row r="59" spans="1:9" s="1" customFormat="1" ht="18.75">
      <c r="A59" s="2" t="s">
        <v>5</v>
      </c>
      <c r="B59" s="2">
        <f>ROUND(AVERAGE(B5:B54)/1000,2)</f>
        <v>2151.04</v>
      </c>
      <c r="C59" s="2">
        <f>ROUND(AVERAGE(C5:C54) / 1000000000,2)</f>
        <v>55.46</v>
      </c>
      <c r="D59" s="1">
        <f t="shared" si="1"/>
        <v>-4.0199999999999996</v>
      </c>
      <c r="E59" s="2">
        <f>ROUND(AVERAGE(E45:E54,E35:E42,E5:E33)/1000,2)</f>
        <v>2064.52</v>
      </c>
      <c r="F59" s="2">
        <f>ROUND(AVERAGE(F45:F54,F35:F42,F5:F33) / 1000000000,2)</f>
        <v>58.29</v>
      </c>
      <c r="H59" s="2">
        <f t="shared" si="2"/>
        <v>-4.0199999999999996</v>
      </c>
      <c r="I59" s="2">
        <f t="shared" si="0"/>
        <v>5.0999999999999996</v>
      </c>
    </row>
    <row r="60" spans="1:9" s="1" customFormat="1" ht="18.75">
      <c r="A60" s="2" t="s">
        <v>6</v>
      </c>
      <c r="B60" s="2">
        <f>ROUND(STDEV(B5:B54) /1000,2)</f>
        <v>50.25</v>
      </c>
      <c r="C60" s="2">
        <f>ROUND(STDEV(C5:C54) / 1000000000,2)</f>
        <v>0.35</v>
      </c>
      <c r="E60" s="2">
        <f>ROUND(STDEV(E45:E54,E35:E42,E5:E33) /1000,2)</f>
        <v>65.209999999999994</v>
      </c>
      <c r="F60" s="2">
        <f>ROUND(STDEV(F45:F54,F35:F42,F5:F33) / 1000000000,2)</f>
        <v>0.34</v>
      </c>
      <c r="H60" s="2"/>
      <c r="I60" s="2"/>
    </row>
    <row r="61" spans="1:9" s="1" customFormat="1" ht="18.75">
      <c r="A61" s="2" t="s">
        <v>7</v>
      </c>
      <c r="B61" s="2">
        <f>ROUND(STDEV(B5:B54) / 1000 / SQRT(50),2)</f>
        <v>7.11</v>
      </c>
      <c r="C61" s="2">
        <f>ROUND(STDEV(C5:C54) / SQRT(50) / 1000000000,2)</f>
        <v>0.05</v>
      </c>
      <c r="E61" s="2">
        <f>ROUND(STDEV(E45:E54,E35:E42,E5:E33) / 1000 / SQRT(47),2)</f>
        <v>9.51</v>
      </c>
      <c r="F61" s="2">
        <f>ROUND(STDEV(F45:F54,F35:F42,F5:F33) / SQRT(47) / 1000000000,2)</f>
        <v>0.05</v>
      </c>
      <c r="H61" s="2"/>
      <c r="I61" s="2"/>
    </row>
    <row r="62" spans="1:9" s="1" customFormat="1"/>
    <row r="63" spans="1:9" s="2" customFormat="1" ht="18.75">
      <c r="A63" s="2" t="s">
        <v>17</v>
      </c>
      <c r="B63" s="2">
        <f>ROUND(B59/C59,2)</f>
        <v>38.79</v>
      </c>
      <c r="E63" s="2">
        <f>ROUND(E59/F59,2)</f>
        <v>35.42</v>
      </c>
      <c r="H63" s="2">
        <f t="shared" ref="H63" si="3">ROUND((100-(E63/B63*100))*-1,2)</f>
        <v>-8.69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tabSelected="1" topLeftCell="A46" workbookViewId="0">
      <selection activeCell="E57" sqref="E57"/>
    </sheetView>
  </sheetViews>
  <sheetFormatPr baseColWidth="10" defaultRowHeight="15"/>
  <cols>
    <col min="1" max="1" width="20.42578125" customWidth="1"/>
    <col min="2" max="6" width="16.5703125" customWidth="1"/>
  </cols>
  <sheetData>
    <row r="1" spans="2:6">
      <c r="B1" t="s">
        <v>20</v>
      </c>
    </row>
    <row r="2" spans="2:6">
      <c r="B2" t="s">
        <v>21</v>
      </c>
      <c r="C2" t="s">
        <v>18</v>
      </c>
      <c r="D2" t="s">
        <v>18</v>
      </c>
      <c r="E2" t="s">
        <v>22</v>
      </c>
    </row>
    <row r="3" spans="2:6">
      <c r="B3" t="s">
        <v>8</v>
      </c>
      <c r="C3" t="s">
        <v>23</v>
      </c>
      <c r="D3" t="s">
        <v>18</v>
      </c>
      <c r="E3" t="s">
        <v>19</v>
      </c>
      <c r="F3" t="s">
        <v>24</v>
      </c>
    </row>
    <row r="4" spans="2:6">
      <c r="B4">
        <v>195948.76396927901</v>
      </c>
      <c r="C4">
        <v>10000763122</v>
      </c>
      <c r="D4" t="s">
        <v>18</v>
      </c>
      <c r="E4">
        <v>194492.39490304</v>
      </c>
      <c r="F4">
        <v>10000253166</v>
      </c>
    </row>
    <row r="5" spans="2:6">
      <c r="B5">
        <v>196199.53809023899</v>
      </c>
      <c r="C5">
        <v>10000257695</v>
      </c>
      <c r="D5" t="s">
        <v>18</v>
      </c>
      <c r="E5">
        <v>194176.374011904</v>
      </c>
      <c r="F5">
        <v>10000235956</v>
      </c>
    </row>
    <row r="6" spans="2:6">
      <c r="B6">
        <v>196262.43961216</v>
      </c>
      <c r="C6">
        <v>10000514484</v>
      </c>
      <c r="D6" t="s">
        <v>18</v>
      </c>
      <c r="E6">
        <v>194301.44182860799</v>
      </c>
      <c r="F6">
        <v>10000265394</v>
      </c>
    </row>
    <row r="7" spans="2:6">
      <c r="B7">
        <v>196207.907901951</v>
      </c>
      <c r="C7">
        <v>10000525354</v>
      </c>
      <c r="D7" t="s">
        <v>18</v>
      </c>
      <c r="E7">
        <v>195472.07104486399</v>
      </c>
      <c r="F7">
        <v>10000252714</v>
      </c>
    </row>
    <row r="8" spans="2:6">
      <c r="B8">
        <v>195548.819500799</v>
      </c>
      <c r="C8">
        <v>10000230975</v>
      </c>
      <c r="D8" t="s">
        <v>18</v>
      </c>
      <c r="E8">
        <v>195170.428569343</v>
      </c>
      <c r="F8">
        <v>10000214670</v>
      </c>
    </row>
    <row r="9" spans="2:6">
      <c r="B9">
        <v>196515.73043763201</v>
      </c>
      <c r="C9">
        <v>10000400809</v>
      </c>
      <c r="D9" t="s">
        <v>18</v>
      </c>
      <c r="E9">
        <v>194234.904452096</v>
      </c>
      <c r="F9">
        <v>10000207424</v>
      </c>
    </row>
    <row r="10" spans="2:6">
      <c r="B10">
        <v>196345.556624127</v>
      </c>
      <c r="C10">
        <v>10000129980</v>
      </c>
      <c r="D10" t="s">
        <v>18</v>
      </c>
      <c r="E10">
        <v>194629.504125184</v>
      </c>
      <c r="F10">
        <v>10000256337</v>
      </c>
    </row>
    <row r="11" spans="2:6">
      <c r="B11">
        <v>196452.972504064</v>
      </c>
      <c r="C11">
        <v>9999883154</v>
      </c>
      <c r="D11" t="s">
        <v>18</v>
      </c>
      <c r="E11">
        <v>195294.56867584001</v>
      </c>
      <c r="F11">
        <v>10000181157</v>
      </c>
    </row>
    <row r="12" spans="2:6">
      <c r="B12">
        <v>196147.39630950399</v>
      </c>
      <c r="C12">
        <v>10000150360</v>
      </c>
      <c r="D12" t="s">
        <v>18</v>
      </c>
      <c r="E12">
        <v>194452.06352</v>
      </c>
      <c r="F12">
        <v>10000336045</v>
      </c>
    </row>
    <row r="13" spans="2:6">
      <c r="B13">
        <v>196289.467063296</v>
      </c>
      <c r="C13">
        <v>10000530788</v>
      </c>
      <c r="D13" t="s">
        <v>18</v>
      </c>
      <c r="E13">
        <v>194313.02308454399</v>
      </c>
      <c r="F13">
        <v>10000277170</v>
      </c>
    </row>
    <row r="14" spans="2:6">
      <c r="B14">
        <v>196330.183963391</v>
      </c>
      <c r="C14">
        <v>10000469195</v>
      </c>
      <c r="D14" t="s">
        <v>18</v>
      </c>
      <c r="E14">
        <v>194127.101398272</v>
      </c>
      <c r="F14">
        <v>10000410319</v>
      </c>
    </row>
    <row r="15" spans="2:6">
      <c r="B15">
        <v>196484.77483545599</v>
      </c>
      <c r="C15">
        <v>9999984149</v>
      </c>
      <c r="D15" t="s">
        <v>18</v>
      </c>
      <c r="E15">
        <v>194433.15268889599</v>
      </c>
      <c r="F15">
        <v>10000226898</v>
      </c>
    </row>
    <row r="16" spans="2:6">
      <c r="B16">
        <v>196470.02085683201</v>
      </c>
      <c r="C16">
        <v>10000343745</v>
      </c>
      <c r="D16" t="s">
        <v>18</v>
      </c>
      <c r="E16">
        <v>194493.21219404801</v>
      </c>
      <c r="F16">
        <v>10000603251</v>
      </c>
    </row>
    <row r="17" spans="2:6">
      <c r="B17">
        <v>212678.37047091199</v>
      </c>
      <c r="C17">
        <v>10000370012</v>
      </c>
      <c r="D17" t="s">
        <v>18</v>
      </c>
      <c r="E17">
        <v>194647.04667519999</v>
      </c>
      <c r="F17">
        <v>10000101448</v>
      </c>
    </row>
    <row r="18" spans="2:6">
      <c r="B18">
        <v>196150.74859417501</v>
      </c>
      <c r="C18">
        <v>10000621819</v>
      </c>
      <c r="D18" t="s">
        <v>18</v>
      </c>
      <c r="E18">
        <v>194356.97255116701</v>
      </c>
      <c r="F18">
        <v>10000196555</v>
      </c>
    </row>
    <row r="19" spans="2:6">
      <c r="B19">
        <v>196590.363351295</v>
      </c>
      <c r="C19">
        <v>10000549810</v>
      </c>
      <c r="D19" t="s">
        <v>18</v>
      </c>
      <c r="E19">
        <v>194557.27726566399</v>
      </c>
      <c r="F19">
        <v>10000205613</v>
      </c>
    </row>
    <row r="20" spans="2:6">
      <c r="B20">
        <v>195509.65514214299</v>
      </c>
      <c r="C20">
        <v>10000574719</v>
      </c>
      <c r="D20" t="s">
        <v>18</v>
      </c>
      <c r="E20">
        <v>194429.908583935</v>
      </c>
      <c r="F20">
        <v>10000275811</v>
      </c>
    </row>
    <row r="21" spans="2:6">
      <c r="B21">
        <v>196207.728410624</v>
      </c>
      <c r="C21">
        <v>10000538035</v>
      </c>
      <c r="D21" t="s">
        <v>18</v>
      </c>
      <c r="E21">
        <v>194126.24462438401</v>
      </c>
      <c r="F21">
        <v>10000238673</v>
      </c>
    </row>
    <row r="22" spans="2:6">
      <c r="B22">
        <v>195234.82775731201</v>
      </c>
      <c r="C22">
        <v>10000510861</v>
      </c>
      <c r="D22" t="s">
        <v>18</v>
      </c>
      <c r="E22">
        <v>194350.65925555199</v>
      </c>
      <c r="F22">
        <v>10000262677</v>
      </c>
    </row>
    <row r="23" spans="2:6">
      <c r="B23">
        <v>196203.43010687901</v>
      </c>
      <c r="C23">
        <v>10000588759</v>
      </c>
      <c r="D23" t="s">
        <v>18</v>
      </c>
      <c r="E23">
        <v>194124.553631744</v>
      </c>
      <c r="F23">
        <v>10000209236</v>
      </c>
    </row>
    <row r="24" spans="2:6">
      <c r="B24">
        <v>195362.23395481601</v>
      </c>
      <c r="C24">
        <v>10000567925</v>
      </c>
      <c r="D24" t="s">
        <v>18</v>
      </c>
      <c r="E24">
        <v>195217.22894822399</v>
      </c>
      <c r="F24">
        <v>10000240033</v>
      </c>
    </row>
    <row r="25" spans="2:6">
      <c r="B25">
        <v>195555.38729856</v>
      </c>
      <c r="C25">
        <v>10000704699</v>
      </c>
      <c r="D25" t="s">
        <v>18</v>
      </c>
      <c r="E25">
        <v>194289.06817510401</v>
      </c>
      <c r="F25">
        <v>10000569737</v>
      </c>
    </row>
    <row r="26" spans="2:6">
      <c r="B26">
        <v>195426.01355315099</v>
      </c>
      <c r="C26">
        <v>10000606873</v>
      </c>
      <c r="D26" t="s">
        <v>18</v>
      </c>
      <c r="E26">
        <v>195061.12550297499</v>
      </c>
      <c r="F26">
        <v>10000660768</v>
      </c>
    </row>
    <row r="27" spans="2:6">
      <c r="B27">
        <v>195689.17232025601</v>
      </c>
      <c r="C27">
        <v>10000048912</v>
      </c>
      <c r="D27" t="s">
        <v>18</v>
      </c>
      <c r="E27">
        <v>194001.02001766401</v>
      </c>
      <c r="F27">
        <v>10003306556</v>
      </c>
    </row>
    <row r="28" spans="2:6">
      <c r="B28">
        <v>195324.72525312001</v>
      </c>
      <c r="C28">
        <v>10000505879</v>
      </c>
      <c r="D28" t="s">
        <v>18</v>
      </c>
      <c r="E28">
        <v>194345.470998784</v>
      </c>
      <c r="F28">
        <v>10000106429</v>
      </c>
    </row>
    <row r="29" spans="2:6">
      <c r="B29">
        <v>195992.73140044801</v>
      </c>
      <c r="C29">
        <v>10000458778</v>
      </c>
      <c r="D29" t="s">
        <v>18</v>
      </c>
      <c r="E29">
        <v>195292.61383705601</v>
      </c>
      <c r="F29">
        <v>10000230521</v>
      </c>
    </row>
    <row r="30" spans="2:6">
      <c r="B30">
        <v>195695.59741824001</v>
      </c>
      <c r="C30">
        <v>10000456967</v>
      </c>
      <c r="D30" t="s">
        <v>18</v>
      </c>
      <c r="E30">
        <v>195004.76665625599</v>
      </c>
      <c r="F30">
        <v>10000271734</v>
      </c>
    </row>
    <row r="31" spans="2:6">
      <c r="B31">
        <v>197688.961576703</v>
      </c>
      <c r="C31">
        <v>10000523089</v>
      </c>
      <c r="D31" t="s">
        <v>18</v>
      </c>
      <c r="E31">
        <v>193900.639907584</v>
      </c>
      <c r="F31">
        <v>10000283057</v>
      </c>
    </row>
    <row r="32" spans="2:6">
      <c r="B32">
        <v>194966.78667980799</v>
      </c>
      <c r="C32">
        <v>10000411225</v>
      </c>
      <c r="D32" t="s">
        <v>18</v>
      </c>
      <c r="E32">
        <v>194853.52903628699</v>
      </c>
      <c r="F32">
        <v>10000191120</v>
      </c>
    </row>
    <row r="33" spans="2:6">
      <c r="B33">
        <v>195904.77852672001</v>
      </c>
      <c r="C33">
        <v>10000578795</v>
      </c>
      <c r="D33" t="s">
        <v>18</v>
      </c>
      <c r="E33">
        <v>194833.82895718401</v>
      </c>
      <c r="F33">
        <v>10000269923</v>
      </c>
    </row>
    <row r="34" spans="2:6">
      <c r="B34">
        <v>196108.57982873599</v>
      </c>
      <c r="C34">
        <v>10000251808</v>
      </c>
      <c r="D34" t="s">
        <v>18</v>
      </c>
      <c r="E34">
        <v>194000.71344358401</v>
      </c>
      <c r="F34">
        <v>10000261771</v>
      </c>
    </row>
    <row r="35" spans="2:6">
      <c r="B35">
        <v>195404.83267020801</v>
      </c>
      <c r="C35">
        <v>10000517202</v>
      </c>
      <c r="D35" t="s">
        <v>18</v>
      </c>
      <c r="E35">
        <v>194800.43740927899</v>
      </c>
      <c r="F35">
        <v>10000258601</v>
      </c>
    </row>
    <row r="36" spans="2:6">
      <c r="B36">
        <v>195327.49583411199</v>
      </c>
      <c r="C36">
        <v>10002124512</v>
      </c>
      <c r="D36" t="s">
        <v>18</v>
      </c>
      <c r="E36">
        <v>193754.681373439</v>
      </c>
      <c r="F36">
        <v>10000411677</v>
      </c>
    </row>
    <row r="37" spans="2:6">
      <c r="B37">
        <v>195574.19462911901</v>
      </c>
      <c r="C37">
        <v>10000014493</v>
      </c>
      <c r="D37" t="s">
        <v>18</v>
      </c>
      <c r="E37">
        <v>193904.28793113501</v>
      </c>
      <c r="F37">
        <v>10000312947</v>
      </c>
    </row>
    <row r="38" spans="2:6">
      <c r="B38">
        <v>195311.01127577599</v>
      </c>
      <c r="C38">
        <v>10000485952</v>
      </c>
      <c r="D38" t="s">
        <v>18</v>
      </c>
      <c r="E38">
        <v>193818.01136947199</v>
      </c>
      <c r="F38">
        <v>10000153983</v>
      </c>
    </row>
    <row r="39" spans="2:6">
      <c r="B39">
        <v>195196.814878976</v>
      </c>
      <c r="C39">
        <v>10000613667</v>
      </c>
      <c r="D39" t="s">
        <v>18</v>
      </c>
      <c r="E39">
        <v>195079.552797696</v>
      </c>
      <c r="F39">
        <v>10000218746</v>
      </c>
    </row>
    <row r="40" spans="2:6">
      <c r="B40">
        <v>196128.32844851099</v>
      </c>
      <c r="C40">
        <v>10000214670</v>
      </c>
      <c r="D40" t="s">
        <v>18</v>
      </c>
      <c r="E40">
        <v>193882.95309004799</v>
      </c>
      <c r="F40">
        <v>10000125904</v>
      </c>
    </row>
    <row r="41" spans="2:6">
      <c r="B41">
        <v>195124.541525504</v>
      </c>
      <c r="C41">
        <v>10000434322</v>
      </c>
      <c r="D41" t="s">
        <v>18</v>
      </c>
      <c r="E41">
        <v>193922.802445312</v>
      </c>
      <c r="F41">
        <v>10000223276</v>
      </c>
    </row>
    <row r="42" spans="2:6">
      <c r="B42">
        <v>195842.483036672</v>
      </c>
      <c r="C42">
        <v>9999658068</v>
      </c>
      <c r="D42" t="s">
        <v>18</v>
      </c>
      <c r="E42">
        <v>193845.550060799</v>
      </c>
      <c r="F42">
        <v>10000230974</v>
      </c>
    </row>
    <row r="43" spans="2:6">
      <c r="B43">
        <v>195860.88815462301</v>
      </c>
      <c r="C43">
        <v>10000525353</v>
      </c>
      <c r="D43" t="s">
        <v>18</v>
      </c>
      <c r="E43">
        <v>193741.09726617599</v>
      </c>
      <c r="F43">
        <v>10000304795</v>
      </c>
    </row>
    <row r="44" spans="2:6">
      <c r="B44">
        <v>195401.42568038299</v>
      </c>
      <c r="C44">
        <v>10000490481</v>
      </c>
      <c r="D44" t="s">
        <v>18</v>
      </c>
      <c r="E44">
        <v>193822.18834636701</v>
      </c>
      <c r="F44">
        <v>10000303437</v>
      </c>
    </row>
    <row r="45" spans="2:6">
      <c r="B45">
        <v>195543.026422528</v>
      </c>
      <c r="C45">
        <v>10000586494</v>
      </c>
      <c r="D45" t="s">
        <v>18</v>
      </c>
      <c r="E45">
        <v>193869.42841932701</v>
      </c>
      <c r="F45">
        <v>9999800275</v>
      </c>
    </row>
    <row r="46" spans="2:6">
      <c r="B46">
        <v>196174.55857407901</v>
      </c>
      <c r="C46">
        <v>10000245014</v>
      </c>
      <c r="D46" t="s">
        <v>18</v>
      </c>
      <c r="E46" s="6">
        <v>207786.65531008001</v>
      </c>
      <c r="F46" s="6">
        <v>10000276264</v>
      </c>
    </row>
    <row r="47" spans="2:6">
      <c r="B47">
        <v>194542.291404288</v>
      </c>
      <c r="C47">
        <v>10000344197</v>
      </c>
      <c r="D47" t="s">
        <v>18</v>
      </c>
      <c r="E47">
        <v>194529.79703500701</v>
      </c>
      <c r="F47">
        <v>10000331063</v>
      </c>
    </row>
    <row r="48" spans="2:6">
      <c r="B48">
        <v>195423.217802239</v>
      </c>
      <c r="C48">
        <v>10002481390</v>
      </c>
      <c r="D48" t="s">
        <v>18</v>
      </c>
      <c r="E48">
        <v>193632.275943935</v>
      </c>
      <c r="F48">
        <v>10000334233</v>
      </c>
    </row>
    <row r="49" spans="1:6">
      <c r="B49">
        <v>194653.40890137601</v>
      </c>
      <c r="C49">
        <v>10000510408</v>
      </c>
      <c r="D49" t="s">
        <v>18</v>
      </c>
      <c r="E49">
        <v>193771.69806028699</v>
      </c>
      <c r="F49">
        <v>10000293926</v>
      </c>
    </row>
    <row r="50" spans="1:6">
      <c r="B50">
        <v>195543.14358246399</v>
      </c>
      <c r="C50">
        <v>10000473724</v>
      </c>
      <c r="D50" t="s">
        <v>18</v>
      </c>
      <c r="E50">
        <v>193756.531651072</v>
      </c>
      <c r="F50">
        <v>10000320194</v>
      </c>
    </row>
    <row r="51" spans="1:6">
      <c r="B51">
        <v>195516.40782591901</v>
      </c>
      <c r="C51">
        <v>10000302078</v>
      </c>
      <c r="D51" t="s">
        <v>18</v>
      </c>
      <c r="E51">
        <v>194807.64688025601</v>
      </c>
      <c r="F51">
        <v>10000240938</v>
      </c>
    </row>
    <row r="52" spans="1:6">
      <c r="B52">
        <v>195831.63503974301</v>
      </c>
      <c r="C52">
        <v>10000053894</v>
      </c>
      <c r="D52" t="s">
        <v>18</v>
      </c>
      <c r="E52">
        <v>193626.16233062401</v>
      </c>
      <c r="F52">
        <v>10000164400</v>
      </c>
    </row>
    <row r="53" spans="1:6">
      <c r="B53">
        <v>195339.62920166299</v>
      </c>
      <c r="C53">
        <v>10000567019</v>
      </c>
      <c r="D53" t="s">
        <v>18</v>
      </c>
      <c r="E53">
        <v>193424.976140799</v>
      </c>
      <c r="F53">
        <v>10000251807</v>
      </c>
    </row>
    <row r="55" spans="1:6" ht="18.75">
      <c r="A55" s="2"/>
      <c r="B55" s="5" t="s">
        <v>9</v>
      </c>
      <c r="C55" s="5" t="s">
        <v>10</v>
      </c>
      <c r="D55" s="4"/>
      <c r="E55" s="5" t="s">
        <v>9</v>
      </c>
      <c r="F55" s="5" t="s">
        <v>10</v>
      </c>
    </row>
    <row r="56" spans="1:6" ht="18.75">
      <c r="A56" s="2" t="s">
        <v>3</v>
      </c>
      <c r="B56" s="2">
        <f>ROUND(MIN(B4:B53)/1000, 4)</f>
        <v>194.54230000000001</v>
      </c>
      <c r="C56" s="2">
        <f>ROUND(MIN(C4:C53) / 1000000000,5)</f>
        <v>9.9996600000000004</v>
      </c>
      <c r="D56" s="1"/>
      <c r="E56" s="2">
        <f>ROUND(MIN(E47:E53,E4:E45)/1000, 4)</f>
        <v>193.42500000000001</v>
      </c>
      <c r="F56" s="2">
        <f>ROUND(MIN(F47:F53,F4:F45) / 1000000000,5)</f>
        <v>9.9998000000000005</v>
      </c>
    </row>
    <row r="57" spans="1:6" ht="18.75">
      <c r="A57" s="2" t="s">
        <v>4</v>
      </c>
      <c r="B57" s="2">
        <f>ROUND(MAX(B4:B53)/1000,4)</f>
        <v>212.67840000000001</v>
      </c>
      <c r="C57" s="2">
        <f>ROUND(MAX(C4:C53) / 1000000000,5)</f>
        <v>10.00248</v>
      </c>
      <c r="D57" s="1"/>
      <c r="E57" s="2">
        <f>ROUND(MAX(E47:E53,E4:E45)/1000,4)</f>
        <v>195.47210000000001</v>
      </c>
      <c r="F57" s="2">
        <f>ROUND(MAX(F47:F53,F4:F45) / 1000000000,5)</f>
        <v>10.003310000000001</v>
      </c>
    </row>
    <row r="58" spans="1:6" ht="18.75">
      <c r="A58" s="2" t="s">
        <v>5</v>
      </c>
      <c r="B58" s="2">
        <f>ROUND(AVERAGE(B4:B53)/1000,4)</f>
        <v>196.1447</v>
      </c>
      <c r="C58" s="2">
        <f>ROUND(AVERAGE(C4:C53) / 1000000000,5)</f>
        <v>10.00047</v>
      </c>
      <c r="D58" s="1"/>
      <c r="E58" s="2">
        <f>ROUND(AVERAGE(E47:E53,E4:E45)/1000,4)</f>
        <v>194.34639999999999</v>
      </c>
      <c r="F58" s="2">
        <f>ROUND(AVERAGE(F47:F53,F4:F45) / 1000000000,5)</f>
        <v>10.00032</v>
      </c>
    </row>
    <row r="59" spans="1:6" ht="18.75">
      <c r="A59" s="2" t="s">
        <v>6</v>
      </c>
      <c r="B59" s="2">
        <f>ROUND(STDEV(B4:B53) /1000,4)</f>
        <v>2.4504999999999999</v>
      </c>
      <c r="C59" s="2">
        <f>ROUND(STDEV(C4:C53) / 1000000000,5)</f>
        <v>4.4000000000000002E-4</v>
      </c>
      <c r="D59" s="1"/>
      <c r="E59" s="2">
        <f>ROUND(STDEV(E47:E53,E4:E45) /1000,4)</f>
        <v>0.5151</v>
      </c>
      <c r="F59" s="2">
        <f>ROUND(STDEV(F47:F53,F4:F45) / 1000000000,5)</f>
        <v>4.4999999999999999E-4</v>
      </c>
    </row>
    <row r="60" spans="1:6" ht="18.75">
      <c r="A60" s="2" t="s">
        <v>7</v>
      </c>
      <c r="B60" s="2">
        <f>ROUND(STDEV(B4:B53) / 1000 / SQRT(50),4)</f>
        <v>0.34660000000000002</v>
      </c>
      <c r="C60" s="2">
        <f>ROUND(STDEV(C4:C53) / SQRT(50) / 1000000000,5)</f>
        <v>6.0000000000000002E-5</v>
      </c>
      <c r="D60" s="1"/>
      <c r="E60" s="2">
        <f>ROUND(STDEV(E47:E53,E4:E45) / 1000 / SQRT(47),4)</f>
        <v>7.51E-2</v>
      </c>
      <c r="F60" s="2">
        <f>ROUND(STDEV(F47:F53,F4:F45) / SQRT(47) / 1000000000,5)</f>
        <v>6.9999999999999994E-5</v>
      </c>
    </row>
    <row r="62" spans="1:6" ht="18.75">
      <c r="A62" s="2" t="s">
        <v>25</v>
      </c>
      <c r="B62" s="2">
        <f>(B58-E58)*2/C58</f>
        <v>0.35964309677445394</v>
      </c>
    </row>
    <row r="63" spans="1:6" ht="18.75">
      <c r="A63" s="2" t="s">
        <v>26</v>
      </c>
      <c r="B63" s="2">
        <f>(B60+E60)*2/C58</f>
        <v>8.4336036206298315E-2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3"/>
  <sheetViews>
    <sheetView topLeftCell="A40" workbookViewId="0">
      <selection activeCell="F64" sqref="F64"/>
    </sheetView>
  </sheetViews>
  <sheetFormatPr baseColWidth="10" defaultRowHeight="15"/>
  <cols>
    <col min="1" max="1" width="20.42578125" customWidth="1"/>
    <col min="2" max="6" width="16.5703125" customWidth="1"/>
  </cols>
  <sheetData>
    <row r="1" spans="2:6">
      <c r="B1" t="s">
        <v>27</v>
      </c>
    </row>
    <row r="2" spans="2:6">
      <c r="B2" t="s">
        <v>21</v>
      </c>
      <c r="C2" t="s">
        <v>18</v>
      </c>
      <c r="D2" t="s">
        <v>18</v>
      </c>
      <c r="E2" t="s">
        <v>22</v>
      </c>
    </row>
    <row r="3" spans="2:6">
      <c r="B3" t="s">
        <v>8</v>
      </c>
      <c r="C3" t="s">
        <v>23</v>
      </c>
      <c r="D3" t="s">
        <v>18</v>
      </c>
      <c r="E3" t="s">
        <v>19</v>
      </c>
      <c r="F3" t="s">
        <v>24</v>
      </c>
    </row>
    <row r="4" spans="2:6">
      <c r="B4">
        <v>363543.77455027198</v>
      </c>
      <c r="C4">
        <v>9999759515</v>
      </c>
      <c r="D4" t="s">
        <v>18</v>
      </c>
      <c r="E4">
        <v>356773.13926988799</v>
      </c>
      <c r="F4">
        <v>10000208783</v>
      </c>
    </row>
    <row r="5" spans="2:6">
      <c r="B5">
        <v>357639.51558476698</v>
      </c>
      <c r="C5">
        <v>10000155342</v>
      </c>
      <c r="D5" t="s">
        <v>18</v>
      </c>
      <c r="E5">
        <v>363530.39120179199</v>
      </c>
      <c r="F5">
        <v>10000096013</v>
      </c>
    </row>
    <row r="6" spans="2:6">
      <c r="B6">
        <v>371927.35695385601</v>
      </c>
      <c r="C6">
        <v>10000530788</v>
      </c>
      <c r="D6" t="s">
        <v>18</v>
      </c>
      <c r="E6">
        <v>373622.14675225498</v>
      </c>
      <c r="F6">
        <v>10000181610</v>
      </c>
    </row>
    <row r="7" spans="2:6">
      <c r="B7">
        <v>381132.43463116698</v>
      </c>
      <c r="C7">
        <v>10000312042</v>
      </c>
      <c r="D7" t="s">
        <v>18</v>
      </c>
      <c r="E7">
        <v>373372.19348991901</v>
      </c>
      <c r="F7">
        <v>10000307513</v>
      </c>
    </row>
    <row r="8" spans="2:6">
      <c r="B8">
        <v>371486.27784063999</v>
      </c>
      <c r="C8">
        <v>10000422094</v>
      </c>
      <c r="D8" t="s">
        <v>18</v>
      </c>
      <c r="E8">
        <v>366976.951008512</v>
      </c>
      <c r="F8">
        <v>10000269018</v>
      </c>
    </row>
    <row r="9" spans="2:6">
      <c r="B9">
        <v>372991.096294655</v>
      </c>
      <c r="C9">
        <v>10000162588</v>
      </c>
      <c r="D9" t="s">
        <v>18</v>
      </c>
      <c r="E9" s="6">
        <v>444648.87022233498</v>
      </c>
      <c r="F9" s="6">
        <v>10000317023</v>
      </c>
    </row>
    <row r="10" spans="2:6">
      <c r="B10">
        <v>366845.01794662297</v>
      </c>
      <c r="C10">
        <v>10000472365</v>
      </c>
      <c r="D10" t="s">
        <v>18</v>
      </c>
      <c r="E10">
        <v>366251.123022079</v>
      </c>
      <c r="F10">
        <v>10000176628</v>
      </c>
    </row>
    <row r="11" spans="2:6">
      <c r="B11">
        <v>371443.32119398401</v>
      </c>
      <c r="C11">
        <v>9999816579</v>
      </c>
      <c r="D11" t="s">
        <v>18</v>
      </c>
      <c r="E11">
        <v>372370.60262732801</v>
      </c>
      <c r="F11">
        <v>10000280340</v>
      </c>
    </row>
    <row r="12" spans="2:6">
      <c r="B12">
        <v>374904.45289343997</v>
      </c>
      <c r="C12">
        <v>10000552527</v>
      </c>
      <c r="D12" t="s">
        <v>18</v>
      </c>
      <c r="E12">
        <v>373508.40523315198</v>
      </c>
      <c r="F12">
        <v>10000181156</v>
      </c>
    </row>
    <row r="13" spans="2:6">
      <c r="B13">
        <v>361713.74755865498</v>
      </c>
      <c r="C13">
        <v>10000103712</v>
      </c>
      <c r="D13" t="s">
        <v>18</v>
      </c>
      <c r="E13">
        <v>357657.59517823998</v>
      </c>
      <c r="F13">
        <v>10000230521</v>
      </c>
    </row>
    <row r="14" spans="2:6">
      <c r="B14">
        <v>360449.56883839902</v>
      </c>
      <c r="C14">
        <v>10000519014</v>
      </c>
      <c r="D14" t="s">
        <v>18</v>
      </c>
      <c r="E14">
        <v>358515.19138022303</v>
      </c>
      <c r="F14">
        <v>10000224634</v>
      </c>
    </row>
    <row r="15" spans="2:6">
      <c r="B15">
        <v>348232.72849151999</v>
      </c>
      <c r="C15">
        <v>10000653974</v>
      </c>
      <c r="D15" t="s">
        <v>18</v>
      </c>
      <c r="E15">
        <v>344541.82402559998</v>
      </c>
      <c r="F15">
        <v>10000177080</v>
      </c>
    </row>
    <row r="16" spans="2:6">
      <c r="B16">
        <v>358535.05045708799</v>
      </c>
      <c r="C16">
        <v>9999658067</v>
      </c>
      <c r="D16" t="s">
        <v>18</v>
      </c>
      <c r="E16">
        <v>372980.71169996797</v>
      </c>
      <c r="F16">
        <v>10000279434</v>
      </c>
    </row>
    <row r="17" spans="2:6">
      <c r="B17">
        <v>358237.73353471898</v>
      </c>
      <c r="C17">
        <v>10000162588</v>
      </c>
      <c r="D17" t="s">
        <v>18</v>
      </c>
      <c r="E17">
        <v>354553.88038553501</v>
      </c>
      <c r="F17">
        <v>10000271281</v>
      </c>
    </row>
    <row r="18" spans="2:6">
      <c r="B18">
        <v>356658.555425536</v>
      </c>
      <c r="C18">
        <v>10000337403</v>
      </c>
      <c r="D18" t="s">
        <v>18</v>
      </c>
      <c r="E18">
        <v>358097.51397094398</v>
      </c>
      <c r="F18">
        <v>10000198366</v>
      </c>
    </row>
    <row r="19" spans="2:6">
      <c r="B19">
        <v>361818.939835392</v>
      </c>
      <c r="C19">
        <v>10000504974</v>
      </c>
      <c r="D19" t="s">
        <v>18</v>
      </c>
      <c r="E19">
        <v>357834.36000230297</v>
      </c>
      <c r="F19">
        <v>10000246373</v>
      </c>
    </row>
    <row r="20" spans="2:6">
      <c r="B20">
        <v>357457.86945919902</v>
      </c>
      <c r="C20">
        <v>10000508144</v>
      </c>
      <c r="D20" t="s">
        <v>18</v>
      </c>
      <c r="E20">
        <v>354471.41585766402</v>
      </c>
      <c r="F20">
        <v>10000243202</v>
      </c>
    </row>
    <row r="21" spans="2:6">
      <c r="B21">
        <v>356827.34635724803</v>
      </c>
      <c r="C21">
        <v>10000545734</v>
      </c>
      <c r="D21" t="s">
        <v>18</v>
      </c>
      <c r="E21">
        <v>354504.15695948701</v>
      </c>
      <c r="F21">
        <v>10000278528</v>
      </c>
    </row>
    <row r="22" spans="2:6">
      <c r="B22">
        <v>348785.32687615999</v>
      </c>
      <c r="C22">
        <v>10000568831</v>
      </c>
      <c r="D22" t="s">
        <v>18</v>
      </c>
      <c r="E22">
        <v>348858.86696857598</v>
      </c>
      <c r="F22">
        <v>10000306154</v>
      </c>
    </row>
    <row r="23" spans="2:6">
      <c r="B23">
        <v>352799.844306432</v>
      </c>
      <c r="C23">
        <v>10000456514</v>
      </c>
      <c r="D23" t="s">
        <v>18</v>
      </c>
      <c r="E23">
        <v>356476.91048908699</v>
      </c>
      <c r="F23">
        <v>10000219199</v>
      </c>
    </row>
    <row r="24" spans="2:6">
      <c r="B24">
        <v>356368.46189823898</v>
      </c>
      <c r="C24">
        <v>10000443833</v>
      </c>
      <c r="D24" t="s">
        <v>18</v>
      </c>
      <c r="E24">
        <v>347113.02541337599</v>
      </c>
      <c r="F24">
        <v>10001670262</v>
      </c>
    </row>
    <row r="25" spans="2:6">
      <c r="B25">
        <v>347383.81200665602</v>
      </c>
      <c r="C25">
        <v>10000347368</v>
      </c>
      <c r="D25" t="s">
        <v>18</v>
      </c>
      <c r="E25">
        <v>343762.57367577602</v>
      </c>
      <c r="F25">
        <v>10000262677</v>
      </c>
    </row>
    <row r="26" spans="2:6">
      <c r="B26">
        <v>349772.79339724802</v>
      </c>
      <c r="C26">
        <v>10000101900</v>
      </c>
      <c r="D26" t="s">
        <v>18</v>
      </c>
      <c r="E26">
        <v>348930.85517388798</v>
      </c>
      <c r="F26">
        <v>10000168022</v>
      </c>
    </row>
    <row r="27" spans="2:6">
      <c r="B27">
        <v>352988.95251174399</v>
      </c>
      <c r="C27">
        <v>10000563396</v>
      </c>
      <c r="D27" t="s">
        <v>18</v>
      </c>
      <c r="E27">
        <v>351347.71093939198</v>
      </c>
      <c r="F27">
        <v>10000248637</v>
      </c>
    </row>
    <row r="28" spans="2:6">
      <c r="B28">
        <v>349923.10818816</v>
      </c>
      <c r="C28">
        <v>10000458326</v>
      </c>
      <c r="D28" t="s">
        <v>18</v>
      </c>
      <c r="E28">
        <v>347696.32655999903</v>
      </c>
      <c r="F28">
        <v>10000305248</v>
      </c>
    </row>
    <row r="29" spans="2:6">
      <c r="B29">
        <v>350974.61213747098</v>
      </c>
      <c r="C29">
        <v>10000265847</v>
      </c>
      <c r="D29" t="s">
        <v>18</v>
      </c>
      <c r="E29">
        <v>353411.39180979203</v>
      </c>
      <c r="F29">
        <v>10000252260</v>
      </c>
    </row>
    <row r="30" spans="2:6">
      <c r="B30">
        <v>352760.86211558298</v>
      </c>
      <c r="C30">
        <v>10000344197</v>
      </c>
      <c r="D30" t="s">
        <v>18</v>
      </c>
      <c r="E30">
        <v>347850.47188403102</v>
      </c>
      <c r="F30">
        <v>10000373635</v>
      </c>
    </row>
    <row r="31" spans="2:6">
      <c r="B31">
        <v>348469.21236710303</v>
      </c>
      <c r="C31">
        <v>10000434775</v>
      </c>
      <c r="D31" t="s">
        <v>18</v>
      </c>
      <c r="E31">
        <v>347317.45586662297</v>
      </c>
      <c r="F31">
        <v>10000310683</v>
      </c>
    </row>
    <row r="32" spans="2:6">
      <c r="B32">
        <v>351489.18749158399</v>
      </c>
      <c r="C32">
        <v>10000083785</v>
      </c>
      <c r="D32" t="s">
        <v>18</v>
      </c>
      <c r="E32">
        <v>351950.75961420801</v>
      </c>
      <c r="F32">
        <v>10000234598</v>
      </c>
    </row>
    <row r="33" spans="2:6">
      <c r="B33">
        <v>352216.89032780798</v>
      </c>
      <c r="C33">
        <v>10000375446</v>
      </c>
      <c r="D33" t="s">
        <v>18</v>
      </c>
      <c r="E33">
        <v>376571.53331916698</v>
      </c>
      <c r="F33">
        <v>10000290756</v>
      </c>
    </row>
    <row r="34" spans="2:6">
      <c r="B34">
        <v>361354.128960512</v>
      </c>
      <c r="C34">
        <v>10000516749</v>
      </c>
      <c r="D34" t="s">
        <v>18</v>
      </c>
      <c r="E34">
        <v>350485.28395187098</v>
      </c>
      <c r="F34">
        <v>10000210594</v>
      </c>
    </row>
    <row r="35" spans="2:6">
      <c r="B35">
        <v>347250.10717875202</v>
      </c>
      <c r="C35">
        <v>9999707433</v>
      </c>
      <c r="D35" t="s">
        <v>18</v>
      </c>
      <c r="E35">
        <v>337498.11835801502</v>
      </c>
      <c r="F35">
        <v>10000222369</v>
      </c>
    </row>
    <row r="36" spans="2:6">
      <c r="B36">
        <v>338777.66603187198</v>
      </c>
      <c r="C36">
        <v>10000413942</v>
      </c>
      <c r="D36" t="s">
        <v>18</v>
      </c>
      <c r="E36">
        <v>334981.09451084799</v>
      </c>
      <c r="F36">
        <v>10000191120</v>
      </c>
    </row>
    <row r="37" spans="2:6">
      <c r="B37">
        <v>325578.60645683098</v>
      </c>
      <c r="C37">
        <v>10000354160</v>
      </c>
      <c r="D37" t="s">
        <v>18</v>
      </c>
      <c r="E37">
        <v>334876.79127577599</v>
      </c>
      <c r="F37">
        <v>10000310683</v>
      </c>
    </row>
    <row r="38" spans="2:6">
      <c r="B38">
        <v>334205.93344870402</v>
      </c>
      <c r="C38">
        <v>10000521277</v>
      </c>
      <c r="D38" t="s">
        <v>18</v>
      </c>
      <c r="E38">
        <v>332642.08980249497</v>
      </c>
      <c r="F38">
        <v>10000301625</v>
      </c>
    </row>
    <row r="39" spans="2:6">
      <c r="B39">
        <v>330345.22667827102</v>
      </c>
      <c r="C39">
        <v>10000460137</v>
      </c>
      <c r="D39" t="s">
        <v>18</v>
      </c>
      <c r="E39">
        <v>331261.78604928002</v>
      </c>
      <c r="F39">
        <v>10000236862</v>
      </c>
    </row>
    <row r="40" spans="2:6">
      <c r="B40">
        <v>334551.10075391998</v>
      </c>
      <c r="C40">
        <v>10000214670</v>
      </c>
      <c r="D40" t="s">
        <v>18</v>
      </c>
      <c r="E40">
        <v>345798.88273868797</v>
      </c>
      <c r="F40">
        <v>10000343292</v>
      </c>
    </row>
    <row r="41" spans="2:6">
      <c r="B41">
        <v>276632.70160716702</v>
      </c>
      <c r="C41">
        <v>10000273999</v>
      </c>
      <c r="D41" t="s">
        <v>18</v>
      </c>
      <c r="E41">
        <v>335951.90163251199</v>
      </c>
      <c r="F41">
        <v>10000216029</v>
      </c>
    </row>
    <row r="42" spans="2:6">
      <c r="B42">
        <v>322323.72076006298</v>
      </c>
      <c r="C42">
        <v>10000504973</v>
      </c>
      <c r="D42" t="s">
        <v>18</v>
      </c>
      <c r="E42">
        <v>331448.58750105498</v>
      </c>
      <c r="F42">
        <v>10000182062</v>
      </c>
    </row>
    <row r="43" spans="2:6">
      <c r="B43">
        <v>336658.756154879</v>
      </c>
      <c r="C43">
        <v>10000501350</v>
      </c>
      <c r="D43" t="s">
        <v>18</v>
      </c>
      <c r="E43">
        <v>336361.96087628702</v>
      </c>
      <c r="F43">
        <v>10000230069</v>
      </c>
    </row>
    <row r="44" spans="2:6">
      <c r="B44">
        <v>344174.660597504</v>
      </c>
      <c r="C44">
        <v>10000445191</v>
      </c>
      <c r="D44" t="s">
        <v>18</v>
      </c>
      <c r="E44">
        <v>339620.20217241597</v>
      </c>
      <c r="F44">
        <v>10000255884</v>
      </c>
    </row>
    <row r="45" spans="2:6">
      <c r="B45">
        <v>342995.16584217601</v>
      </c>
      <c r="C45">
        <v>10000041213</v>
      </c>
      <c r="D45" t="s">
        <v>18</v>
      </c>
      <c r="E45">
        <v>342636.26507519901</v>
      </c>
      <c r="F45">
        <v>10000210594</v>
      </c>
    </row>
    <row r="46" spans="2:6">
      <c r="B46">
        <v>335845.76533580798</v>
      </c>
      <c r="C46">
        <v>10000480970</v>
      </c>
      <c r="D46" t="s">
        <v>18</v>
      </c>
      <c r="E46">
        <v>333853.04722892802</v>
      </c>
      <c r="F46">
        <v>10000409867</v>
      </c>
    </row>
    <row r="47" spans="2:6">
      <c r="B47">
        <v>339339.16487091198</v>
      </c>
      <c r="C47">
        <v>10000519013</v>
      </c>
      <c r="D47" t="s">
        <v>18</v>
      </c>
      <c r="E47">
        <v>340014.18322329503</v>
      </c>
      <c r="F47">
        <v>10000212406</v>
      </c>
    </row>
    <row r="48" spans="2:6">
      <c r="B48">
        <v>342149.11623295897</v>
      </c>
      <c r="C48">
        <v>10000400809</v>
      </c>
      <c r="D48" t="s">
        <v>18</v>
      </c>
      <c r="E48">
        <v>328366.38103398302</v>
      </c>
      <c r="F48">
        <v>10000229616</v>
      </c>
    </row>
    <row r="49" spans="1:6">
      <c r="B49">
        <v>327886.77686886402</v>
      </c>
      <c r="C49">
        <v>10000368654</v>
      </c>
      <c r="D49" t="s">
        <v>18</v>
      </c>
      <c r="E49">
        <v>323309.61348889599</v>
      </c>
      <c r="F49">
        <v>10000235956</v>
      </c>
    </row>
    <row r="50" spans="1:6">
      <c r="B50">
        <v>330790.25945241598</v>
      </c>
      <c r="C50">
        <v>10000074727</v>
      </c>
      <c r="D50" t="s">
        <v>18</v>
      </c>
      <c r="E50">
        <v>330158.79521356698</v>
      </c>
      <c r="F50">
        <v>10000267206</v>
      </c>
    </row>
    <row r="51" spans="1:6">
      <c r="B51">
        <v>331766.92400742398</v>
      </c>
      <c r="C51">
        <v>10000444286</v>
      </c>
      <c r="D51" t="s">
        <v>18</v>
      </c>
      <c r="E51">
        <v>325782.41728972801</v>
      </c>
      <c r="F51">
        <v>10000181156</v>
      </c>
    </row>
    <row r="52" spans="1:6">
      <c r="B52">
        <v>323077.05952972698</v>
      </c>
      <c r="C52">
        <v>10000596911</v>
      </c>
      <c r="D52" t="s">
        <v>18</v>
      </c>
      <c r="E52">
        <v>321048.682696704</v>
      </c>
      <c r="F52">
        <v>10000272188</v>
      </c>
    </row>
    <row r="53" spans="1:6">
      <c r="B53">
        <v>318659.61365017598</v>
      </c>
      <c r="C53">
        <v>10000463760</v>
      </c>
      <c r="D53" t="s">
        <v>18</v>
      </c>
      <c r="E53">
        <v>316752.12731366302</v>
      </c>
      <c r="F53">
        <v>10000296643</v>
      </c>
    </row>
    <row r="55" spans="1:6" ht="18.75">
      <c r="A55" s="2"/>
      <c r="B55" s="5" t="s">
        <v>9</v>
      </c>
      <c r="C55" s="5" t="s">
        <v>10</v>
      </c>
      <c r="D55" s="4"/>
      <c r="E55" s="5" t="s">
        <v>9</v>
      </c>
      <c r="F55" s="5" t="s">
        <v>10</v>
      </c>
    </row>
    <row r="56" spans="1:6" ht="18.75">
      <c r="A56" s="2" t="s">
        <v>3</v>
      </c>
      <c r="B56" s="2">
        <f>ROUND(MIN(B4:B53)/1000, 4)</f>
        <v>276.6327</v>
      </c>
      <c r="C56" s="2">
        <f>ROUND(MIN(C4:C53) / 1000000000,5)</f>
        <v>9.9996600000000004</v>
      </c>
      <c r="D56" s="1"/>
      <c r="E56" s="2">
        <f>ROUND(MIN(E10:E53,E4:E8)/1000, 4)</f>
        <v>316.75209999999998</v>
      </c>
      <c r="F56" s="2">
        <f>ROUND(MIN(F10:F53,F4:F8) / 1000000000,5)</f>
        <v>10.0001</v>
      </c>
    </row>
    <row r="57" spans="1:6" ht="18.75">
      <c r="A57" s="2" t="s">
        <v>4</v>
      </c>
      <c r="B57" s="2">
        <f>ROUND(MAX(B4:B53)/1000,4)</f>
        <v>381.13240000000002</v>
      </c>
      <c r="C57" s="2">
        <f>ROUND(MAX(C4:C53) / 1000000000,5)</f>
        <v>10.00065</v>
      </c>
      <c r="D57" s="1"/>
      <c r="E57" s="2">
        <f>ROUND(MAX(E10:E53,E4:E8)/1000,4)</f>
        <v>376.57150000000001</v>
      </c>
      <c r="F57" s="2">
        <f>ROUND(MAX(F10:F53,F4:F8) / 1000000000,5)</f>
        <v>10.001670000000001</v>
      </c>
    </row>
    <row r="58" spans="1:6" ht="18.75">
      <c r="A58" s="2" t="s">
        <v>5</v>
      </c>
      <c r="B58" s="2">
        <f>ROUND(AVERAGE(B4:B53)/1000,4)</f>
        <v>348.20280000000002</v>
      </c>
      <c r="C58" s="2">
        <f>ROUND(AVERAGE(C4:C53) / 1000000000,5)</f>
        <v>10.00034</v>
      </c>
      <c r="D58" s="1"/>
      <c r="E58" s="2">
        <f>ROUND(AVERAGE(E10:E53,E4:E8)/1000,4)</f>
        <v>348.03460000000001</v>
      </c>
      <c r="F58" s="2">
        <f>ROUND(AVERAGE(F10:F53,F4:F8) / 1000000000,5)</f>
        <v>10.00028</v>
      </c>
    </row>
    <row r="59" spans="1:6" ht="18.75">
      <c r="A59" s="2" t="s">
        <v>6</v>
      </c>
      <c r="B59" s="2">
        <f>ROUND(STDEV(B4:B53) /1000,4)</f>
        <v>18.104399999999998</v>
      </c>
      <c r="C59" s="2">
        <f>ROUND(STDEV(C4:C53) / 1000000000,5)</f>
        <v>2.4000000000000001E-4</v>
      </c>
      <c r="D59" s="1"/>
      <c r="E59" s="2">
        <f>ROUND(STDEV(E10:E53,E4:E8) /1000,4)</f>
        <v>15.202400000000001</v>
      </c>
      <c r="F59" s="2">
        <f>ROUND(STDEV(F10:F53,F4:F8) / 1000000000,5)</f>
        <v>2.1000000000000001E-4</v>
      </c>
    </row>
    <row r="60" spans="1:6" ht="18.75">
      <c r="A60" s="2" t="s">
        <v>7</v>
      </c>
      <c r="B60" s="2">
        <f>ROUND(STDEV(B4:B53) / 1000 / SQRT(50),4)</f>
        <v>2.5604</v>
      </c>
      <c r="C60" s="2">
        <f>ROUND(STDEV(C4:C53) / SQRT(50) / 1000000000,5)</f>
        <v>3.0000000000000001E-5</v>
      </c>
      <c r="D60" s="1"/>
      <c r="E60" s="2">
        <f>ROUND(STDEV(E10:E53,E4:E8) / 1000 / SQRT(47),4)</f>
        <v>2.2174999999999998</v>
      </c>
      <c r="F60" s="2">
        <f>ROUND(STDEV(F10:F53,F4:F8) / SQRT(47) / 1000000000,5)</f>
        <v>3.0000000000000001E-5</v>
      </c>
    </row>
    <row r="62" spans="1:6" ht="18.75">
      <c r="A62" s="2" t="s">
        <v>25</v>
      </c>
      <c r="B62" s="2">
        <f>(B58-E58)*2/C58</f>
        <v>3.3638856278889122E-2</v>
      </c>
    </row>
    <row r="63" spans="1:6" ht="18.75">
      <c r="A63" s="2" t="s">
        <v>26</v>
      </c>
      <c r="B63" s="2">
        <f>(B60+E60)*2/C58</f>
        <v>0.95554751138461291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probe_effect1</vt:lpstr>
      <vt:lpstr>probe_effect2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Claas Wilke</dc:creator>
  <cp:lastModifiedBy>Claas Wilke</cp:lastModifiedBy>
  <dcterms:created xsi:type="dcterms:W3CDTF">2011-08-15T12:00:01Z</dcterms:created>
  <dcterms:modified xsi:type="dcterms:W3CDTF">2011-08-17T08:55:34Z</dcterms:modified>
</cp:coreProperties>
</file>