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Labs_Xrays\Resolution\vsBiasVoltage\"/>
    </mc:Choice>
  </mc:AlternateContent>
  <bookViews>
    <workbookView xWindow="0" yWindow="585" windowWidth="28800" windowHeight="12300" activeTab="3"/>
  </bookViews>
  <sheets>
    <sheet name="Op Bias V" sheetId="1" r:id="rId1"/>
    <sheet name="Calibration" sheetId="2" r:id="rId2"/>
    <sheet name="Moseley" sheetId="4" r:id="rId3"/>
    <sheet name="Attenua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2" l="1"/>
  <c r="J29" i="2"/>
  <c r="N25" i="2"/>
  <c r="N24" i="2"/>
  <c r="G17" i="4"/>
  <c r="H3" i="4"/>
  <c r="J3" i="4" s="1"/>
  <c r="H4" i="4"/>
  <c r="H5" i="4"/>
  <c r="J5" i="4" s="1"/>
  <c r="H6" i="4"/>
  <c r="H7" i="4"/>
  <c r="H8" i="4"/>
  <c r="H9" i="4"/>
  <c r="H10" i="4"/>
  <c r="J10" i="4" s="1"/>
  <c r="H11" i="4"/>
  <c r="H12" i="4"/>
  <c r="H13" i="4"/>
  <c r="H14" i="4"/>
  <c r="J14" i="4" s="1"/>
  <c r="H2" i="4"/>
  <c r="G3" i="4"/>
  <c r="G4" i="4"/>
  <c r="G5" i="4"/>
  <c r="I5" i="4" s="1"/>
  <c r="G6" i="4"/>
  <c r="I6" i="4" s="1"/>
  <c r="G7" i="4"/>
  <c r="G8" i="4"/>
  <c r="G9" i="4"/>
  <c r="I9" i="4" s="1"/>
  <c r="G10" i="4"/>
  <c r="G11" i="4"/>
  <c r="G12" i="4"/>
  <c r="G13" i="4"/>
  <c r="I13" i="4" s="1"/>
  <c r="G14" i="4"/>
  <c r="G2" i="4"/>
  <c r="D14" i="4"/>
  <c r="D13" i="4"/>
  <c r="D12" i="4"/>
  <c r="D11" i="4"/>
  <c r="D10" i="4"/>
  <c r="D9" i="4"/>
  <c r="D8" i="4"/>
  <c r="D7" i="4"/>
  <c r="D6" i="4"/>
  <c r="D5" i="4"/>
  <c r="D4" i="4"/>
  <c r="L5" i="4" l="1"/>
  <c r="J11" i="4"/>
  <c r="K6" i="4"/>
  <c r="L6" i="4"/>
  <c r="J6" i="4"/>
  <c r="J2" i="4"/>
  <c r="I12" i="4"/>
  <c r="I8" i="4"/>
  <c r="I4" i="4"/>
  <c r="J13" i="4"/>
  <c r="L13" i="4" s="1"/>
  <c r="J9" i="4"/>
  <c r="L9" i="4" s="1"/>
  <c r="I2" i="4"/>
  <c r="I11" i="4"/>
  <c r="I7" i="4"/>
  <c r="I3" i="4"/>
  <c r="J12" i="4"/>
  <c r="J8" i="4"/>
  <c r="J4" i="4"/>
  <c r="I10" i="4"/>
  <c r="J7" i="4"/>
  <c r="K13" i="4"/>
  <c r="K9" i="4"/>
  <c r="K5" i="4"/>
  <c r="I14" i="4"/>
  <c r="E16" i="2"/>
  <c r="E15" i="2"/>
  <c r="E25" i="2"/>
  <c r="E24" i="2"/>
  <c r="G9" i="2"/>
  <c r="F9" i="2"/>
  <c r="F5" i="2"/>
  <c r="G5" i="2"/>
  <c r="K19" i="2"/>
  <c r="K18" i="2"/>
  <c r="E23" i="2"/>
  <c r="E22" i="2"/>
  <c r="E21" i="2"/>
  <c r="E20" i="2"/>
  <c r="E19" i="2"/>
  <c r="E18" i="2"/>
  <c r="E17" i="2"/>
  <c r="K17" i="2"/>
  <c r="K16" i="2"/>
  <c r="K15" i="2"/>
  <c r="K14" i="2"/>
  <c r="K13" i="2"/>
  <c r="K12" i="2"/>
  <c r="K11" i="2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O4" i="1"/>
  <c r="L7" i="4" l="1"/>
  <c r="K7" i="4"/>
  <c r="L11" i="4"/>
  <c r="K11" i="4"/>
  <c r="L4" i="4"/>
  <c r="K4" i="4"/>
  <c r="K14" i="4"/>
  <c r="L14" i="4"/>
  <c r="L2" i="4"/>
  <c r="M2" i="4" s="1"/>
  <c r="M3" i="4" s="1"/>
  <c r="K2" i="4"/>
  <c r="K8" i="4"/>
  <c r="L8" i="4"/>
  <c r="K10" i="4"/>
  <c r="L10" i="4"/>
  <c r="L3" i="4"/>
  <c r="K3" i="4"/>
  <c r="K12" i="4"/>
  <c r="L12" i="4"/>
  <c r="P3" i="1"/>
  <c r="Q3" i="1"/>
  <c r="O3" i="1"/>
</calcChain>
</file>

<file path=xl/sharedStrings.xml><?xml version="1.0" encoding="utf-8"?>
<sst xmlns="http://schemas.openxmlformats.org/spreadsheetml/2006/main" count="195" uniqueCount="100">
  <si>
    <t>V Bias (V)</t>
  </si>
  <si>
    <t>FWHM (chn)</t>
  </si>
  <si>
    <t>Other elements available</t>
  </si>
  <si>
    <t>Ag</t>
  </si>
  <si>
    <t>Cu</t>
  </si>
  <si>
    <t>Rb</t>
  </si>
  <si>
    <t>Mo</t>
  </si>
  <si>
    <t>Ba</t>
  </si>
  <si>
    <t>Tb</t>
  </si>
  <si>
    <t>Kα2</t>
  </si>
  <si>
    <t>Kα3</t>
  </si>
  <si>
    <t>Kα1</t>
  </si>
  <si>
    <t>Kβ3</t>
  </si>
  <si>
    <t>Kβ5</t>
  </si>
  <si>
    <t>Kγ5</t>
  </si>
  <si>
    <t>Kβ4</t>
  </si>
  <si>
    <t>Kβ2</t>
  </si>
  <si>
    <t>Kβ1</t>
  </si>
  <si>
    <t>Kγ4</t>
  </si>
  <si>
    <t>Kγ3</t>
  </si>
  <si>
    <t>Kγ2</t>
  </si>
  <si>
    <t>Kγ1</t>
  </si>
  <si>
    <t>Centroid   Energy - and diff in energy levels within alpha beta etc</t>
  </si>
  <si>
    <t>Vbias (V)</t>
  </si>
  <si>
    <t>Kalpha1 FWHM</t>
  </si>
  <si>
    <t>Centroid (chn)</t>
  </si>
  <si>
    <t>Energy (keV)</t>
  </si>
  <si>
    <t>Source</t>
  </si>
  <si>
    <t>Live time (s)</t>
  </si>
  <si>
    <t>error</t>
  </si>
  <si>
    <t>Cu1</t>
  </si>
  <si>
    <t>Rb1</t>
  </si>
  <si>
    <t>Ag1</t>
  </si>
  <si>
    <t>Ba1</t>
  </si>
  <si>
    <t>Weighted mean Kalpha</t>
  </si>
  <si>
    <r>
      <t>Kα1 or Kα</t>
    </r>
    <r>
      <rPr>
        <vertAlign val="subscript"/>
        <sz val="11"/>
        <color theme="1"/>
        <rFont val="Calibri"/>
        <family val="2"/>
        <scheme val="minor"/>
      </rPr>
      <t>mean</t>
    </r>
  </si>
  <si>
    <t>Weighted mean Kbeta</t>
  </si>
  <si>
    <r>
      <t>Kα1 or Kα</t>
    </r>
    <r>
      <rPr>
        <vertAlign val="subscript"/>
        <sz val="11"/>
        <color theme="1"/>
        <rFont val="Calibri"/>
        <family val="2"/>
        <scheme val="minor"/>
      </rPr>
      <t xml:space="preserve">mean </t>
    </r>
  </si>
  <si>
    <r>
      <t>Kβ1 or Kβ</t>
    </r>
    <r>
      <rPr>
        <vertAlign val="subscript"/>
        <sz val="11"/>
        <color theme="1"/>
        <rFont val="Calibri"/>
        <family val="2"/>
        <scheme val="minor"/>
      </rPr>
      <t>mean</t>
    </r>
  </si>
  <si>
    <t>Weighted mean Kbeta2+4</t>
  </si>
  <si>
    <t>Weighted mean Kbeta1+3+5</t>
  </si>
  <si>
    <t>Chi2</t>
  </si>
  <si>
    <t>NDf</t>
  </si>
  <si>
    <t>p0</t>
  </si>
  <si>
    <t>p1</t>
  </si>
  <si>
    <t>Calibration</t>
  </si>
  <si>
    <t xml:space="preserve">Centroid </t>
  </si>
  <si>
    <t>Error</t>
  </si>
  <si>
    <t>Type</t>
  </si>
  <si>
    <t>Element</t>
  </si>
  <si>
    <t>E2C</t>
  </si>
  <si>
    <t>C2E</t>
  </si>
  <si>
    <t>Test input</t>
  </si>
  <si>
    <t>Output</t>
  </si>
  <si>
    <t>Z #</t>
  </si>
  <si>
    <t>Calibrated Energy (keV)</t>
  </si>
  <si>
    <t>m</t>
  </si>
  <si>
    <t>c</t>
  </si>
  <si>
    <t>Frequency of Xray (Hz)</t>
  </si>
  <si>
    <t>Planck Constant</t>
  </si>
  <si>
    <t>Error (Hz)</t>
  </si>
  <si>
    <t>Error (keV)</t>
  </si>
  <si>
    <t>Frequency (Hz)</t>
  </si>
  <si>
    <t>Z</t>
  </si>
  <si>
    <t>Kalpha xray Calibrated (keV)</t>
  </si>
  <si>
    <r>
      <t>Kα</t>
    </r>
    <r>
      <rPr>
        <vertAlign val="subscript"/>
        <sz val="11"/>
        <color theme="1"/>
        <rFont val="Calibri"/>
        <family val="2"/>
        <scheme val="minor"/>
      </rPr>
      <t>mean</t>
    </r>
  </si>
  <si>
    <t>Ni</t>
  </si>
  <si>
    <t>Zr</t>
  </si>
  <si>
    <t>thickness (mg/cm2)</t>
  </si>
  <si>
    <t>Constant Cu source</t>
  </si>
  <si>
    <t>SQRT(freq)</t>
  </si>
  <si>
    <t>Kbeta xray Calibrated (keV)</t>
  </si>
  <si>
    <t>Fe</t>
  </si>
  <si>
    <t>Sample number</t>
  </si>
  <si>
    <t>1-Centroid</t>
  </si>
  <si>
    <t>1-FWHM</t>
  </si>
  <si>
    <t>1-Counts</t>
  </si>
  <si>
    <t>2-Centroid</t>
  </si>
  <si>
    <t>2-FWHM</t>
  </si>
  <si>
    <t>2-Counts</t>
  </si>
  <si>
    <t>3-Centroid</t>
  </si>
  <si>
    <t>3-FWHM</t>
  </si>
  <si>
    <t>3-Counts</t>
  </si>
  <si>
    <t>Intercept</t>
  </si>
  <si>
    <t>Slope</t>
  </si>
  <si>
    <t>No shield</t>
  </si>
  <si>
    <t>Ni Shield</t>
  </si>
  <si>
    <t>NO.</t>
  </si>
  <si>
    <t>NAME</t>
  </si>
  <si>
    <t>VALUE</t>
  </si>
  <si>
    <t>ERROR</t>
  </si>
  <si>
    <t>SIZE</t>
  </si>
  <si>
    <t>DERIVATIVE</t>
  </si>
  <si>
    <t>Centroid</t>
  </si>
  <si>
    <t>FWHM</t>
  </si>
  <si>
    <t>Counts</t>
  </si>
  <si>
    <t>Cu shield</t>
  </si>
  <si>
    <t>Fe shield</t>
  </si>
  <si>
    <t>Peaks at or below background level</t>
  </si>
  <si>
    <t>only one peak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</si>
</sst>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left"/>
    </xf>
    <xf numFmtId="11" fontId="0" fillId="0" borderId="0" xfId="0" applyNumberFormat="1"/>
    <xf numFmtId="2" fontId="0" fillId="0" borderId="0" xfId="0" applyNumberFormat="1"/>
    <xf numFmtId="2" fontId="0" fillId="0" borderId="6" xfId="0" applyNumberFormat="1" applyBorder="1"/>
    <xf numFmtId="2" fontId="0" fillId="0" borderId="8" xfId="0" applyNumberForma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2" borderId="15" xfId="0" applyFill="1" applyBorder="1"/>
    <xf numFmtId="0" fontId="0" fillId="2" borderId="11" xfId="0" applyFill="1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3" borderId="11" xfId="0" applyFill="1" applyBorder="1"/>
    <xf numFmtId="0" fontId="0" fillId="3" borderId="16" xfId="0" applyFill="1" applyBorder="1"/>
    <xf numFmtId="0" fontId="0" fillId="2" borderId="18" xfId="0" applyFill="1" applyBorder="1"/>
    <xf numFmtId="0" fontId="0" fillId="4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9" xfId="0" applyFill="1" applyBorder="1"/>
    <xf numFmtId="11" fontId="0" fillId="0" borderId="20" xfId="0" applyNumberFormat="1" applyBorder="1"/>
    <xf numFmtId="11" fontId="0" fillId="0" borderId="21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14" xfId="0" applyFill="1" applyBorder="1"/>
    <xf numFmtId="11" fontId="0" fillId="0" borderId="13" xfId="0" applyNumberFormat="1" applyBorder="1"/>
    <xf numFmtId="11" fontId="0" fillId="0" borderId="24" xfId="0" applyNumberFormat="1" applyBorder="1"/>
    <xf numFmtId="11" fontId="0" fillId="0" borderId="0" xfId="0" applyNumberFormat="1" applyBorder="1"/>
    <xf numFmtId="0" fontId="0" fillId="4" borderId="14" xfId="0" applyFill="1" applyBorder="1"/>
    <xf numFmtId="0" fontId="0" fillId="4" borderId="18" xfId="0" applyFill="1" applyBorder="1"/>
    <xf numFmtId="0" fontId="0" fillId="4" borderId="17" xfId="0" applyFill="1" applyBorder="1"/>
    <xf numFmtId="11" fontId="0" fillId="0" borderId="23" xfId="0" applyNumberFormat="1" applyBorder="1"/>
    <xf numFmtId="0" fontId="0" fillId="2" borderId="17" xfId="0" applyFill="1" applyBorder="1"/>
    <xf numFmtId="11" fontId="0" fillId="0" borderId="14" xfId="0" applyNumberFormat="1" applyBorder="1"/>
    <xf numFmtId="11" fontId="0" fillId="0" borderId="17" xfId="0" applyNumberFormat="1" applyBorder="1"/>
    <xf numFmtId="11" fontId="0" fillId="0" borderId="18" xfId="0" applyNumberFormat="1" applyBorder="1"/>
    <xf numFmtId="0" fontId="0" fillId="0" borderId="19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0" fontId="0" fillId="0" borderId="0" xfId="0" applyBorder="1"/>
    <xf numFmtId="0" fontId="0" fillId="0" borderId="24" xfId="0" applyBorder="1"/>
    <xf numFmtId="0" fontId="0" fillId="0" borderId="12" xfId="0" applyBorder="1" applyAlignment="1">
      <alignment horizontal="center"/>
    </xf>
    <xf numFmtId="0" fontId="0" fillId="5" borderId="17" xfId="0" applyFill="1" applyBorder="1"/>
    <xf numFmtId="0" fontId="0" fillId="3" borderId="17" xfId="0" applyFill="1" applyBorder="1"/>
    <xf numFmtId="0" fontId="0" fillId="0" borderId="16" xfId="0" applyBorder="1"/>
    <xf numFmtId="11" fontId="0" fillId="0" borderId="12" xfId="0" applyNumberFormat="1" applyBorder="1"/>
    <xf numFmtId="11" fontId="0" fillId="0" borderId="22" xfId="0" applyNumberFormat="1" applyBorder="1"/>
    <xf numFmtId="0" fontId="0" fillId="2" borderId="25" xfId="0" applyFill="1" applyBorder="1"/>
    <xf numFmtId="0" fontId="0" fillId="2" borderId="21" xfId="0" applyFill="1" applyBorder="1"/>
    <xf numFmtId="0" fontId="0" fillId="6" borderId="14" xfId="0" applyFill="1" applyBorder="1"/>
    <xf numFmtId="164" fontId="0" fillId="0" borderId="21" xfId="0" applyNumberFormat="1" applyBorder="1"/>
    <xf numFmtId="0" fontId="0" fillId="0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Voltage</a:t>
            </a:r>
            <a:r>
              <a:rPr lang="en-GB" baseline="0"/>
              <a:t> Bias against FWHM Kalpha1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 Bias V'!$A$3:$A$17</c:f>
              <c:numCache>
                <c:formatCode>General</c:formatCode>
                <c:ptCount val="14"/>
                <c:pt idx="0">
                  <c:v>200</c:v>
                </c:pt>
                <c:pt idx="1">
                  <c:v>220</c:v>
                </c:pt>
                <c:pt idx="2">
                  <c:v>240</c:v>
                </c:pt>
                <c:pt idx="3">
                  <c:v>260</c:v>
                </c:pt>
                <c:pt idx="4">
                  <c:v>280</c:v>
                </c:pt>
                <c:pt idx="5">
                  <c:v>300</c:v>
                </c:pt>
                <c:pt idx="6">
                  <c:v>320</c:v>
                </c:pt>
                <c:pt idx="7">
                  <c:v>340</c:v>
                </c:pt>
                <c:pt idx="8">
                  <c:v>350</c:v>
                </c:pt>
                <c:pt idx="9">
                  <c:v>360</c:v>
                </c:pt>
                <c:pt idx="10">
                  <c:v>380</c:v>
                </c:pt>
                <c:pt idx="11">
                  <c:v>400</c:v>
                </c:pt>
                <c:pt idx="12">
                  <c:v>450</c:v>
                </c:pt>
                <c:pt idx="13">
                  <c:v>500</c:v>
                </c:pt>
              </c:numCache>
            </c:numRef>
          </c:xVal>
          <c:yVal>
            <c:numRef>
              <c:f>'Op Bias V'!$D$3:$D$17</c:f>
              <c:numCache>
                <c:formatCode>General</c:formatCode>
                <c:ptCount val="14"/>
                <c:pt idx="0">
                  <c:v>23.79</c:v>
                </c:pt>
                <c:pt idx="1">
                  <c:v>23.81</c:v>
                </c:pt>
                <c:pt idx="2">
                  <c:v>23.2</c:v>
                </c:pt>
                <c:pt idx="3">
                  <c:v>23.6</c:v>
                </c:pt>
                <c:pt idx="4">
                  <c:v>22.12</c:v>
                </c:pt>
                <c:pt idx="5">
                  <c:v>22.71</c:v>
                </c:pt>
                <c:pt idx="6">
                  <c:v>17.66</c:v>
                </c:pt>
                <c:pt idx="7">
                  <c:v>17.73</c:v>
                </c:pt>
                <c:pt idx="8">
                  <c:v>18.21</c:v>
                </c:pt>
                <c:pt idx="9">
                  <c:v>18.04</c:v>
                </c:pt>
                <c:pt idx="10" formatCode="0.00">
                  <c:v>18.346800000000002</c:v>
                </c:pt>
                <c:pt idx="11">
                  <c:v>18.190000000000001</c:v>
                </c:pt>
                <c:pt idx="12">
                  <c:v>18.54</c:v>
                </c:pt>
                <c:pt idx="13">
                  <c:v>19.13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3-4744-BC44-3F78C503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60008"/>
        <c:axId val="588753776"/>
      </c:scatterChart>
      <c:valAx>
        <c:axId val="588760008"/>
        <c:scaling>
          <c:orientation val="minMax"/>
          <c:max val="5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 Bias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53776"/>
        <c:crosses val="autoZero"/>
        <c:crossBetween val="midCat"/>
      </c:valAx>
      <c:valAx>
        <c:axId val="58875377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FWHM Kalpha1 (chn)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7600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18</xdr:row>
      <xdr:rowOff>71437</xdr:rowOff>
    </xdr:from>
    <xdr:to>
      <xdr:col>9</xdr:col>
      <xdr:colOff>257175</xdr:colOff>
      <xdr:row>32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D17" sqref="D17"/>
    </sheetView>
  </sheetViews>
  <sheetFormatPr defaultRowHeight="15" x14ac:dyDescent="0.25"/>
  <cols>
    <col min="1" max="1" width="9.42578125" bestFit="1" customWidth="1"/>
    <col min="2" max="2" width="9.42578125" customWidth="1"/>
    <col min="3" max="3" width="8.42578125" customWidth="1"/>
    <col min="14" max="14" width="9.140625" style="6"/>
  </cols>
  <sheetData>
    <row r="1" spans="1:30" x14ac:dyDescent="0.25">
      <c r="A1" s="48" t="s">
        <v>0</v>
      </c>
      <c r="B1" s="49" t="s">
        <v>1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 t="s">
        <v>22</v>
      </c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C1" s="50" t="s">
        <v>2</v>
      </c>
      <c r="AD1" s="51"/>
    </row>
    <row r="2" spans="1:30" x14ac:dyDescent="0.25">
      <c r="A2" s="48"/>
      <c r="B2" s="1" t="s">
        <v>10</v>
      </c>
      <c r="C2" s="2" t="s">
        <v>9</v>
      </c>
      <c r="D2" s="3" t="s">
        <v>11</v>
      </c>
      <c r="E2" s="4" t="s">
        <v>13</v>
      </c>
      <c r="F2" s="2" t="s">
        <v>15</v>
      </c>
      <c r="G2" s="2" t="s">
        <v>12</v>
      </c>
      <c r="H2" s="2" t="s">
        <v>16</v>
      </c>
      <c r="I2" s="3" t="s">
        <v>17</v>
      </c>
      <c r="J2" s="4" t="s">
        <v>14</v>
      </c>
      <c r="K2" s="2" t="s">
        <v>18</v>
      </c>
      <c r="L2" s="2" t="s">
        <v>19</v>
      </c>
      <c r="M2" s="2" t="s">
        <v>20</v>
      </c>
      <c r="N2" s="3" t="s">
        <v>21</v>
      </c>
      <c r="O2" s="9">
        <v>43291.4</v>
      </c>
      <c r="P2" s="2">
        <v>43745.599999999999</v>
      </c>
      <c r="Q2" s="3">
        <v>44482.9</v>
      </c>
      <c r="R2" s="4">
        <v>50035.5</v>
      </c>
      <c r="S2" s="2">
        <v>50233</v>
      </c>
      <c r="T2" s="2">
        <v>50389.1</v>
      </c>
      <c r="U2" s="2">
        <v>50722.7</v>
      </c>
      <c r="V2" s="3">
        <v>50757.8</v>
      </c>
      <c r="W2" s="4">
        <v>51600.7</v>
      </c>
      <c r="X2" s="2">
        <v>51678.3</v>
      </c>
      <c r="Y2" s="2">
        <v>51714</v>
      </c>
      <c r="Z2" s="2">
        <v>51837.5</v>
      </c>
      <c r="AA2" s="3">
        <v>51846.400000000001</v>
      </c>
      <c r="AC2" s="5" t="s">
        <v>4</v>
      </c>
      <c r="AD2" s="6">
        <v>29</v>
      </c>
    </row>
    <row r="3" spans="1:30" x14ac:dyDescent="0.25">
      <c r="A3">
        <v>200</v>
      </c>
      <c r="B3" s="11"/>
      <c r="C3" s="11"/>
      <c r="D3">
        <v>23.79</v>
      </c>
      <c r="E3" s="11"/>
      <c r="F3" s="11"/>
      <c r="G3" s="11"/>
      <c r="H3" s="11">
        <v>21.615400000000001</v>
      </c>
      <c r="I3" s="12">
        <v>21.915400000000002</v>
      </c>
      <c r="K3" s="11"/>
      <c r="L3" s="11"/>
      <c r="M3" s="11"/>
      <c r="O3">
        <f>O2-$O$2</f>
        <v>0</v>
      </c>
      <c r="P3">
        <f t="shared" ref="P3:AA3" si="0">P2-$O$2</f>
        <v>454.19999999999709</v>
      </c>
      <c r="Q3">
        <f t="shared" si="0"/>
        <v>1191.5</v>
      </c>
      <c r="R3">
        <f t="shared" si="0"/>
        <v>6744.0999999999985</v>
      </c>
      <c r="S3">
        <f t="shared" si="0"/>
        <v>6941.5999999999985</v>
      </c>
      <c r="T3">
        <f t="shared" si="0"/>
        <v>7097.6999999999971</v>
      </c>
      <c r="U3">
        <f t="shared" si="0"/>
        <v>7431.2999999999956</v>
      </c>
      <c r="V3">
        <f t="shared" si="0"/>
        <v>7466.4000000000015</v>
      </c>
      <c r="W3">
        <f t="shared" si="0"/>
        <v>8309.2999999999956</v>
      </c>
      <c r="X3">
        <f t="shared" si="0"/>
        <v>8386.9000000000015</v>
      </c>
      <c r="Y3">
        <f t="shared" si="0"/>
        <v>8422.5999999999985</v>
      </c>
      <c r="Z3">
        <f t="shared" si="0"/>
        <v>8546.0999999999985</v>
      </c>
      <c r="AA3">
        <f t="shared" si="0"/>
        <v>8555</v>
      </c>
      <c r="AC3" s="5" t="s">
        <v>5</v>
      </c>
      <c r="AD3" s="6">
        <v>37</v>
      </c>
    </row>
    <row r="4" spans="1:30" x14ac:dyDescent="0.25">
      <c r="A4">
        <v>220</v>
      </c>
      <c r="B4" s="11"/>
      <c r="C4" s="11"/>
      <c r="D4">
        <v>23.81</v>
      </c>
      <c r="E4" s="11"/>
      <c r="F4" s="11"/>
      <c r="G4" s="11"/>
      <c r="H4" s="11"/>
      <c r="I4" s="11"/>
      <c r="J4" s="11"/>
      <c r="K4" s="11"/>
      <c r="L4" s="11"/>
      <c r="M4" s="11"/>
      <c r="N4" s="13"/>
      <c r="O4">
        <f>O3/1000</f>
        <v>0</v>
      </c>
      <c r="P4">
        <f t="shared" ref="P4:AA4" si="1">P3/1000</f>
        <v>0.45419999999999711</v>
      </c>
      <c r="Q4">
        <f t="shared" si="1"/>
        <v>1.1915</v>
      </c>
      <c r="R4">
        <f t="shared" si="1"/>
        <v>6.7440999999999987</v>
      </c>
      <c r="S4">
        <f t="shared" si="1"/>
        <v>6.9415999999999984</v>
      </c>
      <c r="T4">
        <f t="shared" si="1"/>
        <v>7.097699999999997</v>
      </c>
      <c r="U4">
        <f t="shared" si="1"/>
        <v>7.4312999999999958</v>
      </c>
      <c r="V4">
        <f t="shared" si="1"/>
        <v>7.466400000000001</v>
      </c>
      <c r="W4">
        <f t="shared" si="1"/>
        <v>8.309299999999995</v>
      </c>
      <c r="X4">
        <f t="shared" si="1"/>
        <v>8.3869000000000007</v>
      </c>
      <c r="Y4">
        <f t="shared" si="1"/>
        <v>8.4225999999999992</v>
      </c>
      <c r="Z4">
        <f t="shared" si="1"/>
        <v>8.5460999999999991</v>
      </c>
      <c r="AA4">
        <f t="shared" si="1"/>
        <v>8.5549999999999997</v>
      </c>
      <c r="AC4" s="5"/>
      <c r="AD4" s="6"/>
    </row>
    <row r="5" spans="1:30" x14ac:dyDescent="0.25">
      <c r="A5">
        <v>240</v>
      </c>
      <c r="B5" s="11"/>
      <c r="C5" s="11"/>
      <c r="D5">
        <v>23.2</v>
      </c>
      <c r="E5" s="11"/>
      <c r="F5" s="11"/>
      <c r="G5" s="11"/>
      <c r="H5" s="11"/>
      <c r="I5" s="11"/>
      <c r="J5" s="11"/>
      <c r="K5" s="11"/>
      <c r="L5" s="11"/>
      <c r="M5" s="11"/>
      <c r="N5" s="13"/>
      <c r="AC5" s="5"/>
      <c r="AD5" s="6"/>
    </row>
    <row r="6" spans="1:30" hidden="1" x14ac:dyDescent="0.25">
      <c r="A6">
        <v>250</v>
      </c>
      <c r="D6">
        <v>16.829999999999998</v>
      </c>
      <c r="AC6" s="5" t="s">
        <v>6</v>
      </c>
      <c r="AD6" s="6">
        <v>42</v>
      </c>
    </row>
    <row r="7" spans="1:30" x14ac:dyDescent="0.25">
      <c r="A7">
        <v>260</v>
      </c>
      <c r="D7">
        <v>23.6</v>
      </c>
      <c r="AC7" s="5"/>
      <c r="AD7" s="6"/>
    </row>
    <row r="8" spans="1:30" x14ac:dyDescent="0.25">
      <c r="A8">
        <v>280</v>
      </c>
      <c r="D8">
        <v>22.12</v>
      </c>
      <c r="AC8" s="5"/>
      <c r="AD8" s="6"/>
    </row>
    <row r="9" spans="1:30" x14ac:dyDescent="0.25">
      <c r="A9">
        <v>300</v>
      </c>
      <c r="D9">
        <v>22.71</v>
      </c>
      <c r="S9" s="10"/>
      <c r="T9" s="10"/>
      <c r="U9" s="10"/>
      <c r="V9" s="10"/>
      <c r="AC9" s="5" t="s">
        <v>3</v>
      </c>
      <c r="AD9" s="6">
        <v>47</v>
      </c>
    </row>
    <row r="10" spans="1:30" x14ac:dyDescent="0.25">
      <c r="A10">
        <v>320</v>
      </c>
      <c r="D10">
        <v>17.66</v>
      </c>
      <c r="S10" s="10"/>
      <c r="T10" s="10"/>
      <c r="U10" s="10"/>
      <c r="V10" s="10"/>
      <c r="AC10" s="5"/>
      <c r="AD10" s="6"/>
    </row>
    <row r="11" spans="1:30" x14ac:dyDescent="0.25">
      <c r="A11">
        <v>340</v>
      </c>
      <c r="D11">
        <v>17.73</v>
      </c>
      <c r="S11" s="10"/>
      <c r="T11" s="10"/>
      <c r="U11" s="10"/>
      <c r="V11" s="10"/>
      <c r="AC11" s="5"/>
      <c r="AD11" s="6"/>
    </row>
    <row r="12" spans="1:30" x14ac:dyDescent="0.25">
      <c r="A12">
        <v>350</v>
      </c>
      <c r="D12">
        <v>18.21</v>
      </c>
      <c r="S12" s="10"/>
      <c r="T12" s="10"/>
      <c r="U12" s="10"/>
      <c r="V12" s="10"/>
      <c r="AC12" s="5" t="s">
        <v>7</v>
      </c>
      <c r="AD12" s="6">
        <v>56</v>
      </c>
    </row>
    <row r="13" spans="1:30" x14ac:dyDescent="0.25">
      <c r="A13">
        <v>360</v>
      </c>
      <c r="D13">
        <v>18.04</v>
      </c>
      <c r="S13" s="10"/>
      <c r="T13" s="10"/>
      <c r="U13" s="10"/>
      <c r="V13" s="10"/>
      <c r="AC13" s="5"/>
      <c r="AD13" s="6"/>
    </row>
    <row r="14" spans="1:30" x14ac:dyDescent="0.25">
      <c r="A14">
        <v>380</v>
      </c>
      <c r="D14" s="11">
        <v>18.346800000000002</v>
      </c>
      <c r="S14" s="10"/>
      <c r="T14" s="10"/>
      <c r="U14" s="10"/>
      <c r="V14" s="10"/>
      <c r="AC14" s="5"/>
      <c r="AD14" s="6"/>
    </row>
    <row r="15" spans="1:30" x14ac:dyDescent="0.25">
      <c r="A15">
        <v>400</v>
      </c>
      <c r="D15">
        <v>18.190000000000001</v>
      </c>
      <c r="S15" s="10"/>
      <c r="T15" s="10"/>
      <c r="U15" s="10"/>
      <c r="V15" s="10"/>
      <c r="AC15" s="7" t="s">
        <v>8</v>
      </c>
      <c r="AD15" s="8">
        <v>65</v>
      </c>
    </row>
    <row r="16" spans="1:30" x14ac:dyDescent="0.25">
      <c r="A16">
        <v>450</v>
      </c>
      <c r="D16">
        <v>18.54</v>
      </c>
      <c r="S16" s="10"/>
      <c r="T16" s="10"/>
      <c r="U16" s="10"/>
      <c r="V16" s="10"/>
    </row>
    <row r="17" spans="1:22" x14ac:dyDescent="0.25">
      <c r="A17">
        <v>500</v>
      </c>
      <c r="D17">
        <v>19.13</v>
      </c>
      <c r="S17" s="10"/>
      <c r="T17" s="10"/>
      <c r="U17" s="10"/>
      <c r="V17" s="10"/>
    </row>
    <row r="18" spans="1:22" x14ac:dyDescent="0.25">
      <c r="S18" s="10"/>
      <c r="T18" s="10"/>
      <c r="U18" s="10"/>
      <c r="V18" s="10"/>
    </row>
    <row r="19" spans="1:22" x14ac:dyDescent="0.25">
      <c r="S19" s="10"/>
      <c r="T19" s="10"/>
      <c r="U19" s="10"/>
      <c r="V19" s="10"/>
    </row>
    <row r="20" spans="1:22" x14ac:dyDescent="0.25">
      <c r="K20" t="s">
        <v>23</v>
      </c>
      <c r="L20" t="s">
        <v>24</v>
      </c>
      <c r="S20" s="10"/>
      <c r="T20" s="10"/>
      <c r="U20" s="10"/>
      <c r="V20" s="10"/>
    </row>
    <row r="21" spans="1:22" x14ac:dyDescent="0.25">
      <c r="K21">
        <v>200</v>
      </c>
      <c r="L21">
        <v>23.79</v>
      </c>
      <c r="S21" s="10"/>
      <c r="T21" s="10"/>
      <c r="U21" s="10"/>
      <c r="V21" s="10"/>
    </row>
    <row r="22" spans="1:22" x14ac:dyDescent="0.25">
      <c r="K22">
        <v>220</v>
      </c>
      <c r="L22">
        <v>23.81</v>
      </c>
      <c r="S22" s="10"/>
      <c r="T22" s="10"/>
      <c r="U22" s="10"/>
      <c r="V22" s="10"/>
    </row>
    <row r="23" spans="1:22" x14ac:dyDescent="0.25">
      <c r="K23">
        <v>240</v>
      </c>
      <c r="L23">
        <v>23.2</v>
      </c>
      <c r="S23" s="10"/>
      <c r="T23" s="10"/>
      <c r="U23" s="10"/>
      <c r="V23" s="10"/>
    </row>
    <row r="24" spans="1:22" x14ac:dyDescent="0.25">
      <c r="K24">
        <v>250</v>
      </c>
      <c r="L24">
        <v>16.829999999999998</v>
      </c>
      <c r="S24" s="10"/>
      <c r="T24" s="10"/>
      <c r="U24" s="10"/>
      <c r="V24" s="10"/>
    </row>
    <row r="25" spans="1:22" x14ac:dyDescent="0.25">
      <c r="K25">
        <v>260</v>
      </c>
      <c r="L25">
        <v>23.6</v>
      </c>
      <c r="S25" s="10"/>
      <c r="T25" s="10"/>
      <c r="U25" s="10"/>
      <c r="V25" s="10"/>
    </row>
    <row r="26" spans="1:22" x14ac:dyDescent="0.25">
      <c r="K26">
        <v>280</v>
      </c>
      <c r="L26">
        <v>22.12</v>
      </c>
      <c r="S26" s="10"/>
      <c r="T26" s="10"/>
      <c r="U26" s="10"/>
      <c r="V26" s="10"/>
    </row>
    <row r="27" spans="1:22" x14ac:dyDescent="0.25">
      <c r="K27">
        <v>300</v>
      </c>
      <c r="L27">
        <v>22.71</v>
      </c>
    </row>
    <row r="28" spans="1:22" x14ac:dyDescent="0.25">
      <c r="K28">
        <v>320</v>
      </c>
      <c r="L28">
        <v>17.66</v>
      </c>
    </row>
    <row r="29" spans="1:22" x14ac:dyDescent="0.25">
      <c r="K29">
        <v>340</v>
      </c>
      <c r="L29">
        <v>17.73</v>
      </c>
    </row>
    <row r="30" spans="1:22" x14ac:dyDescent="0.25">
      <c r="K30">
        <v>350</v>
      </c>
      <c r="L30">
        <v>18.21</v>
      </c>
    </row>
    <row r="31" spans="1:22" x14ac:dyDescent="0.25">
      <c r="K31">
        <v>360</v>
      </c>
      <c r="L31">
        <v>18.04</v>
      </c>
    </row>
    <row r="32" spans="1:22" x14ac:dyDescent="0.25">
      <c r="K32">
        <v>380</v>
      </c>
      <c r="L32" s="11">
        <v>18.346800000000002</v>
      </c>
    </row>
    <row r="33" spans="11:12" x14ac:dyDescent="0.25">
      <c r="K33">
        <v>400</v>
      </c>
      <c r="L33">
        <v>18.190000000000001</v>
      </c>
    </row>
    <row r="34" spans="11:12" x14ac:dyDescent="0.25">
      <c r="K34">
        <v>450</v>
      </c>
      <c r="L34">
        <v>18.54</v>
      </c>
    </row>
    <row r="35" spans="11:12" x14ac:dyDescent="0.25">
      <c r="K35">
        <v>500</v>
      </c>
      <c r="L35">
        <v>19.13</v>
      </c>
    </row>
  </sheetData>
  <mergeCells count="4">
    <mergeCell ref="A1:A2"/>
    <mergeCell ref="O1:AA1"/>
    <mergeCell ref="B1:N1"/>
    <mergeCell ref="AC1:AD1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B1" zoomScale="85" zoomScaleNormal="85" workbookViewId="0">
      <selection activeCell="J31" sqref="J31"/>
    </sheetView>
  </sheetViews>
  <sheetFormatPr defaultRowHeight="15" x14ac:dyDescent="0.25"/>
  <cols>
    <col min="2" max="3" width="13.85546875" bestFit="1" customWidth="1"/>
    <col min="4" max="4" width="12.28515625" bestFit="1" customWidth="1"/>
    <col min="5" max="5" width="12.85546875" bestFit="1" customWidth="1"/>
    <col min="6" max="6" width="13.140625" customWidth="1"/>
    <col min="7" max="7" width="12.42578125" customWidth="1"/>
    <col min="8" max="8" width="13.85546875" bestFit="1" customWidth="1"/>
    <col min="10" max="10" width="23.5703125" customWidth="1"/>
    <col min="11" max="11" width="10" bestFit="1" customWidth="1"/>
    <col min="12" max="12" width="10.140625" bestFit="1" customWidth="1"/>
    <col min="13" max="13" width="10.7109375" customWidth="1"/>
    <col min="14" max="14" width="12" customWidth="1"/>
    <col min="16" max="16" width="12.28515625" bestFit="1" customWidth="1"/>
  </cols>
  <sheetData>
    <row r="1" spans="1:15" x14ac:dyDescent="0.25">
      <c r="A1" t="s">
        <v>0</v>
      </c>
    </row>
    <row r="2" spans="1:15" ht="15.75" thickBot="1" x14ac:dyDescent="0.3">
      <c r="A2">
        <v>320</v>
      </c>
    </row>
    <row r="3" spans="1:15" ht="15.75" thickBot="1" x14ac:dyDescent="0.3">
      <c r="D3" s="18" t="s">
        <v>26</v>
      </c>
      <c r="E3" s="25" t="s">
        <v>28</v>
      </c>
      <c r="G3" s="21">
        <v>100</v>
      </c>
      <c r="H3" s="26" t="s">
        <v>25</v>
      </c>
    </row>
    <row r="4" spans="1:15" ht="18.75" thickBot="1" x14ac:dyDescent="0.4">
      <c r="C4" s="17" t="s">
        <v>27</v>
      </c>
      <c r="D4" s="18" t="s">
        <v>9</v>
      </c>
      <c r="E4" s="18" t="s">
        <v>35</v>
      </c>
      <c r="F4" s="18" t="s">
        <v>16</v>
      </c>
      <c r="G4" s="18" t="s">
        <v>38</v>
      </c>
      <c r="H4" s="27" t="s">
        <v>9</v>
      </c>
      <c r="I4" s="23" t="s">
        <v>29</v>
      </c>
      <c r="J4" s="27" t="s">
        <v>37</v>
      </c>
      <c r="K4" s="28" t="s">
        <v>29</v>
      </c>
      <c r="L4" s="22" t="s">
        <v>16</v>
      </c>
      <c r="M4" s="28" t="s">
        <v>29</v>
      </c>
      <c r="N4" s="22" t="s">
        <v>35</v>
      </c>
      <c r="O4" s="23" t="s">
        <v>29</v>
      </c>
    </row>
    <row r="5" spans="1:15" ht="15.75" thickBot="1" x14ac:dyDescent="0.3">
      <c r="C5" s="31" t="s">
        <v>8</v>
      </c>
      <c r="D5" s="19">
        <v>43.745600000000003</v>
      </c>
      <c r="E5" s="19">
        <v>44.482900000000001</v>
      </c>
      <c r="F5">
        <f>((50.384*9.44)+(50.228*4.88)+(50.738*0.156))/(9.44+4.88+0.156)</f>
        <v>50.335225752970423</v>
      </c>
      <c r="G5" s="19">
        <f>((51.698*3.15)+(51.84*0.04))/(3.15+0.04)</f>
        <v>51.699780564263328</v>
      </c>
      <c r="H5" s="29">
        <v>1424.11</v>
      </c>
      <c r="I5" s="30">
        <v>8.2537700000000006E-2</v>
      </c>
      <c r="J5" s="29">
        <v>1448.46</v>
      </c>
      <c r="K5" s="30">
        <v>4.9700399999999999E-2</v>
      </c>
      <c r="L5" s="29">
        <v>1638.28</v>
      </c>
      <c r="M5" s="30">
        <v>5.9007200000000003E-2</v>
      </c>
      <c r="N5" s="29">
        <v>1683.31</v>
      </c>
      <c r="O5" s="30">
        <v>0.13144600000000001</v>
      </c>
    </row>
    <row r="6" spans="1:15" ht="15.75" thickBot="1" x14ac:dyDescent="0.3">
      <c r="C6" s="31" t="s">
        <v>4</v>
      </c>
      <c r="D6" s="19"/>
      <c r="E6" s="39">
        <v>8.0412315521628503</v>
      </c>
      <c r="F6" s="19"/>
      <c r="G6" s="40">
        <v>8.9050559905404096</v>
      </c>
      <c r="H6" s="31"/>
      <c r="I6" s="32"/>
      <c r="J6" s="29">
        <v>262.12099999999998</v>
      </c>
      <c r="K6" s="30">
        <v>9.3868599999999996E-2</v>
      </c>
      <c r="L6" s="31"/>
      <c r="M6" s="32"/>
      <c r="N6" s="29">
        <v>289.43</v>
      </c>
      <c r="O6" s="30">
        <v>0.225048</v>
      </c>
    </row>
    <row r="7" spans="1:15" ht="15.75" thickBot="1" x14ac:dyDescent="0.3">
      <c r="C7" s="31" t="s">
        <v>5</v>
      </c>
      <c r="D7" s="19"/>
      <c r="E7" s="39">
        <v>13.371563258232236</v>
      </c>
      <c r="F7" s="19"/>
      <c r="G7" s="40">
        <v>14.979560485030868</v>
      </c>
      <c r="H7" s="31"/>
      <c r="I7" s="32"/>
      <c r="J7" s="36">
        <v>435.62400000000002</v>
      </c>
      <c r="K7" s="36">
        <v>4.5329700000000001E-2</v>
      </c>
      <c r="L7" s="31"/>
      <c r="M7" s="32"/>
      <c r="N7" s="37">
        <v>487.57799999999997</v>
      </c>
      <c r="O7" s="37">
        <v>0.10113800000000001</v>
      </c>
    </row>
    <row r="8" spans="1:15" ht="15.75" thickBot="1" x14ac:dyDescent="0.3">
      <c r="C8" s="31" t="s">
        <v>3</v>
      </c>
      <c r="D8" s="19"/>
      <c r="E8" s="39">
        <v>22.103014398074524</v>
      </c>
      <c r="F8" s="19"/>
      <c r="G8" s="40">
        <v>25.006337266100548</v>
      </c>
      <c r="H8" s="31"/>
      <c r="I8" s="32"/>
      <c r="J8" s="36">
        <v>719.56600000000003</v>
      </c>
      <c r="K8" s="36">
        <v>3.9877500000000003E-2</v>
      </c>
      <c r="L8" s="31"/>
      <c r="M8" s="32"/>
      <c r="N8" s="37">
        <v>813.32</v>
      </c>
      <c r="O8" s="37">
        <v>0.104605</v>
      </c>
    </row>
    <row r="9" spans="1:15" ht="15.75" thickBot="1" x14ac:dyDescent="0.3">
      <c r="C9" s="33" t="s">
        <v>7</v>
      </c>
      <c r="D9" s="20"/>
      <c r="E9" s="39">
        <v>32.060483646813552</v>
      </c>
      <c r="F9" s="41">
        <f>((36.378*8.63)+(36.304*4.47)+(36.652*0.1))/(8.63+4.47+0.1)</f>
        <v>36.355016666666671</v>
      </c>
      <c r="G9" s="40">
        <f>((37.255*2.73)+(37.349*0.023))/(2.73+0.023)</f>
        <v>37.255785325099893</v>
      </c>
      <c r="H9" s="33"/>
      <c r="I9" s="34"/>
      <c r="J9" s="36">
        <v>1043.28</v>
      </c>
      <c r="K9" s="36">
        <v>5.8851899999999999E-2</v>
      </c>
      <c r="L9" s="38">
        <v>1183.1600000000001</v>
      </c>
      <c r="M9" s="38">
        <v>0.104783</v>
      </c>
      <c r="N9" s="37">
        <v>1212.9000000000001</v>
      </c>
      <c r="O9" s="37">
        <v>0.24219299999999999</v>
      </c>
    </row>
    <row r="10" spans="1:15" ht="15.75" thickBot="1" x14ac:dyDescent="0.3"/>
    <row r="11" spans="1:15" ht="15.75" thickBot="1" x14ac:dyDescent="0.3">
      <c r="H11" s="36"/>
      <c r="I11" s="14" t="s">
        <v>30</v>
      </c>
      <c r="J11" s="14" t="s">
        <v>34</v>
      </c>
      <c r="K11" s="39">
        <f>(8.048*0.26+8.028*0.133)/(0.26+0.133)</f>
        <v>8.0412315521628503</v>
      </c>
    </row>
    <row r="12" spans="1:15" ht="15.75" thickBot="1" x14ac:dyDescent="0.3">
      <c r="C12" s="15" t="s">
        <v>49</v>
      </c>
      <c r="D12" s="15" t="s">
        <v>48</v>
      </c>
      <c r="E12" s="15" t="s">
        <v>26</v>
      </c>
      <c r="F12" s="15" t="s">
        <v>46</v>
      </c>
      <c r="G12" s="15" t="s">
        <v>47</v>
      </c>
      <c r="H12" s="37"/>
      <c r="I12" s="33">
        <v>2</v>
      </c>
      <c r="J12" s="33" t="s">
        <v>36</v>
      </c>
      <c r="K12" s="40">
        <f>(8.905*0.031+8.905*0.0159+8.977*0.0000365)/(0.031+0.0159+0.0000365)</f>
        <v>8.9050559905404096</v>
      </c>
    </row>
    <row r="13" spans="1:15" x14ac:dyDescent="0.25">
      <c r="C13" s="15" t="s">
        <v>8</v>
      </c>
      <c r="D13" s="35" t="s">
        <v>9</v>
      </c>
      <c r="E13" s="15">
        <v>43.745600000000003</v>
      </c>
      <c r="F13" s="44">
        <v>1424.11</v>
      </c>
      <c r="G13" s="44">
        <v>8.2537700000000006E-2</v>
      </c>
      <c r="I13" s="14" t="s">
        <v>31</v>
      </c>
      <c r="J13" s="14" t="s">
        <v>34</v>
      </c>
      <c r="K13" s="39">
        <f>(13.39*38+13.336*19.7)/(38+19.7)</f>
        <v>13.371563258232236</v>
      </c>
    </row>
    <row r="14" spans="1:15" ht="18.75" thickBot="1" x14ac:dyDescent="0.4">
      <c r="C14" s="19"/>
      <c r="D14" s="43" t="s">
        <v>35</v>
      </c>
      <c r="E14" s="19">
        <v>44.482900000000001</v>
      </c>
      <c r="F14" s="45">
        <v>1448.46</v>
      </c>
      <c r="G14" s="45">
        <v>4.9700399999999999E-2</v>
      </c>
      <c r="I14" s="33">
        <v>2</v>
      </c>
      <c r="J14" s="33" t="s">
        <v>36</v>
      </c>
      <c r="K14" s="40">
        <f>(14.961*5.39+15.185*0.85+14.952*2.78+15.089*0.0186)/(5.39+0.85+2.78+0.0186)</f>
        <v>14.979560485030868</v>
      </c>
    </row>
    <row r="15" spans="1:15" x14ac:dyDescent="0.25">
      <c r="C15" s="19"/>
      <c r="D15" s="43" t="s">
        <v>16</v>
      </c>
      <c r="E15" s="19">
        <f>((50.384*9.44)+(50.228*4.88)+(50.738*0.156))/(9.44+4.88+0.156)</f>
        <v>50.335225752970423</v>
      </c>
      <c r="F15" s="45">
        <v>1638.28</v>
      </c>
      <c r="G15" s="45">
        <v>5.9007200000000003E-2</v>
      </c>
      <c r="I15" s="14" t="s">
        <v>32</v>
      </c>
      <c r="J15" s="14" t="s">
        <v>34</v>
      </c>
      <c r="K15" s="39">
        <f>(22.163*45.6+21.99*24.2+21.708*0.001)/(45.6+24.2+0.001)</f>
        <v>22.103014398074524</v>
      </c>
    </row>
    <row r="16" spans="1:15" ht="18.75" thickBot="1" x14ac:dyDescent="0.4">
      <c r="C16" s="19"/>
      <c r="D16" s="43" t="s">
        <v>38</v>
      </c>
      <c r="E16" s="19">
        <f>((51.698*3.15)+(51.84*0.04))/(3.15+0.04)</f>
        <v>51.699780564263328</v>
      </c>
      <c r="F16" s="45">
        <v>1683.31</v>
      </c>
      <c r="G16" s="45">
        <v>0.13144600000000001</v>
      </c>
      <c r="I16" s="33">
        <v>2</v>
      </c>
      <c r="J16" s="33" t="s">
        <v>36</v>
      </c>
      <c r="K16" s="40">
        <f>(24.943*7.52+25.455*1.88+24.912*3.9+25.11*0.007)/(7.52+1.88+3.9+0.007)</f>
        <v>25.006337266100548</v>
      </c>
    </row>
    <row r="17" spans="3:17" ht="18" x14ac:dyDescent="0.35">
      <c r="C17" s="15" t="s">
        <v>4</v>
      </c>
      <c r="D17" s="35" t="s">
        <v>35</v>
      </c>
      <c r="E17" s="39">
        <f>(8.048*0.26+8.028*0.133)/(0.26+0.133)</f>
        <v>8.0412315521628503</v>
      </c>
      <c r="F17" s="44">
        <v>262.12099999999998</v>
      </c>
      <c r="G17" s="44">
        <v>9.3868599999999996E-2</v>
      </c>
      <c r="I17" s="14" t="s">
        <v>33</v>
      </c>
      <c r="J17" s="14" t="s">
        <v>34</v>
      </c>
      <c r="K17" s="39">
        <f>((32.194*46.7)+(31.817*25.6)+(31.452*0.00334))/(46.7+25.6+0.00334)</f>
        <v>32.060483646813552</v>
      </c>
    </row>
    <row r="18" spans="3:17" ht="15.75" thickBot="1" x14ac:dyDescent="0.3">
      <c r="C18" s="20"/>
      <c r="D18" s="24" t="s">
        <v>16</v>
      </c>
      <c r="E18" s="40">
        <f>(8.905*0.031+8.905*0.0159+8.977*0.0000365)/(0.031+0.0159+0.0000365)</f>
        <v>8.9050559905404096</v>
      </c>
      <c r="F18" s="46">
        <v>289.43</v>
      </c>
      <c r="G18" s="46">
        <v>0.225048</v>
      </c>
      <c r="I18" s="31">
        <v>2</v>
      </c>
      <c r="J18" s="31" t="s">
        <v>40</v>
      </c>
      <c r="K18" s="41">
        <f>((36.378*8.63)+(36.304*4.47)+(36.652*0.1))/(8.63+4.47+0.1)</f>
        <v>36.355016666666671</v>
      </c>
    </row>
    <row r="19" spans="3:17" ht="18.75" thickBot="1" x14ac:dyDescent="0.4">
      <c r="C19" s="15" t="s">
        <v>5</v>
      </c>
      <c r="D19" s="35" t="s">
        <v>35</v>
      </c>
      <c r="E19" s="39">
        <f>(13.39*38+13.336*19.7)/(38+19.7)</f>
        <v>13.371563258232236</v>
      </c>
      <c r="F19" s="44">
        <v>435.62400000000002</v>
      </c>
      <c r="G19" s="44">
        <v>4.5329700000000001E-2</v>
      </c>
      <c r="I19" s="33">
        <v>3</v>
      </c>
      <c r="J19" s="31" t="s">
        <v>39</v>
      </c>
      <c r="K19" s="40">
        <f>((37.255*2.73)+(37.349*0.023))/(2.73+0.023)</f>
        <v>37.255785325099893</v>
      </c>
    </row>
    <row r="20" spans="3:17" ht="15.75" thickBot="1" x14ac:dyDescent="0.3">
      <c r="C20" s="20"/>
      <c r="D20" s="24" t="s">
        <v>16</v>
      </c>
      <c r="E20" s="40">
        <f>(14.961*5.39+15.185*0.85+14.952*2.78+15.089*0.0186)/(5.39+0.85+2.78+0.0186)</f>
        <v>14.979560485030868</v>
      </c>
      <c r="F20" s="46">
        <v>487.57799999999997</v>
      </c>
      <c r="G20" s="46">
        <v>0.10113800000000001</v>
      </c>
    </row>
    <row r="21" spans="3:17" ht="18" x14ac:dyDescent="0.35">
      <c r="C21" s="15" t="s">
        <v>3</v>
      </c>
      <c r="D21" s="35" t="s">
        <v>35</v>
      </c>
      <c r="E21" s="39">
        <f>(22.163*45.6+21.99*24.2+21.708*0.001)/(45.6+24.2+0.001)</f>
        <v>22.103014398074524</v>
      </c>
      <c r="F21" s="44">
        <v>719.56600000000003</v>
      </c>
      <c r="G21" s="44">
        <v>3.9877500000000003E-2</v>
      </c>
      <c r="I21" s="48" t="s">
        <v>45</v>
      </c>
      <c r="J21" s="48"/>
      <c r="K21" s="48"/>
      <c r="Q21" s="10"/>
    </row>
    <row r="22" spans="3:17" ht="15.75" thickBot="1" x14ac:dyDescent="0.3">
      <c r="C22" s="20"/>
      <c r="D22" s="24" t="s">
        <v>16</v>
      </c>
      <c r="E22" s="40">
        <f>(24.943*7.52+25.455*1.88+24.912*3.9+25.11*0.007)/(7.52+1.88+3.9+0.007)</f>
        <v>25.006337266100548</v>
      </c>
      <c r="F22" s="46">
        <v>813.32</v>
      </c>
      <c r="G22" s="46">
        <v>0.104783</v>
      </c>
      <c r="I22" t="s">
        <v>41</v>
      </c>
      <c r="J22">
        <v>10570.3</v>
      </c>
      <c r="O22" s="10"/>
    </row>
    <row r="23" spans="3:17" ht="18.75" thickBot="1" x14ac:dyDescent="0.4">
      <c r="C23" s="15" t="s">
        <v>7</v>
      </c>
      <c r="D23" s="35" t="s">
        <v>35</v>
      </c>
      <c r="E23" s="39">
        <f>((32.194*46.7)+(31.817*25.6)+(31.452*0.00334))/(46.7+25.6+0.00334)</f>
        <v>32.060483646813552</v>
      </c>
      <c r="F23" s="44">
        <v>1043.28</v>
      </c>
      <c r="G23" s="44">
        <v>5.8851899999999999E-2</v>
      </c>
      <c r="I23" t="s">
        <v>42</v>
      </c>
      <c r="J23">
        <v>11</v>
      </c>
      <c r="L23" s="14"/>
      <c r="M23" s="16" t="s">
        <v>52</v>
      </c>
      <c r="N23" s="47" t="s">
        <v>53</v>
      </c>
      <c r="O23" s="10"/>
    </row>
    <row r="24" spans="3:17" x14ac:dyDescent="0.25">
      <c r="C24" s="19"/>
      <c r="D24" s="43" t="s">
        <v>16</v>
      </c>
      <c r="E24" s="41">
        <f>((36.378*8.63)+(36.304*4.47)+(36.652*0.1))/(8.63+4.47+0.1)</f>
        <v>36.355016666666671</v>
      </c>
      <c r="F24" s="45">
        <v>1183.1600000000001</v>
      </c>
      <c r="G24" s="45">
        <v>0.104783</v>
      </c>
      <c r="I24" t="s">
        <v>43</v>
      </c>
      <c r="J24">
        <v>0.15909200000000001</v>
      </c>
      <c r="K24">
        <v>4.4855899999999997E-2</v>
      </c>
      <c r="L24" s="44" t="s">
        <v>50</v>
      </c>
      <c r="M24" s="38">
        <v>8.0412315521628503</v>
      </c>
      <c r="N24" s="67">
        <f>J24+J25*M24</f>
        <v>261.84328215572521</v>
      </c>
      <c r="O24" s="10"/>
    </row>
    <row r="25" spans="3:17" ht="18.75" thickBot="1" x14ac:dyDescent="0.4">
      <c r="C25" s="20"/>
      <c r="D25" s="24" t="s">
        <v>38</v>
      </c>
      <c r="E25" s="40">
        <f>((37.255*2.73)+(37.349*0.023))/(2.73+0.023)</f>
        <v>37.255785325099893</v>
      </c>
      <c r="F25" s="46">
        <v>1212.9000000000001</v>
      </c>
      <c r="G25" s="46">
        <v>0.24219299999999999</v>
      </c>
      <c r="I25" t="s">
        <v>44</v>
      </c>
      <c r="J25">
        <v>32.5428</v>
      </c>
      <c r="K25">
        <v>1.3794499999999999E-3</v>
      </c>
      <c r="L25" s="46" t="s">
        <v>51</v>
      </c>
      <c r="M25" s="37"/>
      <c r="N25" s="42">
        <f>(M25-J24)/J25</f>
        <v>-4.8887004191403328E-3</v>
      </c>
      <c r="O25" s="10"/>
    </row>
    <row r="26" spans="3:17" x14ac:dyDescent="0.25">
      <c r="N26" s="10"/>
      <c r="O26" s="10"/>
      <c r="P26" s="10"/>
      <c r="Q26" s="10"/>
    </row>
    <row r="27" spans="3:17" x14ac:dyDescent="0.25">
      <c r="N27" s="10"/>
      <c r="O27" s="10"/>
      <c r="P27" s="10"/>
      <c r="Q27" s="10"/>
    </row>
    <row r="28" spans="3:17" x14ac:dyDescent="0.25">
      <c r="N28" s="10"/>
      <c r="O28" s="10"/>
      <c r="P28" s="10"/>
      <c r="Q28" s="10"/>
    </row>
    <row r="29" spans="3:17" x14ac:dyDescent="0.25">
      <c r="J29">
        <f>2/29+1/60</f>
        <v>8.5632183908045972E-2</v>
      </c>
      <c r="N29" s="10"/>
      <c r="O29" s="10"/>
      <c r="P29" s="10"/>
      <c r="Q29" s="10"/>
    </row>
    <row r="30" spans="3:17" x14ac:dyDescent="0.25">
      <c r="J30">
        <f>(1-COS(PI()/2))/29+1/60</f>
        <v>5.1149425287356318E-2</v>
      </c>
      <c r="N30" s="10"/>
      <c r="O30" s="10"/>
      <c r="P30" s="10"/>
      <c r="Q30" s="10"/>
    </row>
    <row r="31" spans="3:17" x14ac:dyDescent="0.25">
      <c r="N31" s="10"/>
      <c r="O31" s="10"/>
      <c r="P31" s="10"/>
      <c r="Q31" s="10"/>
    </row>
  </sheetData>
  <mergeCells count="1">
    <mergeCell ref="I21:K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D20" sqref="D20"/>
    </sheetView>
  </sheetViews>
  <sheetFormatPr defaultRowHeight="15" x14ac:dyDescent="0.25"/>
  <cols>
    <col min="7" max="7" width="22.28515625" bestFit="1" customWidth="1"/>
    <col min="8" max="8" width="12" bestFit="1" customWidth="1"/>
    <col min="9" max="9" width="21.140625" bestFit="1" customWidth="1"/>
    <col min="11" max="11" width="11" bestFit="1" customWidth="1"/>
    <col min="14" max="14" width="12.85546875" bestFit="1" customWidth="1"/>
    <col min="15" max="15" width="26.5703125" bestFit="1" customWidth="1"/>
    <col min="16" max="16" width="3" bestFit="1" customWidth="1"/>
    <col min="17" max="17" width="14.42578125" bestFit="1" customWidth="1"/>
    <col min="18" max="18" width="9.28515625" bestFit="1" customWidth="1"/>
  </cols>
  <sheetData>
    <row r="1" spans="1:22" ht="15.75" thickBot="1" x14ac:dyDescent="0.3">
      <c r="A1" s="15" t="s">
        <v>54</v>
      </c>
      <c r="B1" s="15" t="s">
        <v>49</v>
      </c>
      <c r="C1" s="15" t="s">
        <v>48</v>
      </c>
      <c r="D1" s="15" t="s">
        <v>26</v>
      </c>
      <c r="E1" s="15" t="s">
        <v>46</v>
      </c>
      <c r="F1" s="15" t="s">
        <v>47</v>
      </c>
      <c r="G1" s="59" t="s">
        <v>55</v>
      </c>
      <c r="H1" s="59" t="s">
        <v>61</v>
      </c>
      <c r="I1" s="60" t="s">
        <v>58</v>
      </c>
      <c r="J1" s="26" t="s">
        <v>60</v>
      </c>
      <c r="K1" s="66" t="s">
        <v>70</v>
      </c>
      <c r="L1" s="66" t="s">
        <v>29</v>
      </c>
    </row>
    <row r="2" spans="1:22" ht="15.75" thickBot="1" x14ac:dyDescent="0.3">
      <c r="A2" s="15">
        <v>65</v>
      </c>
      <c r="B2" s="15" t="s">
        <v>8</v>
      </c>
      <c r="C2" s="35" t="s">
        <v>9</v>
      </c>
      <c r="D2" s="15">
        <v>43.745600000000003</v>
      </c>
      <c r="E2" s="44">
        <v>1424.11</v>
      </c>
      <c r="F2" s="44">
        <v>8.2537700000000006E-2</v>
      </c>
      <c r="G2" s="15">
        <f>(E2-$E$19)/$E$20</f>
        <v>43.756250476295826</v>
      </c>
      <c r="H2" s="15">
        <f>SQRT((F2/$E$20)^2+(-$F$19/$E$20)^2+(-$F$20*(E2-$E$19)/($E$20^2))^2)</f>
        <v>3.431152323929469E-3</v>
      </c>
      <c r="I2" s="44">
        <f>(G2*0.00000000000000016)/$G$17</f>
        <v>1.0559577792167922E+19</v>
      </c>
      <c r="J2" s="62">
        <f>(H2*0.00000000000000016)/$G$17</f>
        <v>828030726740143.38</v>
      </c>
      <c r="K2" s="14">
        <f>SQRT(I2)</f>
        <v>3249550398.4655972</v>
      </c>
      <c r="L2" s="44">
        <f>0.5*(1/SQRT(I2))*J2</f>
        <v>127406.96791948982</v>
      </c>
      <c r="M2" s="10">
        <f>25000000/L2</f>
        <v>196.2216070929326</v>
      </c>
      <c r="O2" t="s">
        <v>64</v>
      </c>
      <c r="P2" t="s">
        <v>63</v>
      </c>
      <c r="Q2" t="s">
        <v>62</v>
      </c>
      <c r="R2" t="s">
        <v>60</v>
      </c>
    </row>
    <row r="3" spans="1:22" ht="18" x14ac:dyDescent="0.35">
      <c r="A3" s="19"/>
      <c r="B3" s="19"/>
      <c r="C3" s="43" t="s">
        <v>35</v>
      </c>
      <c r="D3" s="19">
        <v>44.482900000000001</v>
      </c>
      <c r="E3" s="45">
        <v>1448.46</v>
      </c>
      <c r="F3" s="45">
        <v>4.9700399999999999E-2</v>
      </c>
      <c r="G3" s="19">
        <f>(E3-$E$19)/$E$20</f>
        <v>44.504495863908453</v>
      </c>
      <c r="H3" s="19">
        <f>SQRT((F3/$E$20)^2+(-$F$19/$E$20)^2+(-$F$20*(E3-$E$19)/($E$20^2))^2)</f>
        <v>2.7912689410107385E-3</v>
      </c>
      <c r="I3" s="45">
        <f t="shared" ref="I3:I14" si="0">(G3*0.00000000000000016)/$G$17</f>
        <v>1.074014983141079E+19</v>
      </c>
      <c r="J3" s="29">
        <f t="shared" ref="J3:J14" si="1">(H3*0.00000000000000016)/$G$17</f>
        <v>673609397528986.75</v>
      </c>
      <c r="K3" s="31">
        <f t="shared" ref="K3:K14" si="2">SQRT(I3)</f>
        <v>3277216781.2658944</v>
      </c>
      <c r="L3" s="45">
        <f t="shared" ref="L3:L14" si="3">0.5*(1/SQRT(I3))*J3</f>
        <v>102771.56539958746</v>
      </c>
      <c r="M3" s="10">
        <f>M2*F2</f>
        <v>16.195680139754344</v>
      </c>
      <c r="N3" s="64" t="s">
        <v>9</v>
      </c>
      <c r="O3" s="15">
        <v>43.756250476295826</v>
      </c>
      <c r="P3" s="15">
        <v>65</v>
      </c>
      <c r="Q3" s="14">
        <v>3249550398.4655972</v>
      </c>
      <c r="R3" s="44">
        <v>127406.96791948982</v>
      </c>
      <c r="T3" t="s">
        <v>41</v>
      </c>
      <c r="U3">
        <v>35233.599999999999</v>
      </c>
    </row>
    <row r="4" spans="1:22" ht="15.75" thickBot="1" x14ac:dyDescent="0.3">
      <c r="A4" s="19"/>
      <c r="B4" s="19"/>
      <c r="C4" s="43" t="s">
        <v>16</v>
      </c>
      <c r="D4" s="19">
        <f>((50.384*9.44)+(50.228*4.88)+(50.738*0.156))/(9.44+4.88+0.156)</f>
        <v>50.335225752970423</v>
      </c>
      <c r="E4" s="45">
        <v>1638.28</v>
      </c>
      <c r="F4" s="45">
        <v>5.9007200000000003E-2</v>
      </c>
      <c r="G4" s="19">
        <f>(E4-$E$19)/$E$20</f>
        <v>50.337429723318209</v>
      </c>
      <c r="H4" s="19">
        <f>SQRT((F4/$E$20)^2+(-$F$19/$E$20)^2+(-$F$20*(E4-$E$19)/($E$20^2))^2)</f>
        <v>3.1209794832824213E-3</v>
      </c>
      <c r="I4" s="45">
        <f t="shared" si="0"/>
        <v>1.2147796011660505E+19</v>
      </c>
      <c r="J4" s="29">
        <f t="shared" si="1"/>
        <v>753177552526677.88</v>
      </c>
      <c r="K4" s="31">
        <f t="shared" si="2"/>
        <v>3485368848.7246947</v>
      </c>
      <c r="L4" s="45">
        <f t="shared" si="3"/>
        <v>108048.47136943159</v>
      </c>
      <c r="N4" s="65" t="s">
        <v>11</v>
      </c>
      <c r="O4" s="19">
        <v>44.504495863908453</v>
      </c>
      <c r="P4" s="19">
        <v>65</v>
      </c>
      <c r="Q4" s="31">
        <v>3277216781.2658944</v>
      </c>
      <c r="R4" s="45">
        <v>102771.56539958746</v>
      </c>
      <c r="T4" t="s">
        <v>42</v>
      </c>
      <c r="U4">
        <v>3</v>
      </c>
    </row>
    <row r="5" spans="1:22" ht="18.75" thickBot="1" x14ac:dyDescent="0.4">
      <c r="A5" s="20"/>
      <c r="B5" s="19"/>
      <c r="C5" s="43" t="s">
        <v>38</v>
      </c>
      <c r="D5" s="19">
        <f>((51.698*3.15)+(51.84*0.04))/(3.15+0.04)</f>
        <v>51.699780564263328</v>
      </c>
      <c r="E5" s="45">
        <v>1683.31</v>
      </c>
      <c r="F5" s="45">
        <v>0.13144600000000001</v>
      </c>
      <c r="G5" s="20">
        <f>(E5-$E$19)/$E$20</f>
        <v>51.721145937042905</v>
      </c>
      <c r="H5" s="20">
        <f>SQRT((F5/$E$20)^2+(-$F$19/$E$20)^2+(-$F$20*(E5-$E$19)/($E$20^2))^2)</f>
        <v>4.7980638589303322E-3</v>
      </c>
      <c r="I5" s="46">
        <f t="shared" si="0"/>
        <v>1.2481724509693612E+19</v>
      </c>
      <c r="J5" s="63">
        <f t="shared" si="1"/>
        <v>1157903797026928</v>
      </c>
      <c r="K5" s="33">
        <f t="shared" si="2"/>
        <v>3532948415.940093</v>
      </c>
      <c r="L5" s="46">
        <f t="shared" si="3"/>
        <v>163872.16295073161</v>
      </c>
      <c r="N5" s="64" t="s">
        <v>65</v>
      </c>
      <c r="O5" s="15">
        <v>8.0497654780781005</v>
      </c>
      <c r="P5">
        <v>29</v>
      </c>
      <c r="Q5" s="14">
        <v>1393781966.331872</v>
      </c>
      <c r="R5" s="44">
        <v>278334.93307766522</v>
      </c>
      <c r="T5" t="s">
        <v>43</v>
      </c>
      <c r="U5" s="10">
        <v>-160172000</v>
      </c>
      <c r="V5">
        <v>272156</v>
      </c>
    </row>
    <row r="6" spans="1:22" ht="18.75" thickBot="1" x14ac:dyDescent="0.4">
      <c r="A6" s="15">
        <v>29</v>
      </c>
      <c r="B6" s="15" t="s">
        <v>4</v>
      </c>
      <c r="C6" s="35" t="s">
        <v>35</v>
      </c>
      <c r="D6" s="39">
        <f>(8.048*0.26+8.028*0.133)/(0.26+0.133)</f>
        <v>8.0412315521628503</v>
      </c>
      <c r="E6" s="44">
        <v>262.12099999999998</v>
      </c>
      <c r="F6" s="44">
        <v>9.3868599999999996E-2</v>
      </c>
      <c r="G6" s="15">
        <f>(E6-$E$19)/$E$20</f>
        <v>8.0497654780781005</v>
      </c>
      <c r="H6" s="15">
        <f>SQRT((F6/$E$20)^2+(-$F$19/$E$20)^2+(-$F$20*(E6-$E$19)/($E$20^2))^2)</f>
        <v>3.2150379180588091E-3</v>
      </c>
      <c r="I6" s="44">
        <f t="shared" si="0"/>
        <v>1.9426281696719398E+18</v>
      </c>
      <c r="J6" s="62">
        <f t="shared" si="1"/>
        <v>775876420647676.5</v>
      </c>
      <c r="K6" s="14">
        <f t="shared" si="2"/>
        <v>1393781966.331872</v>
      </c>
      <c r="L6" s="44">
        <f t="shared" si="3"/>
        <v>278334.93307766522</v>
      </c>
      <c r="N6" s="64" t="s">
        <v>35</v>
      </c>
      <c r="O6" s="15">
        <v>13.381298105879027</v>
      </c>
      <c r="P6" s="15">
        <v>37</v>
      </c>
      <c r="Q6" s="14">
        <v>1797017680.6045051</v>
      </c>
      <c r="R6" s="44">
        <v>136983.54563359215</v>
      </c>
      <c r="T6" t="s">
        <v>44</v>
      </c>
      <c r="U6" s="10">
        <v>52730100</v>
      </c>
      <c r="V6">
        <v>5122.1000000000004</v>
      </c>
    </row>
    <row r="7" spans="1:22" ht="18.75" thickBot="1" x14ac:dyDescent="0.4">
      <c r="A7" s="20"/>
      <c r="B7" s="20"/>
      <c r="C7" s="24" t="s">
        <v>16</v>
      </c>
      <c r="D7" s="40">
        <f>(8.905*0.031+8.905*0.0159+8.977*0.0000365)/(0.031+0.0159+0.0000365)</f>
        <v>8.9050559905404096</v>
      </c>
      <c r="E7" s="46">
        <v>289.43</v>
      </c>
      <c r="F7" s="46">
        <v>0.225048</v>
      </c>
      <c r="G7" s="20">
        <f>(E7-$E$19)/$E$20</f>
        <v>8.8889372764482477</v>
      </c>
      <c r="H7" s="20">
        <f>SQRT((F7/$E$20)^2+(-$F$19/$E$20)^2+(-$F$20*(E7-$E$19)/($E$20^2))^2)</f>
        <v>7.0615344646511227E-3</v>
      </c>
      <c r="I7" s="46">
        <f t="shared" si="0"/>
        <v>2.1451432341353239E+18</v>
      </c>
      <c r="J7" s="63">
        <f t="shared" si="1"/>
        <v>1704141047276289.3</v>
      </c>
      <c r="K7" s="33">
        <f t="shared" si="2"/>
        <v>1464630750.0989196</v>
      </c>
      <c r="L7" s="46">
        <f t="shared" si="3"/>
        <v>581764.73734461505</v>
      </c>
      <c r="N7" s="64" t="s">
        <v>35</v>
      </c>
      <c r="O7" s="15">
        <v>22.106484629472572</v>
      </c>
      <c r="P7" s="15">
        <v>47</v>
      </c>
      <c r="Q7" s="14">
        <v>2309739866.620574</v>
      </c>
      <c r="R7" s="44">
        <v>108071.94220362658</v>
      </c>
    </row>
    <row r="8" spans="1:22" ht="18" x14ac:dyDescent="0.35">
      <c r="A8" s="15">
        <v>37</v>
      </c>
      <c r="B8" s="15" t="s">
        <v>5</v>
      </c>
      <c r="C8" s="35" t="s">
        <v>35</v>
      </c>
      <c r="D8" s="39">
        <f>(13.39*38+13.336*19.7)/(38+19.7)</f>
        <v>13.371563258232236</v>
      </c>
      <c r="E8" s="44">
        <v>435.62400000000002</v>
      </c>
      <c r="F8" s="44">
        <v>4.5329700000000001E-2</v>
      </c>
      <c r="G8" s="15">
        <f>(E8-$E$19)/$E$20</f>
        <v>13.381298105879027</v>
      </c>
      <c r="H8" s="15">
        <f>SQRT((F8/$E$20)^2+(-$F$19/$E$20)^2+(-$F$20*(E8-$E$19)/($E$20^2))^2)</f>
        <v>2.0400663605121172E-3</v>
      </c>
      <c r="I8" s="44">
        <f t="shared" si="0"/>
        <v>3.2292725444051953E+18</v>
      </c>
      <c r="J8" s="62">
        <f t="shared" si="1"/>
        <v>492323706910918.25</v>
      </c>
      <c r="K8" s="14">
        <f t="shared" si="2"/>
        <v>1797017680.6045051</v>
      </c>
      <c r="L8" s="44">
        <f t="shared" si="3"/>
        <v>136983.54563359215</v>
      </c>
      <c r="N8" s="64" t="s">
        <v>35</v>
      </c>
      <c r="O8" s="15">
        <v>32.053815529087842</v>
      </c>
      <c r="P8" s="15">
        <v>56</v>
      </c>
      <c r="Q8" s="14">
        <v>2781269631.1518421</v>
      </c>
      <c r="R8" s="44">
        <v>114919.45780471846</v>
      </c>
    </row>
    <row r="9" spans="1:22" ht="15.75" thickBot="1" x14ac:dyDescent="0.3">
      <c r="A9" s="20"/>
      <c r="B9" s="20"/>
      <c r="C9" s="24" t="s">
        <v>16</v>
      </c>
      <c r="D9" s="40">
        <f>(14.961*5.39+15.185*0.85+14.952*2.78+15.089*0.0186)/(5.39+0.85+2.78+0.0186)</f>
        <v>14.979560485030868</v>
      </c>
      <c r="E9" s="46">
        <v>487.57799999999997</v>
      </c>
      <c r="F9" s="46">
        <v>0.10113800000000001</v>
      </c>
      <c r="G9" s="20">
        <f>(E9-$E$19)/$E$20</f>
        <v>14.977780277050529</v>
      </c>
      <c r="H9" s="20">
        <f>SQRT((F9/$E$20)^2+(-$F$19/$E$20)^2+(-$F$20*(E9-$E$19)/($E$20^2))^2)</f>
        <v>3.4585667250128806E-3</v>
      </c>
      <c r="I9" s="46">
        <f t="shared" si="0"/>
        <v>3.6145472765129487E+18</v>
      </c>
      <c r="J9" s="63">
        <f t="shared" si="1"/>
        <v>834646570138855.13</v>
      </c>
      <c r="K9" s="33">
        <f t="shared" si="2"/>
        <v>1901196275.1154728</v>
      </c>
      <c r="L9" s="46">
        <f t="shared" si="3"/>
        <v>219505.62944590274</v>
      </c>
    </row>
    <row r="10" spans="1:22" ht="18.75" thickBot="1" x14ac:dyDescent="0.4">
      <c r="A10" s="15">
        <v>47</v>
      </c>
      <c r="B10" s="15" t="s">
        <v>3</v>
      </c>
      <c r="C10" s="35" t="s">
        <v>35</v>
      </c>
      <c r="D10" s="39">
        <f>(22.163*45.6+21.99*24.2+21.708*0.001)/(45.6+24.2+0.001)</f>
        <v>22.103014398074524</v>
      </c>
      <c r="E10" s="44">
        <v>719.56600000000003</v>
      </c>
      <c r="F10" s="44">
        <v>3.9877500000000003E-2</v>
      </c>
      <c r="G10" s="15">
        <f>(E10-$E$19)/$E$20</f>
        <v>22.106484629472572</v>
      </c>
      <c r="H10" s="15">
        <f>SQRT((F10/$E$20)^2+(-$F$19/$E$20)^2+(-$F$20*(E10-$E$19)/($E$20^2))^2)</f>
        <v>2.0687097830607601E-3</v>
      </c>
      <c r="I10" s="44">
        <f t="shared" si="0"/>
        <v>5.334898251456428E+18</v>
      </c>
      <c r="J10" s="62">
        <f t="shared" si="1"/>
        <v>499236146741661.63</v>
      </c>
      <c r="K10" s="14">
        <f t="shared" si="2"/>
        <v>2309739866.620574</v>
      </c>
      <c r="L10" s="44">
        <f t="shared" si="3"/>
        <v>108071.94220362658</v>
      </c>
      <c r="O10" t="s">
        <v>71</v>
      </c>
      <c r="P10" t="s">
        <v>63</v>
      </c>
      <c r="Q10" t="s">
        <v>62</v>
      </c>
      <c r="R10" t="s">
        <v>60</v>
      </c>
    </row>
    <row r="11" spans="1:22" ht="15.75" thickBot="1" x14ac:dyDescent="0.3">
      <c r="A11" s="20"/>
      <c r="B11" s="20"/>
      <c r="C11" s="24" t="s">
        <v>16</v>
      </c>
      <c r="D11" s="40">
        <f>(24.943*7.52+25.455*1.88+24.912*3.9+25.11*0.007)/(7.52+1.88+3.9+0.007)</f>
        <v>25.006337266100548</v>
      </c>
      <c r="E11" s="46">
        <v>813.32</v>
      </c>
      <c r="F11" s="46">
        <v>0.104783</v>
      </c>
      <c r="G11" s="20">
        <f>(E11-$E$19)/$E$20</f>
        <v>24.987429108742951</v>
      </c>
      <c r="H11" s="20">
        <f>SQRT((F11/$E$20)^2+(-$F$19/$E$20)^2+(-$F$20*(E11-$E$19)/($E$20^2))^2)</f>
        <v>3.6591279999350457E-3</v>
      </c>
      <c r="I11" s="46">
        <f t="shared" si="0"/>
        <v>6.0301488045231862E+18</v>
      </c>
      <c r="J11" s="63">
        <f t="shared" si="1"/>
        <v>883047481130629.5</v>
      </c>
      <c r="K11" s="33">
        <f t="shared" si="2"/>
        <v>2455636130.3180051</v>
      </c>
      <c r="L11" s="46">
        <f t="shared" si="3"/>
        <v>179800.14836649981</v>
      </c>
      <c r="N11" s="43" t="s">
        <v>16</v>
      </c>
      <c r="O11" s="19">
        <v>50.337429723318209</v>
      </c>
      <c r="P11" s="15">
        <v>65</v>
      </c>
      <c r="Q11" s="31">
        <v>3485368848.7246947</v>
      </c>
      <c r="R11" s="45">
        <v>108048.47136943159</v>
      </c>
    </row>
    <row r="12" spans="1:22" ht="18.75" thickBot="1" x14ac:dyDescent="0.4">
      <c r="A12" s="19">
        <v>56</v>
      </c>
      <c r="B12" s="15" t="s">
        <v>7</v>
      </c>
      <c r="C12" s="35" t="s">
        <v>35</v>
      </c>
      <c r="D12" s="39">
        <f>((32.194*46.7)+(31.817*25.6)+(31.452*0.00334))/(46.7+25.6+0.00334)</f>
        <v>32.060483646813552</v>
      </c>
      <c r="E12" s="44">
        <v>1043.28</v>
      </c>
      <c r="F12" s="44">
        <v>5.8851899999999999E-2</v>
      </c>
      <c r="G12" s="15">
        <f>(E12-$E$19)/$E$20</f>
        <v>32.053815529087842</v>
      </c>
      <c r="H12" s="15">
        <f>SQRT((F12/$E$20)^2+(-$F$19/$E$20)^2+(-$F$20*(E12-$E$19)/($E$20^2))^2)</f>
        <v>2.6488673085965425E-3</v>
      </c>
      <c r="I12" s="44">
        <f t="shared" si="0"/>
        <v>7.7354607611675034E+18</v>
      </c>
      <c r="J12" s="62">
        <f t="shared" si="1"/>
        <v>639243996041398</v>
      </c>
      <c r="K12" s="14">
        <f t="shared" si="2"/>
        <v>2781269631.1518421</v>
      </c>
      <c r="L12" s="44">
        <f t="shared" si="3"/>
        <v>114919.45780471846</v>
      </c>
      <c r="N12" s="24" t="s">
        <v>16</v>
      </c>
      <c r="O12" s="20">
        <v>8.8889372764482477</v>
      </c>
      <c r="P12" s="19">
        <v>65</v>
      </c>
      <c r="Q12" s="33">
        <v>1464630750.0989196</v>
      </c>
      <c r="R12" s="46">
        <v>581764.73734461505</v>
      </c>
    </row>
    <row r="13" spans="1:22" ht="15.75" thickBot="1" x14ac:dyDescent="0.3">
      <c r="A13" s="19"/>
      <c r="B13" s="19"/>
      <c r="C13" s="43" t="s">
        <v>16</v>
      </c>
      <c r="D13" s="41">
        <f>((36.378*8.63)+(36.304*4.47)+(36.652*0.1))/(8.63+4.47+0.1)</f>
        <v>36.355016666666671</v>
      </c>
      <c r="E13" s="45">
        <v>1183.1600000000001</v>
      </c>
      <c r="F13" s="45">
        <v>0.104783</v>
      </c>
      <c r="G13" s="19">
        <f>(E13-$E$19)/$E$20</f>
        <v>36.352154946716325</v>
      </c>
      <c r="H13" s="19">
        <f>SQRT((F13/$E$20)^2+(-$F$19/$E$20)^2+(-$F$20*(E13-$E$19)/($E$20^2))^2)</f>
        <v>3.8264588544755468E-3</v>
      </c>
      <c r="I13" s="45">
        <f t="shared" si="0"/>
        <v>8.7727674079556751E+18</v>
      </c>
      <c r="J13" s="29">
        <f t="shared" si="1"/>
        <v>923428984488819.88</v>
      </c>
      <c r="K13" s="31">
        <f t="shared" si="2"/>
        <v>2961885785.7715707</v>
      </c>
      <c r="L13" s="45">
        <f t="shared" si="3"/>
        <v>155885.31281739933</v>
      </c>
      <c r="N13" s="24" t="s">
        <v>16</v>
      </c>
      <c r="O13" s="20">
        <v>14.977780277050529</v>
      </c>
      <c r="P13">
        <v>29</v>
      </c>
      <c r="Q13" s="33">
        <v>1901196275.1154728</v>
      </c>
      <c r="R13" s="46">
        <v>219505.62944590274</v>
      </c>
    </row>
    <row r="14" spans="1:22" ht="18.75" thickBot="1" x14ac:dyDescent="0.4">
      <c r="A14" s="20"/>
      <c r="B14" s="20"/>
      <c r="C14" s="24" t="s">
        <v>38</v>
      </c>
      <c r="D14" s="40">
        <f>((37.255*2.73)+(37.349*0.023))/(2.73+0.023)</f>
        <v>37.255785325099893</v>
      </c>
      <c r="E14" s="46">
        <v>1212.9000000000001</v>
      </c>
      <c r="F14" s="46">
        <v>0.24219299999999999</v>
      </c>
      <c r="G14" s="20">
        <f>(E14-$E$19)/$E$20</f>
        <v>37.266028368794323</v>
      </c>
      <c r="H14" s="20">
        <f>SQRT((F14/$E$20)^2+(-$F$19/$E$20)^2+(-$F$20*(E14-$E$19)/($E$20^2))^2)</f>
        <v>7.7319419712251073E-3</v>
      </c>
      <c r="I14" s="46">
        <f t="shared" si="0"/>
        <v>8.9933100135853578E+18</v>
      </c>
      <c r="J14" s="63">
        <f t="shared" si="1"/>
        <v>1865928680838638.5</v>
      </c>
      <c r="K14" s="33">
        <f t="shared" si="2"/>
        <v>2998884794.9838548</v>
      </c>
      <c r="L14" s="46">
        <f t="shared" si="3"/>
        <v>311103.7616316108</v>
      </c>
      <c r="N14" s="24" t="s">
        <v>16</v>
      </c>
      <c r="O14" s="20">
        <v>24.987429108742951</v>
      </c>
      <c r="P14" s="15">
        <v>37</v>
      </c>
      <c r="Q14" s="33">
        <v>2455636130.3180051</v>
      </c>
      <c r="R14" s="46">
        <v>179800.14836649981</v>
      </c>
    </row>
    <row r="15" spans="1:22" ht="15.75" thickBot="1" x14ac:dyDescent="0.3">
      <c r="N15" s="43" t="s">
        <v>16</v>
      </c>
      <c r="O15" s="19">
        <v>36.352154946716325</v>
      </c>
      <c r="P15" s="15">
        <v>47</v>
      </c>
      <c r="Q15" s="31">
        <v>2961885785.7715707</v>
      </c>
      <c r="R15" s="45">
        <v>155885.31281739933</v>
      </c>
    </row>
    <row r="16" spans="1:22" ht="15.75" thickBot="1" x14ac:dyDescent="0.3">
      <c r="D16" s="58" t="s">
        <v>45</v>
      </c>
      <c r="E16" s="52"/>
      <c r="F16" s="53"/>
      <c r="G16" t="s">
        <v>59</v>
      </c>
    </row>
    <row r="17" spans="4:7" x14ac:dyDescent="0.25">
      <c r="D17" s="15" t="s">
        <v>41</v>
      </c>
      <c r="E17" s="54">
        <v>10570.3</v>
      </c>
      <c r="F17" s="55"/>
      <c r="G17" s="10">
        <f>6.63E-34</f>
        <v>6.6299999999999999E-34</v>
      </c>
    </row>
    <row r="18" spans="4:7" ht="15.75" thickBot="1" x14ac:dyDescent="0.3">
      <c r="D18" s="19" t="s">
        <v>42</v>
      </c>
      <c r="E18" s="56">
        <v>11</v>
      </c>
      <c r="F18" s="32"/>
    </row>
    <row r="19" spans="4:7" ht="15.75" thickBot="1" x14ac:dyDescent="0.3">
      <c r="D19" s="21" t="s">
        <v>57</v>
      </c>
      <c r="E19" s="16">
        <v>0.15909200000000001</v>
      </c>
      <c r="F19" s="47">
        <v>4.4855899999999997E-2</v>
      </c>
    </row>
    <row r="20" spans="4:7" ht="15.75" thickBot="1" x14ac:dyDescent="0.3">
      <c r="D20" s="20" t="s">
        <v>56</v>
      </c>
      <c r="E20" s="33">
        <v>32.5428</v>
      </c>
      <c r="F20" s="34">
        <v>1.3794499999999999E-3</v>
      </c>
    </row>
  </sheetData>
  <mergeCells count="1">
    <mergeCell ref="D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G29" sqref="G29"/>
    </sheetView>
  </sheetViews>
  <sheetFormatPr defaultRowHeight="15" x14ac:dyDescent="0.25"/>
  <cols>
    <col min="1" max="1" width="20.7109375" customWidth="1"/>
  </cols>
  <sheetData>
    <row r="1" spans="1:22" ht="15.75" thickBot="1" x14ac:dyDescent="0.3">
      <c r="A1" t="s">
        <v>69</v>
      </c>
      <c r="B1" s="16" t="s">
        <v>72</v>
      </c>
      <c r="C1" s="61" t="s">
        <v>66</v>
      </c>
      <c r="D1" s="61" t="s">
        <v>4</v>
      </c>
      <c r="E1" s="47" t="s">
        <v>67</v>
      </c>
    </row>
    <row r="2" spans="1:22" x14ac:dyDescent="0.25">
      <c r="A2" s="15" t="s">
        <v>63</v>
      </c>
      <c r="B2" s="14">
        <v>26</v>
      </c>
      <c r="C2" s="54">
        <v>28</v>
      </c>
      <c r="D2" s="54">
        <v>29</v>
      </c>
      <c r="E2" s="55">
        <v>40</v>
      </c>
    </row>
    <row r="3" spans="1:22" ht="15.75" thickBot="1" x14ac:dyDescent="0.3">
      <c r="A3" s="20" t="s">
        <v>68</v>
      </c>
      <c r="B3" s="33">
        <v>23.16</v>
      </c>
      <c r="C3" s="57">
        <v>20.82</v>
      </c>
      <c r="D3" s="57">
        <v>20.34</v>
      </c>
      <c r="E3" s="34">
        <v>19.559999999999999</v>
      </c>
    </row>
    <row r="4" spans="1:22" ht="15.75" thickBot="1" x14ac:dyDescent="0.3">
      <c r="A4" s="68" t="s">
        <v>73</v>
      </c>
      <c r="B4">
        <v>9</v>
      </c>
      <c r="C4">
        <v>15</v>
      </c>
      <c r="D4">
        <v>5</v>
      </c>
      <c r="J4" s="18" t="s">
        <v>85</v>
      </c>
      <c r="Q4" s="18" t="s">
        <v>86</v>
      </c>
      <c r="R4" t="s">
        <v>99</v>
      </c>
    </row>
    <row r="5" spans="1:22" x14ac:dyDescent="0.25">
      <c r="J5">
        <v>1</v>
      </c>
      <c r="K5" t="s">
        <v>74</v>
      </c>
      <c r="L5" s="10">
        <v>262.00200000000001</v>
      </c>
      <c r="M5" s="10">
        <v>3.9970699999999998E-2</v>
      </c>
      <c r="N5" s="10">
        <v>4.3029900000000003E-6</v>
      </c>
      <c r="O5" s="10">
        <v>-1.6849099999999999E-2</v>
      </c>
      <c r="Q5" t="s">
        <v>87</v>
      </c>
      <c r="R5" t="s">
        <v>88</v>
      </c>
      <c r="S5" t="s">
        <v>89</v>
      </c>
      <c r="T5" t="s">
        <v>90</v>
      </c>
      <c r="U5" t="s">
        <v>91</v>
      </c>
      <c r="V5" t="s">
        <v>92</v>
      </c>
    </row>
    <row r="6" spans="1:22" x14ac:dyDescent="0.25">
      <c r="J6">
        <v>2</v>
      </c>
      <c r="K6" t="s">
        <v>75</v>
      </c>
      <c r="L6" s="10">
        <v>13.319900000000001</v>
      </c>
      <c r="M6" s="10">
        <v>8.3344199999999993E-2</v>
      </c>
      <c r="N6" s="10">
        <v>1.3095899999999999E-5</v>
      </c>
      <c r="O6" s="10">
        <v>2.0014299999999998E-3</v>
      </c>
      <c r="Q6">
        <v>1</v>
      </c>
      <c r="R6" t="s">
        <v>93</v>
      </c>
      <c r="S6" s="10">
        <v>262.077</v>
      </c>
      <c r="T6" s="10">
        <v>6.1032599999999999E-2</v>
      </c>
      <c r="U6" s="10">
        <v>7.5195900000000001E-6</v>
      </c>
      <c r="V6" s="10">
        <v>-1.2107699999999999E-3</v>
      </c>
    </row>
    <row r="7" spans="1:22" x14ac:dyDescent="0.25">
      <c r="J7">
        <v>3</v>
      </c>
      <c r="K7" t="s">
        <v>76</v>
      </c>
      <c r="L7" s="10">
        <v>68159.100000000006</v>
      </c>
      <c r="M7" s="10">
        <v>435.22399999999999</v>
      </c>
      <c r="N7" s="10">
        <v>2.44632E-5</v>
      </c>
      <c r="O7" s="10">
        <v>-3.6284400000000001E-3</v>
      </c>
      <c r="Q7">
        <v>2</v>
      </c>
      <c r="R7" t="s">
        <v>94</v>
      </c>
      <c r="S7" s="10">
        <v>13.8207</v>
      </c>
      <c r="T7" s="10">
        <v>0.139764</v>
      </c>
      <c r="U7" s="10">
        <v>2.1796900000000001E-5</v>
      </c>
      <c r="V7" s="10">
        <v>-1.4042499999999999E-3</v>
      </c>
    </row>
    <row r="8" spans="1:22" x14ac:dyDescent="0.25">
      <c r="J8">
        <v>4</v>
      </c>
      <c r="K8" t="s">
        <v>77</v>
      </c>
      <c r="L8" s="10">
        <v>282.61900000000003</v>
      </c>
      <c r="M8" s="10">
        <v>4.4781500000000002E-2</v>
      </c>
      <c r="N8" s="10">
        <v>4.7441299999999996E-6</v>
      </c>
      <c r="O8" s="10">
        <v>2.1681099999999998E-2</v>
      </c>
      <c r="Q8">
        <v>3</v>
      </c>
      <c r="R8" t="s">
        <v>95</v>
      </c>
      <c r="S8" s="10">
        <v>16663.5</v>
      </c>
      <c r="T8" s="10">
        <v>167.35599999999999</v>
      </c>
      <c r="U8" s="10">
        <v>4.8122199999999998E-5</v>
      </c>
      <c r="V8" s="10">
        <v>-8.0510800000000002E-4</v>
      </c>
    </row>
    <row r="9" spans="1:22" x14ac:dyDescent="0.25">
      <c r="J9">
        <v>5</v>
      </c>
      <c r="K9" t="s">
        <v>78</v>
      </c>
      <c r="L9" s="10">
        <v>16.3429</v>
      </c>
      <c r="M9" s="10">
        <v>0.102298</v>
      </c>
      <c r="N9" s="10">
        <v>1.3566299999999999E-5</v>
      </c>
      <c r="O9" s="10">
        <v>-8.4400499999999993E-3</v>
      </c>
      <c r="Q9">
        <v>4</v>
      </c>
      <c r="R9" t="s">
        <v>83</v>
      </c>
      <c r="S9" s="10">
        <v>559.33900000000006</v>
      </c>
      <c r="T9" s="10">
        <v>16.293800000000001</v>
      </c>
      <c r="U9" s="10">
        <v>9.3060799999999996E-3</v>
      </c>
      <c r="V9" s="10">
        <v>-5.29024E-6</v>
      </c>
    </row>
    <row r="10" spans="1:22" x14ac:dyDescent="0.25">
      <c r="J10">
        <v>6</v>
      </c>
      <c r="K10" t="s">
        <v>79</v>
      </c>
      <c r="L10" s="10">
        <v>80700.100000000006</v>
      </c>
      <c r="M10" s="10">
        <v>476.34100000000001</v>
      </c>
      <c r="N10" s="10">
        <v>2.53719E-5</v>
      </c>
      <c r="O10" s="10">
        <v>-2.2562200000000002E-3</v>
      </c>
      <c r="Q10">
        <v>5</v>
      </c>
      <c r="R10" t="s">
        <v>84</v>
      </c>
      <c r="S10" s="10">
        <v>-1.3495600000000001</v>
      </c>
      <c r="T10" s="10">
        <v>5.8853000000000003E-2</v>
      </c>
      <c r="U10" s="10">
        <v>3.3923400000000001E-5</v>
      </c>
      <c r="V10" s="10">
        <v>-1.4323199999999999E-3</v>
      </c>
    </row>
    <row r="11" spans="1:22" x14ac:dyDescent="0.25">
      <c r="J11">
        <v>7</v>
      </c>
      <c r="K11" t="s">
        <v>80</v>
      </c>
      <c r="L11" s="10">
        <v>311.59699999999998</v>
      </c>
      <c r="M11" s="10">
        <v>0.21646000000000001</v>
      </c>
      <c r="N11" s="10">
        <v>3.9678999999999997E-5</v>
      </c>
      <c r="O11" s="10">
        <v>1.0759400000000001E-3</v>
      </c>
    </row>
    <row r="12" spans="1:22" ht="15.75" thickBot="1" x14ac:dyDescent="0.3">
      <c r="J12">
        <v>8</v>
      </c>
      <c r="K12" t="s">
        <v>81</v>
      </c>
      <c r="L12" s="10">
        <v>13.361800000000001</v>
      </c>
      <c r="M12" s="10">
        <v>0.95816000000000001</v>
      </c>
      <c r="N12" s="10">
        <v>8.4959399999999998E-5</v>
      </c>
      <c r="O12" s="10">
        <v>-2.4241900000000001E-4</v>
      </c>
    </row>
    <row r="13" spans="1:22" ht="15.75" thickBot="1" x14ac:dyDescent="0.3">
      <c r="J13">
        <v>9</v>
      </c>
      <c r="K13" t="s">
        <v>82</v>
      </c>
      <c r="L13" s="10">
        <v>4229.4399999999996</v>
      </c>
      <c r="M13" s="10">
        <v>399.928</v>
      </c>
      <c r="N13" s="10">
        <v>2.8648799999999999E-5</v>
      </c>
      <c r="O13" s="10">
        <v>6.57721E-4</v>
      </c>
      <c r="Q13" s="18" t="s">
        <v>96</v>
      </c>
    </row>
    <row r="14" spans="1:22" x14ac:dyDescent="0.25">
      <c r="J14">
        <v>10</v>
      </c>
      <c r="K14" t="s">
        <v>83</v>
      </c>
      <c r="L14" s="10">
        <v>1247.6099999999999</v>
      </c>
      <c r="M14" s="10">
        <v>39.9923</v>
      </c>
      <c r="N14" s="10">
        <v>2.15138E-2</v>
      </c>
      <c r="O14" s="10">
        <v>-8.4197700000000005E-7</v>
      </c>
      <c r="Q14">
        <v>1</v>
      </c>
      <c r="R14" t="s">
        <v>74</v>
      </c>
      <c r="S14" s="10">
        <v>261.452</v>
      </c>
      <c r="T14" s="10">
        <v>0.28115299999999999</v>
      </c>
      <c r="U14" s="10">
        <v>5.2907400000000003E-6</v>
      </c>
      <c r="V14" s="10">
        <v>1.19968E-2</v>
      </c>
    </row>
    <row r="15" spans="1:22" x14ac:dyDescent="0.25">
      <c r="J15">
        <v>11</v>
      </c>
      <c r="K15" t="s">
        <v>84</v>
      </c>
      <c r="L15" s="10">
        <v>-3.0462199999999999</v>
      </c>
      <c r="M15" s="10">
        <v>0.16613</v>
      </c>
      <c r="N15" s="10">
        <v>7.6882800000000002E-5</v>
      </c>
      <c r="O15" s="10">
        <v>-2.4109500000000001E-4</v>
      </c>
      <c r="Q15">
        <v>2</v>
      </c>
      <c r="R15" t="s">
        <v>75</v>
      </c>
      <c r="S15" s="10">
        <v>11.5398</v>
      </c>
      <c r="T15" s="10">
        <v>0.63632900000000003</v>
      </c>
      <c r="U15" s="10">
        <v>-3.5505600000000001E-6</v>
      </c>
      <c r="V15" s="10">
        <v>-2.0115500000000001E-4</v>
      </c>
    </row>
    <row r="16" spans="1:22" x14ac:dyDescent="0.25">
      <c r="Q16">
        <v>3</v>
      </c>
      <c r="R16" t="s">
        <v>76</v>
      </c>
      <c r="S16" s="10">
        <v>2056.8000000000002</v>
      </c>
      <c r="T16" s="10">
        <v>111.20099999999999</v>
      </c>
      <c r="U16" s="10">
        <v>-7.9159899999999994E-6</v>
      </c>
      <c r="V16" s="10">
        <v>-2.4766900000000001E-3</v>
      </c>
    </row>
    <row r="17" spans="17:22" x14ac:dyDescent="0.25">
      <c r="Q17">
        <v>4</v>
      </c>
      <c r="R17" t="s">
        <v>77</v>
      </c>
      <c r="S17" s="10">
        <v>282.55500000000001</v>
      </c>
      <c r="T17" s="10">
        <v>0.30432300000000001</v>
      </c>
      <c r="U17" s="10">
        <v>-3.2827200000000001E-6</v>
      </c>
      <c r="V17" s="10">
        <v>-1.10601E-2</v>
      </c>
    </row>
    <row r="18" spans="17:22" x14ac:dyDescent="0.25">
      <c r="Q18">
        <v>5</v>
      </c>
      <c r="R18" t="s">
        <v>78</v>
      </c>
      <c r="S18" s="10">
        <v>18.2545</v>
      </c>
      <c r="T18" s="10">
        <v>0.77460700000000005</v>
      </c>
      <c r="U18" s="10">
        <v>3.4047000000000002E-6</v>
      </c>
      <c r="V18" s="10">
        <v>-1.17464E-3</v>
      </c>
    </row>
    <row r="19" spans="17:22" x14ac:dyDescent="0.25">
      <c r="Q19">
        <v>6</v>
      </c>
      <c r="R19" t="s">
        <v>79</v>
      </c>
      <c r="S19" s="10">
        <v>3642.15</v>
      </c>
      <c r="T19" s="10">
        <v>148.327</v>
      </c>
      <c r="U19" s="10">
        <v>2.7689299999999999E-5</v>
      </c>
      <c r="V19" s="10">
        <v>1.0345099999999999E-2</v>
      </c>
    </row>
    <row r="20" spans="17:22" x14ac:dyDescent="0.25">
      <c r="Q20">
        <v>7</v>
      </c>
      <c r="R20" t="s">
        <v>83</v>
      </c>
      <c r="S20" s="10">
        <v>417.49799999999999</v>
      </c>
      <c r="T20" s="10">
        <v>1.56802</v>
      </c>
      <c r="U20" s="10">
        <v>-8.3030500000000004E-4</v>
      </c>
      <c r="V20" s="10">
        <v>4.30944E-4</v>
      </c>
    </row>
    <row r="21" spans="17:22" x14ac:dyDescent="0.25">
      <c r="Q21">
        <v>8</v>
      </c>
      <c r="R21" t="s">
        <v>84</v>
      </c>
      <c r="S21" s="10">
        <v>-0.91491500000000003</v>
      </c>
      <c r="T21" s="10">
        <v>5.27737E-3</v>
      </c>
      <c r="U21" s="10">
        <v>4.0264000000000001E-7</v>
      </c>
      <c r="V21" s="10">
        <v>-0.109331</v>
      </c>
    </row>
    <row r="22" spans="17:22" ht="15.75" thickBot="1" x14ac:dyDescent="0.3"/>
    <row r="23" spans="17:22" ht="15.75" thickBot="1" x14ac:dyDescent="0.3">
      <c r="Q23" s="18" t="s">
        <v>97</v>
      </c>
    </row>
    <row r="24" spans="17:22" x14ac:dyDescent="0.25">
      <c r="Q2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 Bias V</vt:lpstr>
      <vt:lpstr>Calibration</vt:lpstr>
      <vt:lpstr>Moseley</vt:lpstr>
      <vt:lpstr>Attenuation</vt:lpstr>
    </vt:vector>
  </TitlesOfParts>
  <Company>UoB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Wong (MSc Phys + Tech Nuc React FT)</dc:creator>
  <cp:lastModifiedBy>Jack McKinney (MSc Phys + Tech Nuc React FT)</cp:lastModifiedBy>
  <cp:lastPrinted>2019-03-08T15:49:05Z</cp:lastPrinted>
  <dcterms:created xsi:type="dcterms:W3CDTF">2019-03-01T12:48:55Z</dcterms:created>
  <dcterms:modified xsi:type="dcterms:W3CDTF">2019-03-15T15:53:23Z</dcterms:modified>
</cp:coreProperties>
</file>