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Identification Lab Report\"/>
    </mc:Choice>
  </mc:AlternateContent>
  <xr:revisionPtr revIDLastSave="0" documentId="13_ncr:1_{59973F9A-B3EB-45EE-8FC9-3967BDBB2D5C}" xr6:coauthVersionLast="41" xr6:coauthVersionMax="41" xr10:uidLastSave="{00000000-0000-0000-0000-000000000000}"/>
  <bookViews>
    <workbookView xWindow="-1284" yWindow="2316" windowWidth="23256" windowHeight="12576" tabRatio="771" activeTab="4" xr2:uid="{00000000-000D-0000-FFFF-FFFF00000000}"/>
  </bookViews>
  <sheets>
    <sheet name="Resolution and Bias Voltage" sheetId="1" r:id="rId1"/>
    <sheet name="Elevated Buffit Week 2" sheetId="3" r:id="rId2"/>
    <sheet name="Reso Cali with Energy Week 2" sheetId="2" r:id="rId3"/>
    <sheet name="Unknown Samples Week 2" sheetId="4" r:id="rId4"/>
    <sheet name="Week 3 calibration" sheetId="5" r:id="rId5"/>
    <sheet name="Unknown Samples Week 3" sheetId="6" r:id="rId6"/>
  </sheets>
  <definedNames>
    <definedName name="solver_adj" localSheetId="2" hidden="1">'Reso Cali with Energy Week 2'!$R$21:$R$22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'Reso Cali with Energy Week 2'!$R$24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C71" i="2" l="1"/>
  <c r="CC67" i="2"/>
  <c r="E12" i="2" l="1"/>
  <c r="E13" i="2"/>
  <c r="E14" i="2"/>
  <c r="E15" i="2"/>
  <c r="E16" i="2"/>
  <c r="E11" i="2"/>
  <c r="I7" i="5" l="1"/>
  <c r="I6" i="5"/>
  <c r="U113" i="5"/>
  <c r="U111" i="5"/>
  <c r="U112" i="5"/>
  <c r="U110" i="5"/>
  <c r="U109" i="5"/>
  <c r="U43" i="5"/>
  <c r="U44" i="5"/>
  <c r="U45" i="5"/>
  <c r="U42" i="5"/>
  <c r="U41" i="5"/>
  <c r="U40" i="5"/>
  <c r="U39" i="5"/>
  <c r="CC31" i="2" l="1"/>
  <c r="CC36" i="2"/>
  <c r="V10" i="2" l="1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V19" i="2"/>
  <c r="W19" i="2" s="1"/>
  <c r="V20" i="2"/>
  <c r="W20" i="2" s="1"/>
  <c r="V21" i="2"/>
  <c r="W21" i="2" s="1"/>
  <c r="V22" i="2"/>
  <c r="W22" i="2" s="1"/>
  <c r="V23" i="2"/>
  <c r="W23" i="2" s="1"/>
  <c r="V24" i="2"/>
  <c r="W24" i="2" s="1"/>
  <c r="V9" i="2"/>
  <c r="W9" i="2" s="1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26" i="2"/>
  <c r="BY87" i="2" l="1"/>
  <c r="BY88" i="2"/>
  <c r="BY89" i="2"/>
  <c r="BY90" i="2"/>
  <c r="BY91" i="2"/>
  <c r="BY92" i="2"/>
  <c r="BY93" i="2"/>
  <c r="BY94" i="2"/>
  <c r="BY95" i="2"/>
  <c r="BY96" i="2"/>
  <c r="BY97" i="2"/>
  <c r="BY98" i="2"/>
  <c r="BY99" i="2"/>
  <c r="BY86" i="2"/>
  <c r="BY85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86" i="2"/>
  <c r="BW85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67" i="2"/>
  <c r="BX63" i="2"/>
  <c r="BW63" i="2"/>
  <c r="BX62" i="2"/>
  <c r="BW62" i="2"/>
  <c r="BX61" i="2"/>
  <c r="BW61" i="2"/>
  <c r="BX60" i="2"/>
  <c r="BW60" i="2"/>
  <c r="BX59" i="2"/>
  <c r="BW59" i="2"/>
  <c r="BX57" i="2"/>
  <c r="BT57" i="2" s="1"/>
  <c r="BV78" i="2" l="1"/>
  <c r="BV70" i="2"/>
  <c r="BV77" i="2"/>
  <c r="BV69" i="2"/>
  <c r="BV76" i="2"/>
  <c r="BV75" i="2"/>
  <c r="BV74" i="2"/>
  <c r="BV81" i="2"/>
  <c r="BV73" i="2"/>
  <c r="BV80" i="2"/>
  <c r="BV72" i="2"/>
  <c r="BV79" i="2"/>
  <c r="BV71" i="2"/>
  <c r="BV67" i="2"/>
  <c r="BX67" i="2" s="1"/>
  <c r="BU97" i="2" s="1"/>
  <c r="BV68" i="2"/>
  <c r="BX68" i="2" s="1"/>
  <c r="BU98" i="2" s="1"/>
  <c r="BU57" i="2"/>
  <c r="BC5" i="2"/>
  <c r="V26" i="1" l="1"/>
  <c r="T26" i="1"/>
  <c r="AT40" i="2"/>
  <c r="AR33" i="2"/>
  <c r="AT39" i="2"/>
  <c r="AQ43" i="2"/>
  <c r="AS43" i="2" s="1"/>
  <c r="AU43" i="2" s="1"/>
  <c r="AQ44" i="2"/>
  <c r="AS44" i="2" s="1"/>
  <c r="AU44" i="2" s="1"/>
  <c r="AQ45" i="2"/>
  <c r="AS45" i="2" s="1"/>
  <c r="AU45" i="2" s="1"/>
  <c r="AQ46" i="2"/>
  <c r="AS46" i="2" s="1"/>
  <c r="AU46" i="2" s="1"/>
  <c r="AQ47" i="2"/>
  <c r="AS47" i="2" s="1"/>
  <c r="AU47" i="2" s="1"/>
  <c r="AQ48" i="2"/>
  <c r="AS48" i="2" s="1"/>
  <c r="AU48" i="2" s="1"/>
  <c r="AQ49" i="2"/>
  <c r="AS49" i="2" s="1"/>
  <c r="AU49" i="2" s="1"/>
  <c r="AQ50" i="2"/>
  <c r="AS50" i="2" s="1"/>
  <c r="AU50" i="2" s="1"/>
  <c r="AQ51" i="2"/>
  <c r="AS51" i="2" s="1"/>
  <c r="AU51" i="2" s="1"/>
  <c r="AQ52" i="2"/>
  <c r="AS52" i="2" s="1"/>
  <c r="AU52" i="2" s="1"/>
  <c r="AQ53" i="2"/>
  <c r="AS53" i="2" s="1"/>
  <c r="AU53" i="2" s="1"/>
  <c r="AQ54" i="2"/>
  <c r="AS54" i="2" s="1"/>
  <c r="AU54" i="2" s="1"/>
  <c r="AQ55" i="2"/>
  <c r="AS55" i="2" s="1"/>
  <c r="AU55" i="2" s="1"/>
  <c r="AQ56" i="2"/>
  <c r="AS56" i="2" s="1"/>
  <c r="AU56" i="2" s="1"/>
  <c r="AQ57" i="2"/>
  <c r="AS57" i="2" s="1"/>
  <c r="AU57" i="2" s="1"/>
  <c r="AQ42" i="2"/>
  <c r="AS42" i="2" s="1"/>
  <c r="AU42" i="2" s="1"/>
  <c r="AV44" i="2" l="1"/>
  <c r="AV51" i="2"/>
  <c r="AV42" i="2"/>
  <c r="AV50" i="2"/>
  <c r="AV57" i="2"/>
  <c r="AV53" i="2"/>
  <c r="AV49" i="2"/>
  <c r="AV45" i="2"/>
  <c r="AV55" i="2"/>
  <c r="AV47" i="2"/>
  <c r="AV43" i="2"/>
  <c r="AV54" i="2"/>
  <c r="AV46" i="2"/>
  <c r="AV56" i="2"/>
  <c r="AV52" i="2"/>
  <c r="AV48" i="2"/>
  <c r="V19" i="1"/>
  <c r="V20" i="1"/>
  <c r="V21" i="1"/>
  <c r="V22" i="1"/>
  <c r="V23" i="1"/>
  <c r="V24" i="1"/>
  <c r="V25" i="1"/>
  <c r="V18" i="1"/>
  <c r="Y7" i="1"/>
  <c r="V12" i="1"/>
  <c r="V7" i="1"/>
  <c r="V2" i="1"/>
  <c r="U19" i="1" l="1"/>
  <c r="U20" i="1"/>
  <c r="U21" i="1"/>
  <c r="U22" i="1"/>
  <c r="U23" i="1"/>
  <c r="U24" i="1"/>
  <c r="U25" i="1"/>
  <c r="U18" i="1"/>
  <c r="F5" i="1"/>
  <c r="F6" i="1"/>
  <c r="F7" i="1"/>
  <c r="F8" i="1"/>
  <c r="F9" i="1"/>
  <c r="F10" i="1"/>
  <c r="F11" i="1"/>
  <c r="F4" i="1"/>
  <c r="C5" i="1"/>
  <c r="C6" i="1"/>
  <c r="C7" i="1"/>
  <c r="C8" i="1"/>
  <c r="C9" i="1"/>
  <c r="C10" i="1"/>
  <c r="C11" i="1"/>
  <c r="C4" i="1"/>
  <c r="N25" i="5" l="1"/>
  <c r="N24" i="5"/>
  <c r="N23" i="5"/>
  <c r="N22" i="5"/>
  <c r="O20" i="5"/>
  <c r="O19" i="5"/>
  <c r="O18" i="5"/>
  <c r="N20" i="5"/>
  <c r="N19" i="5"/>
  <c r="N18" i="5"/>
  <c r="P11" i="5"/>
  <c r="P7" i="5"/>
  <c r="P3" i="5"/>
  <c r="M3" i="5"/>
  <c r="AD36" i="2" l="1"/>
  <c r="BH36" i="2" l="1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31" i="2"/>
  <c r="BB44" i="2"/>
  <c r="BB45" i="2"/>
  <c r="BB34" i="2"/>
  <c r="BB35" i="2"/>
  <c r="BB37" i="2"/>
  <c r="BB38" i="2"/>
  <c r="BB32" i="2"/>
  <c r="BB33" i="2"/>
  <c r="BB36" i="2"/>
  <c r="BB40" i="2"/>
  <c r="BB41" i="2"/>
  <c r="BB42" i="2"/>
  <c r="BB43" i="2"/>
  <c r="BB46" i="2"/>
  <c r="BB31" i="2"/>
  <c r="BB39" i="2"/>
  <c r="BH31" i="2"/>
  <c r="AY15" i="2"/>
  <c r="AY22" i="2"/>
  <c r="AY23" i="2"/>
  <c r="AY24" i="2"/>
  <c r="AY25" i="2"/>
  <c r="AY26" i="2"/>
  <c r="AY27" i="2"/>
  <c r="AY19" i="2"/>
  <c r="AY20" i="2"/>
  <c r="AY21" i="2"/>
  <c r="AY18" i="2"/>
  <c r="AY13" i="2"/>
  <c r="AY14" i="2"/>
  <c r="AY16" i="2"/>
  <c r="AY17" i="2"/>
  <c r="AY12" i="2"/>
  <c r="AX18" i="2"/>
  <c r="AX19" i="2"/>
  <c r="AX20" i="2"/>
  <c r="AX21" i="2"/>
  <c r="AX22" i="2"/>
  <c r="AX23" i="2"/>
  <c r="AX24" i="2"/>
  <c r="AX25" i="2"/>
  <c r="AX26" i="2"/>
  <c r="AX27" i="2"/>
  <c r="AX13" i="2"/>
  <c r="AX14" i="2"/>
  <c r="AX15" i="2"/>
  <c r="AX16" i="2"/>
  <c r="AX17" i="2"/>
  <c r="AX12" i="2"/>
  <c r="BD3" i="2"/>
  <c r="BD6" i="2"/>
  <c r="BD7" i="2"/>
  <c r="BD8" i="2"/>
  <c r="BD9" i="2"/>
  <c r="BC6" i="2"/>
  <c r="BC7" i="2"/>
  <c r="BC8" i="2"/>
  <c r="BC9" i="2"/>
  <c r="BD5" i="2"/>
  <c r="AE31" i="2"/>
  <c r="AE23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5" i="2"/>
  <c r="AJ6" i="2"/>
  <c r="AR43" i="2" s="1"/>
  <c r="AT43" i="2" s="1"/>
  <c r="AJ7" i="2"/>
  <c r="AR44" i="2" s="1"/>
  <c r="AT44" i="2" s="1"/>
  <c r="AJ8" i="2"/>
  <c r="AR45" i="2" s="1"/>
  <c r="AT45" i="2" s="1"/>
  <c r="AJ9" i="2"/>
  <c r="AR46" i="2" s="1"/>
  <c r="AT46" i="2" s="1"/>
  <c r="AJ10" i="2"/>
  <c r="AR47" i="2" s="1"/>
  <c r="AT47" i="2" s="1"/>
  <c r="AJ11" i="2"/>
  <c r="AR48" i="2" s="1"/>
  <c r="AT48" i="2" s="1"/>
  <c r="AJ12" i="2"/>
  <c r="AR49" i="2" s="1"/>
  <c r="AT49" i="2" s="1"/>
  <c r="AJ13" i="2"/>
  <c r="AR50" i="2" s="1"/>
  <c r="AT50" i="2" s="1"/>
  <c r="AJ14" i="2"/>
  <c r="AR51" i="2" s="1"/>
  <c r="AT51" i="2" s="1"/>
  <c r="AJ15" i="2"/>
  <c r="AR52" i="2" s="1"/>
  <c r="AT52" i="2" s="1"/>
  <c r="AJ16" i="2"/>
  <c r="AR53" i="2" s="1"/>
  <c r="AT53" i="2" s="1"/>
  <c r="AJ17" i="2"/>
  <c r="AR54" i="2" s="1"/>
  <c r="AT54" i="2" s="1"/>
  <c r="AJ18" i="2"/>
  <c r="AR55" i="2" s="1"/>
  <c r="AT55" i="2" s="1"/>
  <c r="AJ19" i="2"/>
  <c r="AR56" i="2" s="1"/>
  <c r="AT56" i="2" s="1"/>
  <c r="AJ20" i="2"/>
  <c r="AR57" i="2" s="1"/>
  <c r="AT57" i="2" s="1"/>
  <c r="AJ5" i="2"/>
  <c r="AR42" i="2" s="1"/>
  <c r="AT42" i="2" s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5" i="2"/>
  <c r="AI6" i="2"/>
  <c r="AO6" i="2" s="1"/>
  <c r="AI25" i="2" s="1"/>
  <c r="AM25" i="2" s="1"/>
  <c r="AI7" i="2"/>
  <c r="AO7" i="2" s="1"/>
  <c r="AI26" i="2" s="1"/>
  <c r="AM26" i="2" s="1"/>
  <c r="AI8" i="2"/>
  <c r="AI9" i="2"/>
  <c r="AO9" i="2" s="1"/>
  <c r="AI28" i="2" s="1"/>
  <c r="AM28" i="2" s="1"/>
  <c r="AI10" i="2"/>
  <c r="AO10" i="2" s="1"/>
  <c r="AI29" i="2" s="1"/>
  <c r="AM29" i="2" s="1"/>
  <c r="AI11" i="2"/>
  <c r="AO11" i="2" s="1"/>
  <c r="AI30" i="2" s="1"/>
  <c r="AM30" i="2" s="1"/>
  <c r="AI12" i="2"/>
  <c r="AI13" i="2"/>
  <c r="AO13" i="2" s="1"/>
  <c r="AI32" i="2" s="1"/>
  <c r="AM32" i="2" s="1"/>
  <c r="AI14" i="2"/>
  <c r="AO14" i="2" s="1"/>
  <c r="AI33" i="2" s="1"/>
  <c r="AM33" i="2" s="1"/>
  <c r="AI15" i="2"/>
  <c r="AO15" i="2" s="1"/>
  <c r="AI34" i="2" s="1"/>
  <c r="AM34" i="2" s="1"/>
  <c r="AI16" i="2"/>
  <c r="AI17" i="2"/>
  <c r="AO17" i="2" s="1"/>
  <c r="AI36" i="2" s="1"/>
  <c r="AM36" i="2" s="1"/>
  <c r="AI18" i="2"/>
  <c r="AO18" i="2" s="1"/>
  <c r="AI37" i="2" s="1"/>
  <c r="AM37" i="2" s="1"/>
  <c r="AI19" i="2"/>
  <c r="AO19" i="2" s="1"/>
  <c r="AI38" i="2" s="1"/>
  <c r="AM38" i="2" s="1"/>
  <c r="AI20" i="2"/>
  <c r="AI5" i="2"/>
  <c r="AO5" i="2" s="1"/>
  <c r="AI24" i="2" s="1"/>
  <c r="AM24" i="2" s="1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1" i="2"/>
  <c r="BW67" i="2" l="1"/>
  <c r="BW68" i="2"/>
  <c r="BW81" i="2"/>
  <c r="BW74" i="2"/>
  <c r="BW73" i="2"/>
  <c r="BW75" i="2"/>
  <c r="BW80" i="2"/>
  <c r="BW78" i="2"/>
  <c r="BW76" i="2"/>
  <c r="BW79" i="2"/>
  <c r="BW77" i="2"/>
  <c r="BW69" i="2"/>
  <c r="BW72" i="2"/>
  <c r="BW70" i="2"/>
  <c r="BW71" i="2"/>
  <c r="AM20" i="2"/>
  <c r="AQ20" i="2" s="1"/>
  <c r="AK39" i="2" s="1"/>
  <c r="AM16" i="2"/>
  <c r="AQ16" i="2" s="1"/>
  <c r="AK35" i="2" s="1"/>
  <c r="AM12" i="2"/>
  <c r="AQ12" i="2" s="1"/>
  <c r="AK31" i="2" s="1"/>
  <c r="AM8" i="2"/>
  <c r="AQ8" i="2" s="1"/>
  <c r="AK27" i="2" s="1"/>
  <c r="AM19" i="2"/>
  <c r="AQ19" i="2" s="1"/>
  <c r="AK38" i="2" s="1"/>
  <c r="AN38" i="2" s="1"/>
  <c r="AM15" i="2"/>
  <c r="AQ15" i="2" s="1"/>
  <c r="AK34" i="2" s="1"/>
  <c r="AN34" i="2" s="1"/>
  <c r="AM11" i="2"/>
  <c r="AQ11" i="2" s="1"/>
  <c r="AK30" i="2" s="1"/>
  <c r="AN30" i="2" s="1"/>
  <c r="AM7" i="2"/>
  <c r="AQ7" i="2" s="1"/>
  <c r="AK26" i="2" s="1"/>
  <c r="AN26" i="2" s="1"/>
  <c r="AP19" i="2"/>
  <c r="AJ38" i="2" s="1"/>
  <c r="AP15" i="2"/>
  <c r="AJ34" i="2" s="1"/>
  <c r="AP11" i="2"/>
  <c r="AJ30" i="2" s="1"/>
  <c r="AP7" i="2"/>
  <c r="AJ26" i="2" s="1"/>
  <c r="AM10" i="2"/>
  <c r="AQ10" i="2" s="1"/>
  <c r="AK29" i="2" s="1"/>
  <c r="AN29" i="2" s="1"/>
  <c r="AN10" i="2"/>
  <c r="AP20" i="2"/>
  <c r="AJ39" i="2" s="1"/>
  <c r="AP16" i="2"/>
  <c r="AJ35" i="2" s="1"/>
  <c r="AP12" i="2"/>
  <c r="AJ31" i="2" s="1"/>
  <c r="AP8" i="2"/>
  <c r="AJ27" i="2" s="1"/>
  <c r="AN19" i="2"/>
  <c r="AN7" i="2"/>
  <c r="AM18" i="2"/>
  <c r="AQ18" i="2" s="1"/>
  <c r="AK37" i="2" s="1"/>
  <c r="AN37" i="2" s="1"/>
  <c r="AM14" i="2"/>
  <c r="AQ14" i="2" s="1"/>
  <c r="AK33" i="2" s="1"/>
  <c r="AN33" i="2" s="1"/>
  <c r="AM6" i="2"/>
  <c r="AQ6" i="2" s="1"/>
  <c r="AK25" i="2" s="1"/>
  <c r="AN25" i="2" s="1"/>
  <c r="AP18" i="2"/>
  <c r="AJ37" i="2" s="1"/>
  <c r="AP14" i="2"/>
  <c r="AJ33" i="2" s="1"/>
  <c r="AP10" i="2"/>
  <c r="AJ29" i="2" s="1"/>
  <c r="AP6" i="2"/>
  <c r="AJ25" i="2" s="1"/>
  <c r="AN18" i="2"/>
  <c r="AN14" i="2"/>
  <c r="AN6" i="2"/>
  <c r="AN15" i="2"/>
  <c r="AN11" i="2"/>
  <c r="AN20" i="2"/>
  <c r="AR20" i="2" s="1"/>
  <c r="AL39" i="2" s="1"/>
  <c r="AN16" i="2"/>
  <c r="AN12" i="2"/>
  <c r="AR12" i="2" s="1"/>
  <c r="AL31" i="2" s="1"/>
  <c r="AN8" i="2"/>
  <c r="AM5" i="2"/>
  <c r="AQ5" i="2" s="1"/>
  <c r="AK24" i="2" s="1"/>
  <c r="AN24" i="2" s="1"/>
  <c r="AM17" i="2"/>
  <c r="AQ17" i="2" s="1"/>
  <c r="AK36" i="2" s="1"/>
  <c r="AN36" i="2" s="1"/>
  <c r="AM13" i="2"/>
  <c r="AQ13" i="2" s="1"/>
  <c r="AK32" i="2" s="1"/>
  <c r="AN32" i="2" s="1"/>
  <c r="AM9" i="2"/>
  <c r="AQ9" i="2" s="1"/>
  <c r="AK28" i="2" s="1"/>
  <c r="AN28" i="2" s="1"/>
  <c r="AP5" i="2"/>
  <c r="AJ24" i="2" s="1"/>
  <c r="AP17" i="2"/>
  <c r="AJ36" i="2" s="1"/>
  <c r="AP13" i="2"/>
  <c r="AJ32" i="2" s="1"/>
  <c r="AP9" i="2"/>
  <c r="AJ28" i="2" s="1"/>
  <c r="AN5" i="2"/>
  <c r="AR5" i="2" s="1"/>
  <c r="AL24" i="2" s="1"/>
  <c r="AN17" i="2"/>
  <c r="AR17" i="2" s="1"/>
  <c r="AL36" i="2" s="1"/>
  <c r="AN13" i="2"/>
  <c r="AR13" i="2" s="1"/>
  <c r="AL32" i="2" s="1"/>
  <c r="AN9" i="2"/>
  <c r="AR9" i="2" s="1"/>
  <c r="AL28" i="2" s="1"/>
  <c r="AO20" i="2"/>
  <c r="AI39" i="2" s="1"/>
  <c r="AM39" i="2" s="1"/>
  <c r="AO16" i="2"/>
  <c r="AI35" i="2" s="1"/>
  <c r="AM35" i="2" s="1"/>
  <c r="AO12" i="2"/>
  <c r="AI31" i="2" s="1"/>
  <c r="AM31" i="2" s="1"/>
  <c r="AN31" i="2" s="1"/>
  <c r="AO8" i="2"/>
  <c r="AI27" i="2" s="1"/>
  <c r="AM27" i="2" s="1"/>
  <c r="AR11" i="2" l="1"/>
  <c r="AL30" i="2" s="1"/>
  <c r="AR19" i="2"/>
  <c r="AL38" i="2" s="1"/>
  <c r="AN39" i="2"/>
  <c r="AR10" i="2"/>
  <c r="AL29" i="2" s="1"/>
  <c r="AN27" i="2"/>
  <c r="AR16" i="2"/>
  <c r="AL35" i="2" s="1"/>
  <c r="AN35" i="2"/>
  <c r="AR8" i="2"/>
  <c r="AL27" i="2" s="1"/>
  <c r="AR15" i="2"/>
  <c r="AL34" i="2" s="1"/>
  <c r="AR6" i="2"/>
  <c r="AL25" i="2" s="1"/>
  <c r="AR14" i="2"/>
  <c r="AL33" i="2" s="1"/>
  <c r="AR7" i="2"/>
  <c r="AL26" i="2" s="1"/>
  <c r="AR18" i="2"/>
  <c r="AL37" i="2" s="1"/>
  <c r="U104" i="5" l="1"/>
  <c r="V104" i="5" s="1"/>
  <c r="U108" i="5"/>
  <c r="W108" i="5" s="1"/>
  <c r="U47" i="5"/>
  <c r="V47" i="5" s="1"/>
  <c r="U50" i="5"/>
  <c r="V50" i="5" s="1"/>
  <c r="U54" i="5"/>
  <c r="V54" i="5" s="1"/>
  <c r="U64" i="5"/>
  <c r="W64" i="5" s="1"/>
  <c r="U67" i="5"/>
  <c r="V67" i="5" s="1"/>
  <c r="U83" i="5"/>
  <c r="V83" i="5" s="1"/>
  <c r="U38" i="5"/>
  <c r="W38" i="5" s="1"/>
  <c r="U37" i="5"/>
  <c r="V37" i="5" s="1"/>
  <c r="U36" i="5"/>
  <c r="V36" i="5" s="1"/>
  <c r="U32" i="5"/>
  <c r="V32" i="5" s="1"/>
  <c r="U33" i="5"/>
  <c r="V33" i="5" s="1"/>
  <c r="U34" i="5"/>
  <c r="V34" i="5" s="1"/>
  <c r="W50" i="5" l="1"/>
  <c r="W34" i="5"/>
  <c r="W36" i="5"/>
  <c r="W47" i="5"/>
  <c r="W32" i="5"/>
  <c r="V38" i="5"/>
  <c r="W54" i="5"/>
  <c r="V108" i="5"/>
  <c r="V64" i="5"/>
  <c r="W104" i="5"/>
  <c r="W33" i="5"/>
  <c r="W37" i="5"/>
  <c r="W83" i="5"/>
  <c r="W67" i="5"/>
  <c r="U25" i="5"/>
  <c r="V25" i="5" s="1"/>
  <c r="U30" i="5"/>
  <c r="W30" i="5" s="1"/>
  <c r="U21" i="5"/>
  <c r="W21" i="5" s="1"/>
  <c r="U22" i="5"/>
  <c r="V22" i="5" s="1"/>
  <c r="U23" i="5"/>
  <c r="V23" i="5" s="1"/>
  <c r="U24" i="5"/>
  <c r="V24" i="5" s="1"/>
  <c r="U17" i="5"/>
  <c r="V17" i="5" s="1"/>
  <c r="U18" i="5"/>
  <c r="W18" i="5" s="1"/>
  <c r="U19" i="5"/>
  <c r="V19" i="5" s="1"/>
  <c r="U16" i="5"/>
  <c r="V16" i="5" s="1"/>
  <c r="U15" i="5"/>
  <c r="V15" i="5" s="1"/>
  <c r="U13" i="5"/>
  <c r="V21" i="5" l="1"/>
  <c r="W22" i="5"/>
  <c r="V30" i="5"/>
  <c r="W25" i="5"/>
  <c r="W23" i="5"/>
  <c r="W24" i="5"/>
  <c r="W19" i="5"/>
  <c r="V18" i="5"/>
  <c r="W17" i="5"/>
  <c r="W15" i="5"/>
  <c r="W16" i="5"/>
  <c r="U5" i="5"/>
  <c r="U6" i="5"/>
  <c r="W6" i="5" s="1"/>
  <c r="U7" i="5"/>
  <c r="V7" i="5" s="1"/>
  <c r="U8" i="5"/>
  <c r="W8" i="5" s="1"/>
  <c r="U9" i="5"/>
  <c r="V9" i="5" s="1"/>
  <c r="U10" i="5"/>
  <c r="W10" i="5" s="1"/>
  <c r="W13" i="5"/>
  <c r="U4" i="5"/>
  <c r="K31" i="5"/>
  <c r="K32" i="5"/>
  <c r="K33" i="5"/>
  <c r="K34" i="5"/>
  <c r="K35" i="5"/>
  <c r="K36" i="5"/>
  <c r="K37" i="5"/>
  <c r="K30" i="5"/>
  <c r="V13" i="5" l="1"/>
  <c r="V5" i="5"/>
  <c r="W5" i="5"/>
  <c r="W4" i="5"/>
  <c r="V4" i="5"/>
  <c r="W7" i="5"/>
  <c r="V6" i="5"/>
  <c r="V10" i="5"/>
  <c r="W9" i="5"/>
  <c r="V8" i="5"/>
  <c r="R23" i="2"/>
  <c r="M16" i="2" l="1"/>
  <c r="M15" i="2"/>
  <c r="M9" i="2"/>
  <c r="M10" i="2"/>
  <c r="M11" i="2"/>
  <c r="M12" i="2"/>
  <c r="M13" i="2"/>
  <c r="M14" i="2"/>
  <c r="M8" i="2"/>
  <c r="G6" i="2"/>
  <c r="H6" i="2" s="1"/>
  <c r="E6" i="2" s="1"/>
  <c r="G3" i="2"/>
  <c r="H3" i="2" s="1"/>
  <c r="E3" i="2" s="1"/>
  <c r="G5" i="2"/>
  <c r="H5" i="2" s="1"/>
  <c r="E5" i="2" s="1"/>
  <c r="G7" i="2"/>
  <c r="H7" i="2" s="1"/>
  <c r="E7" i="2" s="1"/>
  <c r="G8" i="2"/>
  <c r="H8" i="2" s="1"/>
  <c r="E8" i="2" s="1"/>
  <c r="G9" i="2"/>
  <c r="H9" i="2" s="1"/>
  <c r="E9" i="2" s="1"/>
  <c r="G4" i="2"/>
  <c r="H4" i="2" s="1"/>
  <c r="E4" i="2" s="1"/>
  <c r="E6" i="1"/>
  <c r="O21" i="2" l="1"/>
  <c r="P21" i="2"/>
  <c r="O33" i="2"/>
  <c r="P33" i="2"/>
  <c r="O29" i="2"/>
  <c r="P29" i="2"/>
  <c r="O25" i="2"/>
  <c r="P25" i="2"/>
  <c r="O36" i="2"/>
  <c r="P36" i="2"/>
  <c r="O32" i="2"/>
  <c r="P32" i="2"/>
  <c r="O28" i="2"/>
  <c r="P28" i="2"/>
  <c r="O24" i="2"/>
  <c r="P24" i="2"/>
  <c r="O35" i="2"/>
  <c r="P35" i="2"/>
  <c r="O31" i="2"/>
  <c r="P31" i="2"/>
  <c r="O27" i="2"/>
  <c r="P27" i="2"/>
  <c r="O23" i="2"/>
  <c r="P23" i="2"/>
  <c r="O34" i="2"/>
  <c r="P34" i="2"/>
  <c r="O30" i="2"/>
  <c r="P30" i="2"/>
  <c r="O26" i="2"/>
  <c r="P26" i="2"/>
  <c r="O22" i="2"/>
  <c r="P22" i="2"/>
  <c r="E5" i="1"/>
  <c r="E7" i="1"/>
  <c r="E8" i="1"/>
  <c r="E9" i="1"/>
  <c r="E10" i="1"/>
  <c r="E11" i="1"/>
  <c r="E4" i="1"/>
  <c r="R24" i="2" l="1"/>
  <c r="R25" i="2" s="1"/>
  <c r="BA3" i="2" l="1"/>
  <c r="AZ3" i="2"/>
  <c r="BY67" i="2" l="1"/>
  <c r="BV97" i="2" s="1"/>
  <c r="BY68" i="2"/>
  <c r="BV98" i="2" s="1"/>
  <c r="BX77" i="2"/>
  <c r="BU94" i="2" s="1"/>
  <c r="BX76" i="2"/>
  <c r="BU93" i="2" s="1"/>
  <c r="BY79" i="2"/>
  <c r="BV96" i="2" s="1"/>
  <c r="BY78" i="2"/>
  <c r="BV95" i="2" s="1"/>
  <c r="BX70" i="2"/>
  <c r="BU89" i="2" s="1"/>
  <c r="BY71" i="2"/>
  <c r="BV91" i="2" s="1"/>
  <c r="BY81" i="2"/>
  <c r="BV85" i="2" s="1"/>
  <c r="BY80" i="2"/>
  <c r="BV99" i="2" s="1"/>
  <c r="BY69" i="2"/>
  <c r="BV88" i="2" s="1"/>
  <c r="BX78" i="2"/>
  <c r="BU95" i="2" s="1"/>
  <c r="BY77" i="2"/>
  <c r="BV94" i="2" s="1"/>
  <c r="BY74" i="2"/>
  <c r="BV87" i="2" s="1"/>
  <c r="BY76" i="2"/>
  <c r="BV93" i="2" s="1"/>
  <c r="BX69" i="2"/>
  <c r="BU88" i="2" s="1"/>
  <c r="BX71" i="2"/>
  <c r="BU91" i="2" s="1"/>
  <c r="BX81" i="2"/>
  <c r="BU85" i="2" s="1"/>
  <c r="BX73" i="2"/>
  <c r="BU86" i="2" s="1"/>
  <c r="BX75" i="2"/>
  <c r="BU90" i="2" s="1"/>
  <c r="BY73" i="2"/>
  <c r="BV86" i="2" s="1"/>
  <c r="BX80" i="2"/>
  <c r="BU99" i="2" s="1"/>
  <c r="BX72" i="2"/>
  <c r="BU92" i="2" s="1"/>
  <c r="BY72" i="2"/>
  <c r="BV92" i="2" s="1"/>
  <c r="BX74" i="2"/>
  <c r="BU87" i="2" s="1"/>
  <c r="BY75" i="2"/>
  <c r="BV90" i="2" s="1"/>
  <c r="BX79" i="2"/>
  <c r="BU96" i="2" s="1"/>
  <c r="BY70" i="2"/>
  <c r="BV89" i="2" s="1"/>
  <c r="BC18" i="2"/>
  <c r="BE18" i="2" s="1"/>
  <c r="BA38" i="2" s="1"/>
  <c r="BB17" i="2"/>
  <c r="BD17" i="2" s="1"/>
  <c r="AZ37" i="2" s="1"/>
  <c r="BB16" i="2"/>
  <c r="BD16" i="2" s="1"/>
  <c r="AZ35" i="2" s="1"/>
  <c r="BC14" i="2"/>
  <c r="BE14" i="2" s="1"/>
  <c r="BA45" i="2" s="1"/>
  <c r="BB14" i="2"/>
  <c r="BD14" i="2" s="1"/>
  <c r="AZ45" i="2" s="1"/>
  <c r="BC13" i="2"/>
  <c r="BE13" i="2" s="1"/>
  <c r="BA44" i="2" s="1"/>
  <c r="BB24" i="2"/>
  <c r="BD24" i="2" s="1"/>
  <c r="AZ42" i="2" s="1"/>
  <c r="BC23" i="2"/>
  <c r="BE23" i="2" s="1"/>
  <c r="BA41" i="2" s="1"/>
  <c r="BB19" i="2"/>
  <c r="BD19" i="2" s="1"/>
  <c r="AZ32" i="2" s="1"/>
  <c r="BB26" i="2"/>
  <c r="BD26" i="2" s="1"/>
  <c r="AZ46" i="2" s="1"/>
  <c r="BB27" i="2"/>
  <c r="BD27" i="2" s="1"/>
  <c r="AZ31" i="2" s="1"/>
  <c r="BC20" i="2"/>
  <c r="BE20" i="2" s="1"/>
  <c r="BA33" i="2" s="1"/>
  <c r="BB25" i="2"/>
  <c r="BD25" i="2" s="1"/>
  <c r="AZ43" i="2" s="1"/>
  <c r="BC19" i="2"/>
  <c r="BE19" i="2" s="1"/>
  <c r="BA32" i="2" s="1"/>
  <c r="BB20" i="2"/>
  <c r="BD20" i="2" s="1"/>
  <c r="AZ33" i="2" s="1"/>
  <c r="BC16" i="2"/>
  <c r="BE16" i="2" s="1"/>
  <c r="BA35" i="2" s="1"/>
  <c r="BB23" i="2"/>
  <c r="BD23" i="2" s="1"/>
  <c r="AZ41" i="2" s="1"/>
  <c r="BB22" i="2"/>
  <c r="BD22" i="2" s="1"/>
  <c r="AZ40" i="2" s="1"/>
  <c r="BB15" i="2"/>
  <c r="BD15" i="2" s="1"/>
  <c r="AZ34" i="2" s="1"/>
  <c r="BC15" i="2"/>
  <c r="BE15" i="2" s="1"/>
  <c r="BA34" i="2" s="1"/>
  <c r="BB21" i="2"/>
  <c r="BD21" i="2" s="1"/>
  <c r="AZ36" i="2" s="1"/>
  <c r="BC24" i="2"/>
  <c r="BE24" i="2" s="1"/>
  <c r="BA42" i="2" s="1"/>
  <c r="BC17" i="2"/>
  <c r="BE17" i="2" s="1"/>
  <c r="BA37" i="2" s="1"/>
  <c r="BC25" i="2"/>
  <c r="BE25" i="2" s="1"/>
  <c r="BA43" i="2" s="1"/>
  <c r="BC26" i="2"/>
  <c r="BE26" i="2" s="1"/>
  <c r="BA46" i="2" s="1"/>
  <c r="BB18" i="2"/>
  <c r="BD18" i="2" s="1"/>
  <c r="AZ38" i="2" s="1"/>
  <c r="BC22" i="2"/>
  <c r="BE22" i="2" s="1"/>
  <c r="BA40" i="2" s="1"/>
  <c r="BC12" i="2"/>
  <c r="BE12" i="2" s="1"/>
  <c r="BA39" i="2" s="1"/>
  <c r="BB13" i="2"/>
  <c r="BD13" i="2" s="1"/>
  <c r="AZ44" i="2" s="1"/>
  <c r="BC27" i="2"/>
  <c r="BE27" i="2" s="1"/>
  <c r="BA31" i="2" s="1"/>
  <c r="BC21" i="2"/>
  <c r="BE21" i="2" s="1"/>
  <c r="BA36" i="2" s="1"/>
  <c r="BB12" i="2"/>
  <c r="BD12" i="2" s="1"/>
  <c r="AZ39" i="2" s="1"/>
  <c r="BX89" i="2" l="1"/>
  <c r="BZ89" i="2"/>
  <c r="BZ93" i="2"/>
  <c r="BX93" i="2"/>
  <c r="BZ88" i="2"/>
  <c r="BX88" i="2"/>
  <c r="BZ92" i="2"/>
  <c r="BX92" i="2"/>
  <c r="BX90" i="2"/>
  <c r="BZ90" i="2"/>
  <c r="BZ87" i="2"/>
  <c r="BX87" i="2"/>
  <c r="BX99" i="2"/>
  <c r="BZ99" i="2"/>
  <c r="BX95" i="2"/>
  <c r="BZ95" i="2"/>
  <c r="BZ98" i="2"/>
  <c r="BX98" i="2"/>
  <c r="BZ91" i="2"/>
  <c r="BX91" i="2"/>
  <c r="BZ86" i="2"/>
  <c r="BX86" i="2"/>
  <c r="BX94" i="2"/>
  <c r="BZ94" i="2"/>
  <c r="BX85" i="2"/>
  <c r="BZ85" i="2"/>
  <c r="BX96" i="2"/>
  <c r="BZ96" i="2"/>
  <c r="BZ97" i="2"/>
  <c r="BX97" i="2"/>
  <c r="BC42" i="2"/>
  <c r="BE42" i="2"/>
  <c r="BE39" i="2"/>
  <c r="BC39" i="2"/>
  <c r="BE33" i="2"/>
  <c r="BC33" i="2"/>
  <c r="BE34" i="2"/>
  <c r="BC34" i="2"/>
  <c r="BE31" i="2"/>
  <c r="BC31" i="2"/>
  <c r="BE35" i="2"/>
  <c r="BC35" i="2"/>
  <c r="BC44" i="2"/>
  <c r="BE44" i="2"/>
  <c r="BE43" i="2"/>
  <c r="BC43" i="2"/>
  <c r="BE45" i="2"/>
  <c r="BC45" i="2"/>
  <c r="BC38" i="2"/>
  <c r="BE38" i="2"/>
  <c r="BC40" i="2"/>
  <c r="BE40" i="2"/>
  <c r="BC46" i="2"/>
  <c r="BE46" i="2"/>
  <c r="BE37" i="2"/>
  <c r="BC37" i="2"/>
  <c r="BC36" i="2"/>
  <c r="BE36" i="2"/>
  <c r="BE41" i="2"/>
  <c r="BC41" i="2"/>
  <c r="BC32" i="2"/>
  <c r="BE32" i="2"/>
</calcChain>
</file>

<file path=xl/sharedStrings.xml><?xml version="1.0" encoding="utf-8"?>
<sst xmlns="http://schemas.openxmlformats.org/spreadsheetml/2006/main" count="1822" uniqueCount="375">
  <si>
    <t xml:space="preserve">voltage </t>
  </si>
  <si>
    <t>energy resolution</t>
  </si>
  <si>
    <t>centroid</t>
  </si>
  <si>
    <t>FWHM</t>
  </si>
  <si>
    <t>EXT</t>
  </si>
  <si>
    <t>PARAMETER</t>
  </si>
  <si>
    <t>STEP</t>
  </si>
  <si>
    <t>FIRST</t>
  </si>
  <si>
    <t>NO.</t>
  </si>
  <si>
    <t>NAME</t>
  </si>
  <si>
    <t>VALUE</t>
  </si>
  <si>
    <t>ERROR</t>
  </si>
  <si>
    <t>SIZE</t>
  </si>
  <si>
    <t>DERIVATIVE</t>
  </si>
  <si>
    <t>Centroid</t>
  </si>
  <si>
    <t>Counts</t>
  </si>
  <si>
    <t>Intercept</t>
  </si>
  <si>
    <t>Slope</t>
  </si>
  <si>
    <t>2.0kV</t>
  </si>
  <si>
    <t>Cs137</t>
  </si>
  <si>
    <t>Co60</t>
  </si>
  <si>
    <t>1-Centroid</t>
  </si>
  <si>
    <t>1-FWHM</t>
  </si>
  <si>
    <t>1-Counts</t>
  </si>
  <si>
    <t>2-Centroid</t>
  </si>
  <si>
    <t>2-FWHM</t>
  </si>
  <si>
    <t>2-Counts</t>
  </si>
  <si>
    <t>Ba133 last 2 peaks</t>
  </si>
  <si>
    <t>Ba133 2 before the last 2</t>
  </si>
  <si>
    <t>Eu152</t>
  </si>
  <si>
    <r>
      <t>   344.2785 </t>
    </r>
    <r>
      <rPr>
        <i/>
        <sz val="10"/>
        <color rgb="FF000000"/>
        <rFont val="Courier New"/>
        <family val="3"/>
      </rPr>
      <t>12</t>
    </r>
    <r>
      <rPr>
        <sz val="10"/>
        <color rgb="FF000000"/>
        <rFont val="Courier New"/>
        <family val="3"/>
      </rPr>
      <t> </t>
    </r>
  </si>
  <si>
    <r>
      <t>     26.59 % </t>
    </r>
    <r>
      <rPr>
        <i/>
        <sz val="10"/>
        <color rgb="FF000000"/>
        <rFont val="Courier New"/>
        <family val="3"/>
      </rPr>
      <t>20</t>
    </r>
    <r>
      <rPr>
        <sz val="10"/>
        <color rgb="FF000000"/>
        <rFont val="Courier New"/>
        <family val="3"/>
      </rPr>
      <t> </t>
    </r>
  </si>
  <si>
    <r>
      <t>  0.0915 </t>
    </r>
    <r>
      <rPr>
        <i/>
        <sz val="10"/>
        <color rgb="FF000000"/>
        <rFont val="Courier New"/>
        <family val="3"/>
      </rPr>
      <t>7</t>
    </r>
    <r>
      <rPr>
        <sz val="10"/>
        <color rgb="FF000000"/>
        <rFont val="Courier New"/>
        <family val="3"/>
      </rPr>
      <t> </t>
    </r>
  </si>
  <si>
    <r>
      <t>   778.9045 </t>
    </r>
    <r>
      <rPr>
        <i/>
        <sz val="10"/>
        <color rgb="FF000000"/>
        <rFont val="Courier New"/>
        <family val="3"/>
      </rPr>
      <t>24</t>
    </r>
    <r>
      <rPr>
        <sz val="10"/>
        <color rgb="FF000000"/>
        <rFont val="Courier New"/>
        <family val="3"/>
      </rPr>
      <t> </t>
    </r>
  </si>
  <si>
    <r>
      <t>     12.93 % </t>
    </r>
    <r>
      <rPr>
        <i/>
        <sz val="10"/>
        <color rgb="FF000000"/>
        <rFont val="Courier New"/>
        <family val="3"/>
      </rPr>
      <t>8</t>
    </r>
    <r>
      <rPr>
        <sz val="10"/>
        <color rgb="FF000000"/>
        <rFont val="Courier New"/>
        <family val="3"/>
      </rPr>
      <t> </t>
    </r>
  </si>
  <si>
    <r>
      <t>  0.1007 </t>
    </r>
    <r>
      <rPr>
        <i/>
        <sz val="10"/>
        <color rgb="FF000000"/>
        <rFont val="Courier New"/>
        <family val="3"/>
      </rPr>
      <t>7</t>
    </r>
    <r>
      <rPr>
        <sz val="10"/>
        <color rgb="FF000000"/>
        <rFont val="Courier New"/>
        <family val="3"/>
      </rPr>
      <t> </t>
    </r>
  </si>
  <si>
    <r>
      <t>   121.7817 </t>
    </r>
    <r>
      <rPr>
        <i/>
        <sz val="10"/>
        <color rgb="FF000000"/>
        <rFont val="Courier New"/>
        <family val="3"/>
      </rPr>
      <t>3</t>
    </r>
    <r>
      <rPr>
        <sz val="10"/>
        <color rgb="FF000000"/>
        <rFont val="Courier New"/>
        <family val="3"/>
      </rPr>
      <t> </t>
    </r>
  </si>
  <si>
    <r>
      <t>     28.53 % </t>
    </r>
    <r>
      <rPr>
        <i/>
        <sz val="10"/>
        <color rgb="FF000000"/>
        <rFont val="Courier New"/>
        <family val="3"/>
      </rPr>
      <t>16</t>
    </r>
    <r>
      <rPr>
        <sz val="10"/>
        <color rgb="FF000000"/>
        <rFont val="Courier New"/>
        <family val="3"/>
      </rPr>
      <t> </t>
    </r>
  </si>
  <si>
    <r>
      <t>  0.03475 </t>
    </r>
    <r>
      <rPr>
        <i/>
        <sz val="10"/>
        <color rgb="FF000000"/>
        <rFont val="Courier New"/>
        <family val="3"/>
      </rPr>
      <t>20</t>
    </r>
    <r>
      <rPr>
        <sz val="10"/>
        <color rgb="FF000000"/>
        <rFont val="Courier New"/>
        <family val="3"/>
      </rPr>
      <t> </t>
    </r>
  </si>
  <si>
    <r>
      <t>   244.6974 </t>
    </r>
    <r>
      <rPr>
        <i/>
        <sz val="10"/>
        <color rgb="FF000000"/>
        <rFont val="Courier New"/>
        <family val="3"/>
      </rPr>
      <t>8</t>
    </r>
    <r>
      <rPr>
        <sz val="10"/>
        <color rgb="FF000000"/>
        <rFont val="Courier New"/>
        <family val="3"/>
      </rPr>
      <t> </t>
    </r>
  </si>
  <si>
    <r>
      <t>      7.55 % </t>
    </r>
    <r>
      <rPr>
        <i/>
        <sz val="10"/>
        <color rgb="FF000000"/>
        <rFont val="Courier New"/>
        <family val="3"/>
      </rPr>
      <t>4</t>
    </r>
    <r>
      <rPr>
        <sz val="10"/>
        <color rgb="FF000000"/>
        <rFont val="Courier New"/>
        <family val="3"/>
      </rPr>
      <t> </t>
    </r>
  </si>
  <si>
    <r>
      <t>  0.01847 </t>
    </r>
    <r>
      <rPr>
        <i/>
        <sz val="10"/>
        <color rgb="FF000000"/>
        <rFont val="Courier New"/>
        <family val="3"/>
      </rPr>
      <t>10</t>
    </r>
    <r>
      <rPr>
        <sz val="10"/>
        <color rgb="FF000000"/>
        <rFont val="Courier New"/>
        <family val="3"/>
      </rPr>
      <t> </t>
    </r>
  </si>
  <si>
    <r>
      <t>   964.057 </t>
    </r>
    <r>
      <rPr>
        <i/>
        <sz val="10"/>
        <color rgb="FF000000"/>
        <rFont val="Courier New"/>
        <family val="3"/>
      </rPr>
      <t>5</t>
    </r>
    <r>
      <rPr>
        <sz val="10"/>
        <color rgb="FF000000"/>
        <rFont val="Courier New"/>
        <family val="3"/>
      </rPr>
      <t> </t>
    </r>
  </si>
  <si>
    <r>
      <t>     14.51 % </t>
    </r>
    <r>
      <rPr>
        <i/>
        <sz val="10"/>
        <color rgb="FF000000"/>
        <rFont val="Courier New"/>
        <family val="3"/>
      </rPr>
      <t>7</t>
    </r>
    <r>
      <rPr>
        <sz val="10"/>
        <color rgb="FF000000"/>
        <rFont val="Courier New"/>
        <family val="3"/>
      </rPr>
      <t> </t>
    </r>
  </si>
  <si>
    <r>
      <t>  0.1399 </t>
    </r>
    <r>
      <rPr>
        <i/>
        <sz val="10"/>
        <color rgb="FF000000"/>
        <rFont val="Courier New"/>
        <family val="3"/>
      </rPr>
      <t>7</t>
    </r>
    <r>
      <rPr>
        <sz val="10"/>
        <color rgb="FF000000"/>
        <rFont val="Courier New"/>
        <family val="3"/>
      </rPr>
      <t> </t>
    </r>
  </si>
  <si>
    <r>
      <t>  1085.837 </t>
    </r>
    <r>
      <rPr>
        <i/>
        <sz val="10"/>
        <color rgb="FF000000"/>
        <rFont val="Courier New"/>
        <family val="3"/>
      </rPr>
      <t>10</t>
    </r>
    <r>
      <rPr>
        <sz val="10"/>
        <color rgb="FF000000"/>
        <rFont val="Courier New"/>
        <family val="3"/>
      </rPr>
      <t> </t>
    </r>
  </si>
  <si>
    <r>
      <t>     10.11 % </t>
    </r>
    <r>
      <rPr>
        <i/>
        <sz val="10"/>
        <color rgb="FF000000"/>
        <rFont val="Courier New"/>
        <family val="3"/>
      </rPr>
      <t>5</t>
    </r>
    <r>
      <rPr>
        <sz val="10"/>
        <color rgb="FF000000"/>
        <rFont val="Courier New"/>
        <family val="3"/>
      </rPr>
      <t> </t>
    </r>
  </si>
  <si>
    <r>
      <t>  0.1098 </t>
    </r>
    <r>
      <rPr>
        <i/>
        <sz val="10"/>
        <color rgb="FF000000"/>
        <rFont val="Courier New"/>
        <family val="3"/>
      </rPr>
      <t>5</t>
    </r>
    <r>
      <rPr>
        <sz val="10"/>
        <color rgb="FF000000"/>
        <rFont val="Courier New"/>
        <family val="3"/>
      </rPr>
      <t> </t>
    </r>
  </si>
  <si>
    <r>
      <t>  1112.076 </t>
    </r>
    <r>
      <rPr>
        <i/>
        <sz val="10"/>
        <color rgb="FF000000"/>
        <rFont val="Courier New"/>
        <family val="3"/>
      </rPr>
      <t>3</t>
    </r>
    <r>
      <rPr>
        <sz val="10"/>
        <color rgb="FF000000"/>
        <rFont val="Courier New"/>
        <family val="3"/>
      </rPr>
      <t> </t>
    </r>
  </si>
  <si>
    <r>
      <t>     13.67 % </t>
    </r>
    <r>
      <rPr>
        <i/>
        <sz val="10"/>
        <color rgb="FF000000"/>
        <rFont val="Courier New"/>
        <family val="3"/>
      </rPr>
      <t>8</t>
    </r>
    <r>
      <rPr>
        <sz val="10"/>
        <color rgb="FF000000"/>
        <rFont val="Courier New"/>
        <family val="3"/>
      </rPr>
      <t> </t>
    </r>
  </si>
  <si>
    <r>
      <t>  0.1520 </t>
    </r>
    <r>
      <rPr>
        <i/>
        <sz val="10"/>
        <color rgb="FF000000"/>
        <rFont val="Courier New"/>
        <family val="3"/>
      </rPr>
      <t>9</t>
    </r>
    <r>
      <rPr>
        <sz val="10"/>
        <color rgb="FF000000"/>
        <rFont val="Courier New"/>
        <family val="3"/>
      </rPr>
      <t> </t>
    </r>
  </si>
  <si>
    <r>
      <t>  1408.013 </t>
    </r>
    <r>
      <rPr>
        <i/>
        <sz val="10"/>
        <color rgb="FF000000"/>
        <rFont val="Courier New"/>
        <family val="3"/>
      </rPr>
      <t>3</t>
    </r>
    <r>
      <rPr>
        <sz val="10"/>
        <color rgb="FF000000"/>
        <rFont val="Courier New"/>
        <family val="3"/>
      </rPr>
      <t> </t>
    </r>
  </si>
  <si>
    <r>
      <t>     20.87 % </t>
    </r>
    <r>
      <rPr>
        <i/>
        <sz val="10"/>
        <color rgb="FF000000"/>
        <rFont val="Courier New"/>
        <family val="3"/>
      </rPr>
      <t>9</t>
    </r>
    <r>
      <rPr>
        <sz val="10"/>
        <color rgb="FF000000"/>
        <rFont val="Courier New"/>
        <family val="3"/>
      </rPr>
      <t> </t>
    </r>
  </si>
  <si>
    <r>
      <t>  0.2938 </t>
    </r>
    <r>
      <rPr>
        <i/>
        <sz val="10"/>
        <color rgb="FF000000"/>
        <rFont val="Courier New"/>
        <family val="3"/>
      </rPr>
      <t>13</t>
    </r>
    <r>
      <rPr>
        <sz val="10"/>
        <color rgb="FF000000"/>
        <rFont val="Courier New"/>
        <family val="3"/>
      </rPr>
      <t> </t>
    </r>
  </si>
  <si>
    <t>Calibration</t>
  </si>
  <si>
    <t>Energy</t>
  </si>
  <si>
    <t>Channel</t>
  </si>
  <si>
    <t>Error</t>
  </si>
  <si>
    <t>Source</t>
  </si>
  <si>
    <t>133Ba</t>
  </si>
  <si>
    <t>Fit</t>
  </si>
  <si>
    <t>Chi2</t>
  </si>
  <si>
    <t>NDf</t>
  </si>
  <si>
    <t>p0</t>
  </si>
  <si>
    <t>p1</t>
  </si>
  <si>
    <t>error</t>
  </si>
  <si>
    <t>Resid</t>
  </si>
  <si>
    <t>Excel Fit</t>
  </si>
  <si>
    <t>WEIGHTED</t>
  </si>
  <si>
    <t>LSF linear fit ROUGH calibration</t>
  </si>
  <si>
    <t>Am241</t>
  </si>
  <si>
    <t>Eu152 121keV</t>
  </si>
  <si>
    <t>done</t>
  </si>
  <si>
    <t>Eu152 244keV</t>
  </si>
  <si>
    <t>Eu152 344keV</t>
  </si>
  <si>
    <t>Eu152 778keV</t>
  </si>
  <si>
    <t>964keV</t>
  </si>
  <si>
    <t>1085 1112 keV</t>
  </si>
  <si>
    <t>3-Centroid</t>
  </si>
  <si>
    <t>3-FWHM</t>
  </si>
  <si>
    <t>3-Counts</t>
  </si>
  <si>
    <t>IGNORE PEAK 2</t>
  </si>
  <si>
    <t>1408keV</t>
  </si>
  <si>
    <t>60jeV</t>
  </si>
  <si>
    <t>Better calibration</t>
  </si>
  <si>
    <t>((C-Fit)/error)^2</t>
  </si>
  <si>
    <t>Parameters</t>
  </si>
  <si>
    <t>a</t>
  </si>
  <si>
    <t>c</t>
  </si>
  <si>
    <t>Chi^2</t>
  </si>
  <si>
    <t>Chi^2/DOF</t>
  </si>
  <si>
    <t>DOF</t>
  </si>
  <si>
    <t>peak1</t>
  </si>
  <si>
    <t>peak2</t>
  </si>
  <si>
    <t>Use LSF one, it's better</t>
  </si>
  <si>
    <t>Co60 high counts p1</t>
  </si>
  <si>
    <t>Co60 high counts p2</t>
  </si>
  <si>
    <t>co60 old</t>
  </si>
  <si>
    <t>LSF w/ high cnts Co 60</t>
  </si>
  <si>
    <t>Co 60 high counts 2 (higher deadtime)</t>
  </si>
  <si>
    <t>P1</t>
  </si>
  <si>
    <t>P2</t>
  </si>
  <si>
    <t>Co 60</t>
  </si>
  <si>
    <t>NEW</t>
  </si>
  <si>
    <t>Ba133</t>
  </si>
  <si>
    <t>4-Centroid</t>
  </si>
  <si>
    <t>4-FWHM</t>
  </si>
  <si>
    <t>4-Counts</t>
  </si>
  <si>
    <t>source</t>
  </si>
  <si>
    <t>Energy (keV)</t>
  </si>
  <si>
    <t>x2/ndf</t>
  </si>
  <si>
    <t>8.134E+5/6</t>
  </si>
  <si>
    <t>m</t>
  </si>
  <si>
    <t>Background</t>
  </si>
  <si>
    <t>BG-Cs137</t>
  </si>
  <si>
    <t>BG-K40</t>
  </si>
  <si>
    <t>Cyclotron-Bi207</t>
  </si>
  <si>
    <t>Cyclotron</t>
  </si>
  <si>
    <t>peak4</t>
  </si>
  <si>
    <t>peak3</t>
  </si>
  <si>
    <t>SIZE      DERIVATIVE</t>
  </si>
  <si>
    <t>2.32217e-05   2.92816e-02</t>
  </si>
  <si>
    <t>1.92278e-04   1.73797e-03</t>
  </si>
  <si>
    <t>3.03966e-04   3.38876e-03</t>
  </si>
  <si>
    <t>6.61712e-04  -6.88353e-04</t>
  </si>
  <si>
    <t>1.17221e-07  -3.89032e+00</t>
  </si>
  <si>
    <t>Bi-207</t>
  </si>
  <si>
    <t>Cs-137</t>
  </si>
  <si>
    <t>K-40</t>
  </si>
  <si>
    <t xml:space="preserve">peak 1-2 </t>
  </si>
  <si>
    <t>Bi-Kalphas</t>
  </si>
  <si>
    <t>241Am</t>
  </si>
  <si>
    <t>137Cs</t>
  </si>
  <si>
    <t>60Co</t>
  </si>
  <si>
    <t>Channel (LSF)</t>
  </si>
  <si>
    <t>Unknown</t>
  </si>
  <si>
    <t>Centroid Channel</t>
  </si>
  <si>
    <t>E - 5keV / LOWER</t>
  </si>
  <si>
    <t>E + 5keV / UPPER</t>
  </si>
  <si>
    <t>Actual Energy (NNDC)</t>
  </si>
  <si>
    <t>Error (NNDC)</t>
  </si>
  <si>
    <t>Intensity (%)</t>
  </si>
  <si>
    <t>Error (%)</t>
  </si>
  <si>
    <t>XR kα1</t>
  </si>
  <si>
    <t>XR kβ3</t>
  </si>
  <si>
    <t>XR kβ1</t>
  </si>
  <si>
    <t>Radiation Type</t>
  </si>
  <si>
    <t>Gamma</t>
  </si>
  <si>
    <t>XR kα2</t>
  </si>
  <si>
    <t>2 candidates</t>
  </si>
  <si>
    <t>GreenBox</t>
  </si>
  <si>
    <t>peak 7750</t>
  </si>
  <si>
    <t>peak8200_double</t>
  </si>
  <si>
    <t>peak2000_double</t>
  </si>
  <si>
    <t>8200_double</t>
  </si>
  <si>
    <t>2000_double</t>
  </si>
  <si>
    <t>peak5000</t>
  </si>
  <si>
    <t>Element</t>
  </si>
  <si>
    <t>K40</t>
  </si>
  <si>
    <t>peak700_quad</t>
  </si>
  <si>
    <t>700_quad</t>
  </si>
  <si>
    <t>peak2800_double</t>
  </si>
  <si>
    <t>2800_double</t>
  </si>
  <si>
    <t>Ac228</t>
  </si>
  <si>
    <t>Th228</t>
  </si>
  <si>
    <t>Better Calibration to rule this out?</t>
  </si>
  <si>
    <t>Pb212</t>
  </si>
  <si>
    <t>Ra224</t>
  </si>
  <si>
    <t>Tl208</t>
  </si>
  <si>
    <t>Lost in higher % peak?</t>
  </si>
  <si>
    <t>xrays and gamma</t>
  </si>
  <si>
    <t>loads</t>
  </si>
  <si>
    <t>in book</t>
  </si>
  <si>
    <t>Bi212</t>
  </si>
  <si>
    <t>gamma</t>
  </si>
  <si>
    <t>3_peaks_3500</t>
  </si>
  <si>
    <t>peak6200</t>
  </si>
  <si>
    <t>peak6800</t>
  </si>
  <si>
    <t>peak7300</t>
  </si>
  <si>
    <t>Rock7</t>
  </si>
  <si>
    <t>Peak15000</t>
  </si>
  <si>
    <t>Peak9500</t>
  </si>
  <si>
    <t>Peak5100</t>
  </si>
  <si>
    <t>Peak3000</t>
  </si>
  <si>
    <t>Peak2500</t>
  </si>
  <si>
    <t>peak2000</t>
  </si>
  <si>
    <t>peak1600</t>
  </si>
  <si>
    <t>Peak6500</t>
  </si>
  <si>
    <t>Series</t>
  </si>
  <si>
    <t>Th</t>
  </si>
  <si>
    <t>Bi214</t>
  </si>
  <si>
    <t>U</t>
  </si>
  <si>
    <t>?</t>
  </si>
  <si>
    <t>3 candidates</t>
  </si>
  <si>
    <t>Ac230</t>
  </si>
  <si>
    <t>Bi215</t>
  </si>
  <si>
    <t>Ac</t>
  </si>
  <si>
    <t>Pa234</t>
  </si>
  <si>
    <t>too many to type (3)</t>
  </si>
  <si>
    <t>4 candidates</t>
  </si>
  <si>
    <t>Pb211</t>
  </si>
  <si>
    <t>Rn219</t>
  </si>
  <si>
    <t>Rn225</t>
  </si>
  <si>
    <t>Np</t>
  </si>
  <si>
    <t>lol obviously not this</t>
  </si>
  <si>
    <t>Fr223</t>
  </si>
  <si>
    <t>rock didn’t explode when ocean picked it up so probably not Francium</t>
  </si>
  <si>
    <t>Ra223</t>
  </si>
  <si>
    <t>Th227</t>
  </si>
  <si>
    <t>Pb214</t>
  </si>
  <si>
    <t>Bi211</t>
  </si>
  <si>
    <t>Resolution for HPGe Detector</t>
  </si>
  <si>
    <t>Weighted LSF</t>
  </si>
  <si>
    <t>FWHM (chn)</t>
  </si>
  <si>
    <t>Error (chn)</t>
  </si>
  <si>
    <t>Calibrated Energy (keV)</t>
  </si>
  <si>
    <t>Calibrated FWHM (keV)</t>
  </si>
  <si>
    <t>R</t>
  </si>
  <si>
    <t>Error R</t>
  </si>
  <si>
    <t xml:space="preserve">ln(E) </t>
  </si>
  <si>
    <t xml:space="preserve">Error ln(E)  </t>
  </si>
  <si>
    <t xml:space="preserve">ln(R) </t>
  </si>
  <si>
    <t>error ln(R)</t>
  </si>
  <si>
    <t>chn=p1*E+p0</t>
  </si>
  <si>
    <t>Ln(E.)</t>
  </si>
  <si>
    <t>x</t>
  </si>
  <si>
    <t>y</t>
  </si>
  <si>
    <t>Ln(R.)</t>
  </si>
  <si>
    <t>LSF Resolution Fit</t>
  </si>
  <si>
    <t>Residuals</t>
  </si>
  <si>
    <t>Efficiency</t>
  </si>
  <si>
    <t>Source information</t>
  </si>
  <si>
    <t>Isotope</t>
  </si>
  <si>
    <t>ID</t>
  </si>
  <si>
    <t>Activity (Bq)</t>
  </si>
  <si>
    <t>Date Measured</t>
  </si>
  <si>
    <t>1U630</t>
  </si>
  <si>
    <t>1R545</t>
  </si>
  <si>
    <t>1S684</t>
  </si>
  <si>
    <t>152Eu</t>
  </si>
  <si>
    <t>1D157</t>
  </si>
  <si>
    <t>1Q598</t>
  </si>
  <si>
    <t>d (cm)</t>
  </si>
  <si>
    <t>a (cm)</t>
  </si>
  <si>
    <t>Ω (steradians)</t>
  </si>
  <si>
    <t>Live time (s)</t>
  </si>
  <si>
    <t>Time elapsed (y)</t>
  </si>
  <si>
    <t>Half life (y)</t>
  </si>
  <si>
    <t>Activity now (Bq)</t>
  </si>
  <si>
    <t>(25/1/19)</t>
  </si>
  <si>
    <t>Count Rate</t>
  </si>
  <si>
    <t>Branching Ratio</t>
  </si>
  <si>
    <t xml:space="preserve">Intrinsic Efficiency </t>
  </si>
  <si>
    <t>ε intrinsic (%)</t>
  </si>
  <si>
    <t>LSF Power Fit Intrinsic Efficiency</t>
  </si>
  <si>
    <t>Constant</t>
  </si>
  <si>
    <t>Exponent</t>
  </si>
  <si>
    <t>Ndf</t>
  </si>
  <si>
    <t>dy</t>
  </si>
  <si>
    <t>LSF Power Fit NO Cs137 NO Am241</t>
  </si>
  <si>
    <t>Fit NO Cs137 NO Am241</t>
  </si>
  <si>
    <t>Tl210</t>
  </si>
  <si>
    <t>214Pb</t>
  </si>
  <si>
    <t>213Bi</t>
  </si>
  <si>
    <t>214Po</t>
  </si>
  <si>
    <t>224Ra</t>
  </si>
  <si>
    <t>225Ac</t>
  </si>
  <si>
    <t>229Th</t>
  </si>
  <si>
    <t>233Pa</t>
  </si>
  <si>
    <t>234Pa</t>
  </si>
  <si>
    <t>233U</t>
  </si>
  <si>
    <t>212Pb</t>
  </si>
  <si>
    <t>223Fr</t>
  </si>
  <si>
    <t>227Ac</t>
  </si>
  <si>
    <t>227Th</t>
  </si>
  <si>
    <t>231Th</t>
  </si>
  <si>
    <t>231Pa</t>
  </si>
  <si>
    <t>235U</t>
  </si>
  <si>
    <t>237Np</t>
  </si>
  <si>
    <t>Ra</t>
  </si>
  <si>
    <t>Fano factor</t>
  </si>
  <si>
    <t>bad</t>
  </si>
  <si>
    <t>1.71270e-05   6.29770e-05</t>
  </si>
  <si>
    <t>5.91443e-05  -7.45331e-05</t>
  </si>
  <si>
    <t>2.91762e-04   2.03961e-04</t>
  </si>
  <si>
    <t>1.36097e-03   3.65165e-05</t>
  </si>
  <si>
    <t>1.64687e-07   3.01563e-01</t>
  </si>
  <si>
    <t>LSF Rough Cali</t>
  </si>
  <si>
    <t>True Calibration</t>
  </si>
  <si>
    <t>Chi2/ndf</t>
  </si>
  <si>
    <t>908349/14</t>
  </si>
  <si>
    <t>LSF Cali All</t>
  </si>
  <si>
    <t>3737.97/6</t>
  </si>
  <si>
    <t>LSF Low E Cali</t>
  </si>
  <si>
    <t xml:space="preserve">c </t>
  </si>
  <si>
    <t>LSF High E Cali</t>
  </si>
  <si>
    <t>336869/6</t>
  </si>
  <si>
    <t>LSF High E Cali no Co60</t>
  </si>
  <si>
    <t>rough</t>
  </si>
  <si>
    <t>all</t>
  </si>
  <si>
    <t>lowE</t>
  </si>
  <si>
    <t>highE</t>
  </si>
  <si>
    <t>highEnoCo</t>
  </si>
  <si>
    <t>1/V</t>
  </si>
  <si>
    <t>fwhm/Cen</t>
  </si>
  <si>
    <t>dR/dC</t>
  </si>
  <si>
    <t>….-fwhm/cen^2</t>
  </si>
  <si>
    <t>dR/dF</t>
  </si>
  <si>
    <t>1/Cen</t>
  </si>
  <si>
    <t>LSF Reciporacal bias</t>
  </si>
  <si>
    <t>LSF BetterReciporacal bias</t>
  </si>
  <si>
    <t>LSF Quadratic Recip V</t>
  </si>
  <si>
    <t>p2</t>
  </si>
  <si>
    <t>LSF Quadratic Recip V w/ outliers</t>
  </si>
  <si>
    <t>Linear fit</t>
  </si>
  <si>
    <t>Quad Fit</t>
  </si>
  <si>
    <t>b</t>
  </si>
  <si>
    <r>
      <t>At V</t>
    </r>
    <r>
      <rPr>
        <vertAlign val="subscript"/>
        <sz val="11"/>
        <color theme="1"/>
        <rFont val="Calibri"/>
        <family val="2"/>
      </rPr>
      <t>infP</t>
    </r>
    <r>
      <rPr>
        <sz val="11"/>
        <color theme="1"/>
        <rFont val="Calibri"/>
        <family val="2"/>
      </rPr>
      <t>, Energy resolution (linear) approaches 0.00137</t>
    </r>
  </si>
  <si>
    <t>At VinfP, Energy resolution (quad) approaches 0.002737</t>
  </si>
  <si>
    <t>Fano Factor F</t>
  </si>
  <si>
    <t>Actual Energy (keV)</t>
  </si>
  <si>
    <t>Cali Energy (keV)</t>
  </si>
  <si>
    <r>
      <t>W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</t>
    </r>
  </si>
  <si>
    <t>ε (eV)</t>
  </si>
  <si>
    <r>
      <t>(W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)^2</t>
    </r>
  </si>
  <si>
    <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^2</t>
    </r>
  </si>
  <si>
    <r>
      <t>W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^2</t>
    </r>
  </si>
  <si>
    <r>
      <t>W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^2 </t>
    </r>
    <r>
      <rPr>
        <sz val="11"/>
        <color theme="1"/>
        <rFont val="Calibri"/>
        <family val="2"/>
      </rPr>
      <t>∞</t>
    </r>
  </si>
  <si>
    <t>Detector Face</t>
  </si>
  <si>
    <t>Co60 p1</t>
  </si>
  <si>
    <t>Ba133 p1 and 2</t>
  </si>
  <si>
    <t>p3 and 4</t>
  </si>
  <si>
    <t>Eu152 121kev</t>
  </si>
  <si>
    <t>244kev</t>
  </si>
  <si>
    <t>344 kev</t>
  </si>
  <si>
    <t>n/a</t>
  </si>
  <si>
    <t>LSF Power Fit All</t>
  </si>
  <si>
    <t>LSF Power Fit No Am241</t>
  </si>
  <si>
    <t>Chi^2/ndf</t>
  </si>
  <si>
    <t>Fit All</t>
  </si>
  <si>
    <t>Fit NO Am241</t>
  </si>
  <si>
    <t>373.9/12</t>
  </si>
  <si>
    <t>Data</t>
  </si>
  <si>
    <t>resid</t>
  </si>
  <si>
    <t>fit</t>
  </si>
  <si>
    <t>enefrgy</t>
  </si>
  <si>
    <t>Pb207</t>
  </si>
  <si>
    <t> 0.09</t>
  </si>
  <si>
    <t>peak4500</t>
  </si>
  <si>
    <t>peak400</t>
  </si>
  <si>
    <t>peak3500</t>
  </si>
  <si>
    <t>peak1800</t>
  </si>
  <si>
    <t>      3.89</t>
  </si>
  <si>
    <t>2500 triple</t>
  </si>
  <si>
    <t>peak2500triple#</t>
  </si>
  <si>
    <t>      3.46</t>
  </si>
  <si>
    <t>      6.6</t>
  </si>
  <si>
    <t>      3.30</t>
  </si>
  <si>
    <t>Gamms</t>
  </si>
  <si>
    <t>Ra226</t>
  </si>
  <si>
    <t>U235</t>
  </si>
  <si>
    <t>peaK6500</t>
  </si>
  <si>
    <t>peak10500</t>
  </si>
  <si>
    <t>peak11600</t>
  </si>
  <si>
    <t>600double</t>
  </si>
  <si>
    <t>peak600double</t>
  </si>
  <si>
    <t>peak1000</t>
  </si>
  <si>
    <t>lowenergy triple</t>
  </si>
  <si>
    <t>1.36795e-02  -2.23188e-04</t>
  </si>
  <si>
    <t>2  Exponent</t>
  </si>
  <si>
    <t>2.76814e-05  -1.45778e-01</t>
  </si>
  <si>
    <t>925.3/13</t>
  </si>
  <si>
    <t>1.40814e-01  -4.19083e-05</t>
  </si>
  <si>
    <t>1.44366e-05  -4.23277e-01</t>
  </si>
  <si>
    <t>260.2/12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</si>
</sst>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i/>
      <sz val="10"/>
      <color rgb="FF000000"/>
      <name val="Courier New"/>
      <family val="3"/>
    </font>
    <font>
      <u/>
      <sz val="9"/>
      <color rgb="FF000000"/>
      <name val="Verdana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5" xfId="0" applyFill="1" applyBorder="1"/>
    <xf numFmtId="0" fontId="0" fillId="2" borderId="4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0" borderId="11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3" xfId="0" applyFont="1" applyBorder="1"/>
    <xf numFmtId="0" fontId="1" fillId="0" borderId="5" xfId="0" applyFont="1" applyBorder="1"/>
    <xf numFmtId="0" fontId="0" fillId="3" borderId="1" xfId="0" applyFill="1" applyBorder="1"/>
    <xf numFmtId="0" fontId="1" fillId="0" borderId="9" xfId="0" applyFont="1" applyBorder="1"/>
    <xf numFmtId="0" fontId="0" fillId="0" borderId="1" xfId="0" applyBorder="1"/>
    <xf numFmtId="0" fontId="0" fillId="4" borderId="0" xfId="0" applyFill="1"/>
    <xf numFmtId="0" fontId="1" fillId="0" borderId="2" xfId="0" applyFont="1" applyBorder="1"/>
    <xf numFmtId="2" fontId="0" fillId="0" borderId="4" xfId="0" applyNumberFormat="1" applyBorder="1"/>
    <xf numFmtId="2" fontId="0" fillId="0" borderId="14" xfId="0" applyNumberFormat="1" applyBorder="1"/>
    <xf numFmtId="2" fontId="0" fillId="0" borderId="6" xfId="0" applyNumberFormat="1" applyBorder="1"/>
    <xf numFmtId="0" fontId="0" fillId="3" borderId="2" xfId="0" applyFill="1" applyBorder="1"/>
    <xf numFmtId="2" fontId="0" fillId="0" borderId="13" xfId="0" applyNumberFormat="1" applyBorder="1"/>
    <xf numFmtId="2" fontId="0" fillId="0" borderId="5" xfId="0" applyNumberFormat="1" applyBorder="1"/>
    <xf numFmtId="0" fontId="0" fillId="5" borderId="0" xfId="0" applyFill="1"/>
    <xf numFmtId="0" fontId="1" fillId="0" borderId="12" xfId="0" applyFont="1" applyBorder="1"/>
    <xf numFmtId="0" fontId="1" fillId="0" borderId="8" xfId="0" applyFont="1" applyBorder="1"/>
    <xf numFmtId="0" fontId="1" fillId="0" borderId="7" xfId="0" applyFont="1" applyBorder="1"/>
    <xf numFmtId="2" fontId="0" fillId="0" borderId="7" xfId="0" applyNumberFormat="1" applyBorder="1"/>
    <xf numFmtId="2" fontId="0" fillId="0" borderId="12" xfId="0" applyNumberFormat="1" applyBorder="1"/>
    <xf numFmtId="2" fontId="0" fillId="0" borderId="0" xfId="0" applyNumberFormat="1"/>
    <xf numFmtId="2" fontId="0" fillId="0" borderId="8" xfId="0" applyNumberFormat="1" applyBorder="1"/>
    <xf numFmtId="11" fontId="0" fillId="4" borderId="0" xfId="0" applyNumberFormat="1" applyFill="1"/>
    <xf numFmtId="0" fontId="0" fillId="0" borderId="3" xfId="0" applyBorder="1"/>
    <xf numFmtId="0" fontId="0" fillId="0" borderId="15" xfId="0" applyBorder="1"/>
    <xf numFmtId="11" fontId="0" fillId="0" borderId="6" xfId="0" applyNumberFormat="1" applyBorder="1"/>
    <xf numFmtId="0" fontId="0" fillId="0" borderId="10" xfId="0" applyBorder="1"/>
    <xf numFmtId="0" fontId="0" fillId="4" borderId="1" xfId="0" applyFill="1" applyBorder="1"/>
    <xf numFmtId="0" fontId="1" fillId="0" borderId="4" xfId="0" applyFont="1" applyBorder="1"/>
    <xf numFmtId="0" fontId="1" fillId="0" borderId="14" xfId="0" applyFont="1" applyBorder="1"/>
    <xf numFmtId="0" fontId="1" fillId="0" borderId="6" xfId="0" applyFont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1" fontId="0" fillId="0" borderId="2" xfId="0" applyNumberFormat="1" applyBorder="1"/>
    <xf numFmtId="11" fontId="0" fillId="0" borderId="4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5" xfId="0" applyNumberFormat="1" applyBorder="1"/>
    <xf numFmtId="0" fontId="0" fillId="5" borderId="1" xfId="0" applyFill="1" applyBorder="1"/>
    <xf numFmtId="0" fontId="1" fillId="0" borderId="0" xfId="0" applyFont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8" borderId="11" xfId="0" applyFill="1" applyBorder="1"/>
    <xf numFmtId="0" fontId="0" fillId="8" borderId="10" xfId="0" applyFill="1" applyBorder="1"/>
    <xf numFmtId="0" fontId="1" fillId="0" borderId="3" xfId="0" applyFont="1" applyBorder="1"/>
    <xf numFmtId="0" fontId="1" fillId="0" borderId="0" xfId="0" applyFont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11" fontId="2" fillId="0" borderId="6" xfId="0" applyNumberFormat="1" applyFont="1" applyBorder="1"/>
    <xf numFmtId="11" fontId="1" fillId="0" borderId="5" xfId="0" applyNumberFormat="1" applyFont="1" applyBorder="1"/>
    <xf numFmtId="0" fontId="1" fillId="0" borderId="2" xfId="0" applyFont="1" applyBorder="1" applyAlignment="1">
      <alignment horizontal="right" vertical="center"/>
    </xf>
    <xf numFmtId="11" fontId="0" fillId="0" borderId="9" xfId="0" applyNumberFormat="1" applyBorder="1"/>
    <xf numFmtId="0" fontId="1" fillId="0" borderId="3" xfId="0" applyFont="1" applyBorder="1" applyAlignment="1">
      <alignment horizontal="right" vertical="center"/>
    </xf>
    <xf numFmtId="0" fontId="0" fillId="7" borderId="11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1" fontId="0" fillId="0" borderId="10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6" borderId="7" xfId="0" applyFill="1" applyBorder="1"/>
    <xf numFmtId="0" fontId="0" fillId="8" borderId="9" xfId="0" applyFill="1" applyBorder="1"/>
    <xf numFmtId="2" fontId="0" fillId="0" borderId="2" xfId="0" applyNumberFormat="1" applyBorder="1"/>
    <xf numFmtId="0" fontId="0" fillId="7" borderId="9" xfId="0" applyFill="1" applyBorder="1"/>
    <xf numFmtId="0" fontId="0" fillId="7" borderId="10" xfId="0" applyFill="1" applyBorder="1"/>
    <xf numFmtId="2" fontId="0" fillId="0" borderId="15" xfId="0" applyNumberFormat="1" applyBorder="1"/>
    <xf numFmtId="11" fontId="0" fillId="0" borderId="3" xfId="0" applyNumberFormat="1" applyBorder="1"/>
    <xf numFmtId="11" fontId="0" fillId="0" borderId="15" xfId="0" applyNumberFormat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14" fontId="0" fillId="0" borderId="12" xfId="0" applyNumberFormat="1" applyBorder="1"/>
    <xf numFmtId="14" fontId="0" fillId="0" borderId="8" xfId="0" applyNumberFormat="1" applyBorder="1"/>
    <xf numFmtId="0" fontId="4" fillId="6" borderId="9" xfId="0" applyFont="1" applyFill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3" borderId="4" xfId="0" applyFill="1" applyBorder="1"/>
    <xf numFmtId="0" fontId="0" fillId="6" borderId="2" xfId="0" applyFill="1" applyBorder="1"/>
    <xf numFmtId="0" fontId="0" fillId="6" borderId="4" xfId="0" applyFill="1" applyBorder="1"/>
    <xf numFmtId="11" fontId="0" fillId="8" borderId="11" xfId="0" applyNumberFormat="1" applyFill="1" applyBorder="1"/>
    <xf numFmtId="0" fontId="0" fillId="4" borderId="12" xfId="0" applyFill="1" applyBorder="1"/>
    <xf numFmtId="0" fontId="0" fillId="9" borderId="9" xfId="0" applyFill="1" applyBorder="1"/>
    <xf numFmtId="0" fontId="0" fillId="9" borderId="10" xfId="0" applyFill="1" applyBorder="1"/>
    <xf numFmtId="0" fontId="4" fillId="11" borderId="1" xfId="0" applyFont="1" applyFill="1" applyBorder="1"/>
    <xf numFmtId="0" fontId="0" fillId="12" borderId="1" xfId="0" applyFill="1" applyBorder="1"/>
    <xf numFmtId="0" fontId="0" fillId="9" borderId="7" xfId="0" applyFill="1" applyBorder="1"/>
    <xf numFmtId="0" fontId="0" fillId="9" borderId="8" xfId="0" applyFill="1" applyBorder="1"/>
    <xf numFmtId="11" fontId="0" fillId="0" borderId="12" xfId="0" applyNumberFormat="1" applyBorder="1"/>
    <xf numFmtId="11" fontId="0" fillId="0" borderId="8" xfId="0" applyNumberFormat="1" applyBorder="1"/>
    <xf numFmtId="0" fontId="0" fillId="9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5" borderId="7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Resolution and Bias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6940461978346"/>
          <c:y val="0.17759062035269296"/>
          <c:w val="0.77360243723107169"/>
          <c:h val="0.58311096955877972"/>
        </c:manualLayout>
      </c:layout>
      <c:lineChart>
        <c:grouping val="standard"/>
        <c:varyColors val="0"/>
        <c:ser>
          <c:idx val="1"/>
          <c:order val="0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'Resolution and Bias Voltage'!$F$4:$F$11</c:f>
                <c:numCache>
                  <c:formatCode>General</c:formatCode>
                  <c:ptCount val="8"/>
                  <c:pt idx="0">
                    <c:v>1.4407071477153312E-5</c:v>
                  </c:pt>
                  <c:pt idx="1">
                    <c:v>1.4401933404502268E-5</c:v>
                  </c:pt>
                  <c:pt idx="2">
                    <c:v>1.4324840982109601E-5</c:v>
                  </c:pt>
                  <c:pt idx="3">
                    <c:v>1.4448251156830411E-5</c:v>
                  </c:pt>
                  <c:pt idx="4">
                    <c:v>1.4445667725296982E-5</c:v>
                  </c:pt>
                  <c:pt idx="5">
                    <c:v>1.4445666154799098E-5</c:v>
                  </c:pt>
                  <c:pt idx="6">
                    <c:v>1.4443084455465274E-5</c:v>
                  </c:pt>
                  <c:pt idx="7">
                    <c:v>1.4443084209986024E-5</c:v>
                  </c:pt>
                </c:numCache>
              </c:numRef>
            </c:plus>
            <c:minus>
              <c:numRef>
                <c:f>'Resolution and Bias Voltage'!$F$4:$F$11</c:f>
                <c:numCache>
                  <c:formatCode>General</c:formatCode>
                  <c:ptCount val="8"/>
                  <c:pt idx="0">
                    <c:v>1.4407071477153312E-5</c:v>
                  </c:pt>
                  <c:pt idx="1">
                    <c:v>1.4401933404502268E-5</c:v>
                  </c:pt>
                  <c:pt idx="2">
                    <c:v>1.4324840982109601E-5</c:v>
                  </c:pt>
                  <c:pt idx="3">
                    <c:v>1.4448251156830411E-5</c:v>
                  </c:pt>
                  <c:pt idx="4">
                    <c:v>1.4445667725296982E-5</c:v>
                  </c:pt>
                  <c:pt idx="5">
                    <c:v>1.4445666154799098E-5</c:v>
                  </c:pt>
                  <c:pt idx="6">
                    <c:v>1.4443084455465274E-5</c:v>
                  </c:pt>
                  <c:pt idx="7">
                    <c:v>1.4443084209986024E-5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'Resolution and Bias Voltage'!$D$4:$D$11</c:f>
              <c:numCache>
                <c:formatCode>General</c:formatCode>
                <c:ptCount val="8"/>
                <c:pt idx="0">
                  <c:v>1.6</c:v>
                </c:pt>
                <c:pt idx="1">
                  <c:v>1.8</c:v>
                </c:pt>
                <c:pt idx="2">
                  <c:v>2</c:v>
                </c:pt>
                <c:pt idx="3">
                  <c:v>2.2000000000000002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  <c:pt idx="7">
                  <c:v>3</c:v>
                </c:pt>
              </c:numCache>
            </c:numRef>
          </c:cat>
          <c:val>
            <c:numRef>
              <c:f>'Resolution and Bias Voltage'!$E$4:$E$11</c:f>
              <c:numCache>
                <c:formatCode>General</c:formatCode>
                <c:ptCount val="8"/>
                <c:pt idx="0">
                  <c:v>4.9233784746970776E-3</c:v>
                </c:pt>
                <c:pt idx="1">
                  <c:v>4.4923405771286071E-3</c:v>
                </c:pt>
                <c:pt idx="2" formatCode="0.00E+00">
                  <c:v>3.8074770428456776E-3</c:v>
                </c:pt>
                <c:pt idx="3">
                  <c:v>3.8545389563974268E-3</c:v>
                </c:pt>
                <c:pt idx="4">
                  <c:v>3.6591030909415758E-3</c:v>
                </c:pt>
                <c:pt idx="5">
                  <c:v>3.4983026621404319E-3</c:v>
                </c:pt>
                <c:pt idx="6">
                  <c:v>3.3708467309753487E-3</c:v>
                </c:pt>
                <c:pt idx="7">
                  <c:v>3.3440514469453373E-3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8-4487-9DB7-C8B325A5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54624"/>
        <c:axId val="566153968"/>
      </c:lineChart>
      <c:catAx>
        <c:axId val="56615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 voltage (kV)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3968"/>
        <c:crosses val="autoZero"/>
        <c:auto val="1"/>
        <c:lblAlgn val="ctr"/>
        <c:lblOffset val="100"/>
        <c:noMultiLvlLbl val="0"/>
      </c:catAx>
      <c:valAx>
        <c:axId val="566153968"/>
        <c:scaling>
          <c:orientation val="minMax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R=FWHM(chn)/Energy(chn)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5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HPGe Intrinsic Efficiency Elevated Sources</a:t>
            </a:r>
            <a:r>
              <a:rPr lang="en-GB" baseline="0"/>
              <a:t> 5.5cm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68469138991377E-2"/>
          <c:y val="0.12294864105480328"/>
          <c:w val="0.86500674823127988"/>
          <c:h val="0.7169655989388257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rgbClr val="FF0000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27B-4B67-A798-6569430D128E}"/>
              </c:ext>
            </c:extLst>
          </c:dPt>
          <c:dPt>
            <c:idx val="8"/>
            <c:marker>
              <c:symbol val="circle"/>
              <c:size val="6"/>
              <c:spPr>
                <a:solidFill>
                  <a:schemeClr val="accent4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27B-4B67-A798-6569430D128E}"/>
              </c:ext>
            </c:extLst>
          </c:dPt>
          <c:dLbls>
            <c:dLbl>
              <c:idx val="0"/>
              <c:layout>
                <c:manualLayout>
                  <c:x val="-3.1061807172913174E-2"/>
                  <c:y val="6.32125409699391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Am241</a:t>
                    </a:r>
                  </a:p>
                </c:rich>
              </c:tx>
              <c:spPr>
                <a:solidFill>
                  <a:schemeClr val="bg1"/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7B-4B67-A798-6569430D12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2'!$BA$31:$BA$46</c:f>
                <c:numCache>
                  <c:formatCode>General</c:formatCode>
                  <c:ptCount val="16"/>
                  <c:pt idx="0">
                    <c:v>0.49747539418246434</c:v>
                  </c:pt>
                  <c:pt idx="1">
                    <c:v>1.1962093357099328</c:v>
                  </c:pt>
                  <c:pt idx="2">
                    <c:v>0.79962786832357258</c:v>
                  </c:pt>
                  <c:pt idx="3">
                    <c:v>0.80343317377205914</c:v>
                  </c:pt>
                  <c:pt idx="4">
                    <c:v>0.74215804808070962</c:v>
                  </c:pt>
                  <c:pt idx="5">
                    <c:v>0.59111442427602268</c:v>
                  </c:pt>
                  <c:pt idx="6">
                    <c:v>0.60027826487077762</c:v>
                  </c:pt>
                  <c:pt idx="7">
                    <c:v>0.58967715518279895</c:v>
                  </c:pt>
                  <c:pt idx="8">
                    <c:v>0.25684623930952394</c:v>
                  </c:pt>
                  <c:pt idx="9">
                    <c:v>0.27151306335292547</c:v>
                  </c:pt>
                  <c:pt idx="10">
                    <c:v>0.21833087279928093</c:v>
                  </c:pt>
                  <c:pt idx="11">
                    <c:v>0.20369939845764351</c:v>
                  </c:pt>
                  <c:pt idx="12">
                    <c:v>0.19741336860626654</c:v>
                  </c:pt>
                  <c:pt idx="13">
                    <c:v>0.13109990346308237</c:v>
                  </c:pt>
                  <c:pt idx="14">
                    <c:v>0.1219846178046415</c:v>
                  </c:pt>
                  <c:pt idx="15">
                    <c:v>0.14897229914706556</c:v>
                  </c:pt>
                </c:numCache>
              </c:numRef>
            </c:plus>
            <c:minus>
              <c:numRef>
                <c:f>'Reso Cali with Energy Week 2'!$BA$31:$BA$46</c:f>
                <c:numCache>
                  <c:formatCode>General</c:formatCode>
                  <c:ptCount val="16"/>
                  <c:pt idx="0">
                    <c:v>0.49747539418246434</c:v>
                  </c:pt>
                  <c:pt idx="1">
                    <c:v>1.1962093357099328</c:v>
                  </c:pt>
                  <c:pt idx="2">
                    <c:v>0.79962786832357258</c:v>
                  </c:pt>
                  <c:pt idx="3">
                    <c:v>0.80343317377205914</c:v>
                  </c:pt>
                  <c:pt idx="4">
                    <c:v>0.74215804808070962</c:v>
                  </c:pt>
                  <c:pt idx="5">
                    <c:v>0.59111442427602268</c:v>
                  </c:pt>
                  <c:pt idx="6">
                    <c:v>0.60027826487077762</c:v>
                  </c:pt>
                  <c:pt idx="7">
                    <c:v>0.58967715518279895</c:v>
                  </c:pt>
                  <c:pt idx="8">
                    <c:v>0.25684623930952394</c:v>
                  </c:pt>
                  <c:pt idx="9">
                    <c:v>0.27151306335292547</c:v>
                  </c:pt>
                  <c:pt idx="10">
                    <c:v>0.21833087279928093</c:v>
                  </c:pt>
                  <c:pt idx="11">
                    <c:v>0.20369939845764351</c:v>
                  </c:pt>
                  <c:pt idx="12">
                    <c:v>0.19741336860626654</c:v>
                  </c:pt>
                  <c:pt idx="13">
                    <c:v>0.13109990346308237</c:v>
                  </c:pt>
                  <c:pt idx="14">
                    <c:v>0.1219846178046415</c:v>
                  </c:pt>
                  <c:pt idx="15">
                    <c:v>0.14897229914706556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2'!$AY$31:$AY$46</c:f>
              <c:numCache>
                <c:formatCode>General</c:formatCode>
                <c:ptCount val="16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>
                  <c:v>778.90449999999998</c:v>
                </c:pt>
                <c:pt idx="10">
                  <c:v>964.05700000000002</c:v>
                </c:pt>
                <c:pt idx="11">
                  <c:v>1085.837</c:v>
                </c:pt>
                <c:pt idx="12">
                  <c:v>1112.076</c:v>
                </c:pt>
                <c:pt idx="13">
                  <c:v>1173.2280000000001</c:v>
                </c:pt>
                <c:pt idx="14">
                  <c:v>1332.492</c:v>
                </c:pt>
                <c:pt idx="15">
                  <c:v>1408.0129999999999</c:v>
                </c:pt>
              </c:numCache>
            </c:numRef>
          </c:xVal>
          <c:yVal>
            <c:numRef>
              <c:f>'Reso Cali with Energy Week 2'!$AZ$31:$AZ$46</c:f>
              <c:numCache>
                <c:formatCode>0.0000</c:formatCode>
                <c:ptCount val="16"/>
                <c:pt idx="0">
                  <c:v>8.6413825811486316</c:v>
                </c:pt>
                <c:pt idx="1">
                  <c:v>20.968312264369303</c:v>
                </c:pt>
                <c:pt idx="2">
                  <c:v>13.687672453106654</c:v>
                </c:pt>
                <c:pt idx="3">
                  <c:v>13.772700573735822</c:v>
                </c:pt>
                <c:pt idx="4">
                  <c:v>13.143761139369339</c:v>
                </c:pt>
                <c:pt idx="5">
                  <c:v>10.268189661473794</c:v>
                </c:pt>
                <c:pt idx="6">
                  <c:v>10.871655157543579</c:v>
                </c:pt>
                <c:pt idx="7">
                  <c:v>10.094344244690525</c:v>
                </c:pt>
                <c:pt idx="8">
                  <c:v>5.6229319353978697</c:v>
                </c:pt>
                <c:pt idx="9">
                  <c:v>4.5544399772108717</c:v>
                </c:pt>
                <c:pt idx="10">
                  <c:v>3.6641954379229658</c:v>
                </c:pt>
                <c:pt idx="11">
                  <c:v>3.3075924825610543</c:v>
                </c:pt>
                <c:pt idx="12">
                  <c:v>3.2785119423985885</c:v>
                </c:pt>
                <c:pt idx="13">
                  <c:v>2.6228976118147962</c:v>
                </c:pt>
                <c:pt idx="14">
                  <c:v>2.3362005318093049</c:v>
                </c:pt>
                <c:pt idx="15">
                  <c:v>2.5040539540824569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B-4B67-A798-6569430D128E}"/>
            </c:ext>
          </c:extLst>
        </c:ser>
        <c:ser>
          <c:idx val="1"/>
          <c:order val="1"/>
          <c:tx>
            <c:v>Fit w/ Am-241</c:v>
          </c:tx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'Reso Cali with Energy Week 2'!$AY$31:$AY$46</c:f>
              <c:numCache>
                <c:formatCode>General</c:formatCode>
                <c:ptCount val="16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>
                  <c:v>778.90449999999998</c:v>
                </c:pt>
                <c:pt idx="10">
                  <c:v>964.05700000000002</c:v>
                </c:pt>
                <c:pt idx="11">
                  <c:v>1085.837</c:v>
                </c:pt>
                <c:pt idx="12">
                  <c:v>1112.076</c:v>
                </c:pt>
                <c:pt idx="13">
                  <c:v>1173.2280000000001</c:v>
                </c:pt>
                <c:pt idx="14">
                  <c:v>1332.492</c:v>
                </c:pt>
                <c:pt idx="15">
                  <c:v>1408.0129999999999</c:v>
                </c:pt>
              </c:numCache>
            </c:numRef>
          </c:xVal>
          <c:yVal>
            <c:numRef>
              <c:f>'Reso Cali with Energy Week 2'!$BB$31:$BB$46</c:f>
              <c:numCache>
                <c:formatCode>0.00E+00</c:formatCode>
                <c:ptCount val="16"/>
                <c:pt idx="0">
                  <c:v>13.818225203368367</c:v>
                </c:pt>
                <c:pt idx="1">
                  <c:v>9.7811494359219502</c:v>
                </c:pt>
                <c:pt idx="2">
                  <c:v>6.9832084990536067</c:v>
                </c:pt>
                <c:pt idx="3">
                  <c:v>6.5842665523613118</c:v>
                </c:pt>
                <c:pt idx="4">
                  <c:v>6.3000037836430325</c:v>
                </c:pt>
                <c:pt idx="5">
                  <c:v>5.9217980814815352</c:v>
                </c:pt>
                <c:pt idx="6">
                  <c:v>5.826730126663878</c:v>
                </c:pt>
                <c:pt idx="7">
                  <c:v>5.6187231749740674</c:v>
                </c:pt>
                <c:pt idx="8">
                  <c:v>4.3196642843423332</c:v>
                </c:pt>
                <c:pt idx="9">
                  <c:v>3.9924313842633161</c:v>
                </c:pt>
                <c:pt idx="10">
                  <c:v>3.6017538171202834</c:v>
                </c:pt>
                <c:pt idx="11">
                  <c:v>3.4006944971907189</c:v>
                </c:pt>
                <c:pt idx="12">
                  <c:v>3.3617100686707126</c:v>
                </c:pt>
                <c:pt idx="13">
                  <c:v>3.2759278701439354</c:v>
                </c:pt>
                <c:pt idx="14">
                  <c:v>3.0806316782216614</c:v>
                </c:pt>
                <c:pt idx="15">
                  <c:v>2.9997059577927918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96-4A32-B9CB-D029329DC03F}"/>
            </c:ext>
          </c:extLst>
        </c:ser>
        <c:ser>
          <c:idx val="2"/>
          <c:order val="2"/>
          <c:tx>
            <c:v>Fit w/out Am-241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4.5823878760161363E-2"/>
                  <c:y val="-0.179236936338038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χ</a:t>
                    </a:r>
                    <a:r>
                      <a:rPr lang="el-GR" sz="1200" b="0" i="0" u="none" strike="noStrike" kern="1200" baseline="30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</a:t>
                    </a:r>
                    <a:r>
                      <a:rPr lang="el-GR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/</a:t>
                    </a:r>
                    <a:r>
                      <a:rPr lang="en-US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ndf = 63.82/13</a:t>
                    </a:r>
                  </a:p>
                  <a:p>
                    <a:pPr>
                      <a:defRPr/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Constant = 2738.6 +/- 313.5</a:t>
                    </a:r>
                  </a:p>
                  <a:p>
                    <a:pPr>
                      <a:defRPr/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Exponent = -0.97 +/- 0.02</a:t>
                    </a:r>
                    <a:endParaRPr lang="en-US" sz="12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508259512116204"/>
                      <c:h val="0.180009509339495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996-4A32-B9CB-D029329DC0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 Cali with Energy Week 2'!$AY$31:$AY$46</c:f>
              <c:numCache>
                <c:formatCode>General</c:formatCode>
                <c:ptCount val="16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>
                  <c:v>778.90449999999998</c:v>
                </c:pt>
                <c:pt idx="10">
                  <c:v>964.05700000000002</c:v>
                </c:pt>
                <c:pt idx="11">
                  <c:v>1085.837</c:v>
                </c:pt>
                <c:pt idx="12">
                  <c:v>1112.076</c:v>
                </c:pt>
                <c:pt idx="13">
                  <c:v>1173.2280000000001</c:v>
                </c:pt>
                <c:pt idx="14">
                  <c:v>1332.492</c:v>
                </c:pt>
                <c:pt idx="15">
                  <c:v>1408.0129999999999</c:v>
                </c:pt>
              </c:numCache>
            </c:numRef>
          </c:xVal>
          <c:yVal>
            <c:numRef>
              <c:f>'Reso Cali with Energy Week 2'!$BD$31:$BD$46</c:f>
              <c:numCache>
                <c:formatCode>0.00E+00</c:formatCode>
                <c:ptCount val="16"/>
                <c:pt idx="0">
                  <c:v>53.064388219011335</c:v>
                </c:pt>
                <c:pt idx="1">
                  <c:v>26.601619282510573</c:v>
                </c:pt>
                <c:pt idx="2">
                  <c:v>13.566326204245604</c:v>
                </c:pt>
                <c:pt idx="3">
                  <c:v>12.061633945271355</c:v>
                </c:pt>
                <c:pt idx="4">
                  <c:v>11.0433869300012</c:v>
                </c:pt>
                <c:pt idx="5">
                  <c:v>9.7581840842572358</c:v>
                </c:pt>
                <c:pt idx="6">
                  <c:v>9.4476192128687639</c:v>
                </c:pt>
                <c:pt idx="7">
                  <c:v>8.7856117214660205</c:v>
                </c:pt>
                <c:pt idx="8">
                  <c:v>5.1948316674771453</c:v>
                </c:pt>
                <c:pt idx="9">
                  <c:v>4.438117222778315</c:v>
                </c:pt>
                <c:pt idx="10">
                  <c:v>3.6126038668488678</c:v>
                </c:pt>
                <c:pt idx="11">
                  <c:v>3.2208144628170277</c:v>
                </c:pt>
                <c:pt idx="12">
                  <c:v>3.1474485783121993</c:v>
                </c:pt>
                <c:pt idx="13">
                  <c:v>2.988986652031203</c:v>
                </c:pt>
                <c:pt idx="14">
                  <c:v>2.6434781279144519</c:v>
                </c:pt>
                <c:pt idx="15">
                  <c:v>2.5065203330282011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96-4A32-B9CB-D029329DC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1256"/>
        <c:axId val="720442568"/>
        <c:extLst/>
      </c:scatterChart>
      <c:valAx>
        <c:axId val="720441256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42568"/>
        <c:crosses val="autoZero"/>
        <c:crossBetween val="midCat"/>
      </c:valAx>
      <c:valAx>
        <c:axId val="7204425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Intrinsic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41256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1964054054826077"/>
          <c:y val="0.11902052829880155"/>
          <c:w val="0.23692096705982357"/>
          <c:h val="0.36194282496547575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HPGe Intrinsic Efficiency Residuals w/out Am-241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 NO Am241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('Reso Cali with Energy Week 2'!$BA$32:$BA$38,'Reso Cali with Energy Week 2'!$BA$40:$BA$46)</c:f>
                <c:numCache>
                  <c:formatCode>General</c:formatCode>
                  <c:ptCount val="14"/>
                  <c:pt idx="0">
                    <c:v>1.1962093357099328</c:v>
                  </c:pt>
                  <c:pt idx="1">
                    <c:v>0.79962786832357258</c:v>
                  </c:pt>
                  <c:pt idx="2">
                    <c:v>0.80343317377205914</c:v>
                  </c:pt>
                  <c:pt idx="3">
                    <c:v>0.74215804808070962</c:v>
                  </c:pt>
                  <c:pt idx="4">
                    <c:v>0.59111442427602268</c:v>
                  </c:pt>
                  <c:pt idx="5">
                    <c:v>0.60027826487077762</c:v>
                  </c:pt>
                  <c:pt idx="6">
                    <c:v>0.58967715518279895</c:v>
                  </c:pt>
                  <c:pt idx="7">
                    <c:v>0.27151306335292547</c:v>
                  </c:pt>
                  <c:pt idx="8">
                    <c:v>0.21833087279928093</c:v>
                  </c:pt>
                  <c:pt idx="9">
                    <c:v>0.20369939845764351</c:v>
                  </c:pt>
                  <c:pt idx="10">
                    <c:v>0.19741336860626654</c:v>
                  </c:pt>
                  <c:pt idx="11">
                    <c:v>0.13109990346308237</c:v>
                  </c:pt>
                  <c:pt idx="12">
                    <c:v>0.1219846178046415</c:v>
                  </c:pt>
                  <c:pt idx="13">
                    <c:v>0.14897229914706556</c:v>
                  </c:pt>
                </c:numCache>
              </c:numRef>
            </c:plus>
            <c:minus>
              <c:numRef>
                <c:f>('Reso Cali with Energy Week 2'!$BA$32:$BA$38,'Reso Cali with Energy Week 2'!$BA$40:$BA$46)</c:f>
                <c:numCache>
                  <c:formatCode>General</c:formatCode>
                  <c:ptCount val="14"/>
                  <c:pt idx="0">
                    <c:v>1.1962093357099328</c:v>
                  </c:pt>
                  <c:pt idx="1">
                    <c:v>0.79962786832357258</c:v>
                  </c:pt>
                  <c:pt idx="2">
                    <c:v>0.80343317377205914</c:v>
                  </c:pt>
                  <c:pt idx="3">
                    <c:v>0.74215804808070962</c:v>
                  </c:pt>
                  <c:pt idx="4">
                    <c:v>0.59111442427602268</c:v>
                  </c:pt>
                  <c:pt idx="5">
                    <c:v>0.60027826487077762</c:v>
                  </c:pt>
                  <c:pt idx="6">
                    <c:v>0.58967715518279895</c:v>
                  </c:pt>
                  <c:pt idx="7">
                    <c:v>0.27151306335292547</c:v>
                  </c:pt>
                  <c:pt idx="8">
                    <c:v>0.21833087279928093</c:v>
                  </c:pt>
                  <c:pt idx="9">
                    <c:v>0.20369939845764351</c:v>
                  </c:pt>
                  <c:pt idx="10">
                    <c:v>0.19741336860626654</c:v>
                  </c:pt>
                  <c:pt idx="11">
                    <c:v>0.13109990346308237</c:v>
                  </c:pt>
                  <c:pt idx="12">
                    <c:v>0.1219846178046415</c:v>
                  </c:pt>
                  <c:pt idx="13">
                    <c:v>0.14897229914706556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2'!$AY$32:$AY$46</c:f>
              <c:numCache>
                <c:formatCode>General</c:formatCode>
                <c:ptCount val="15"/>
                <c:pt idx="0">
                  <c:v>121.7817</c:v>
                </c:pt>
                <c:pt idx="1">
                  <c:v>244.69739999999999</c:v>
                </c:pt>
                <c:pt idx="2">
                  <c:v>276.39890000000003</c:v>
                </c:pt>
                <c:pt idx="3">
                  <c:v>302.85079999999999</c:v>
                </c:pt>
                <c:pt idx="4">
                  <c:v>344.27850000000001</c:v>
                </c:pt>
                <c:pt idx="5">
                  <c:v>356.0129</c:v>
                </c:pt>
                <c:pt idx="6">
                  <c:v>383.8485</c:v>
                </c:pt>
                <c:pt idx="7">
                  <c:v>661.65700000000004</c:v>
                </c:pt>
                <c:pt idx="8">
                  <c:v>778.90449999999998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1112.076</c:v>
                </c:pt>
                <c:pt idx="12">
                  <c:v>1173.2280000000001</c:v>
                </c:pt>
                <c:pt idx="13">
                  <c:v>1332.492</c:v>
                </c:pt>
                <c:pt idx="14">
                  <c:v>1408.0129999999999</c:v>
                </c:pt>
              </c:numCache>
            </c:numRef>
          </c:xVal>
          <c:yVal>
            <c:numRef>
              <c:f>'Reso Cali with Energy Week 2'!$BE$32:$BE$46</c:f>
              <c:numCache>
                <c:formatCode>0.00E+00</c:formatCode>
                <c:ptCount val="15"/>
                <c:pt idx="0">
                  <c:v>-5.6333070181412701</c:v>
                </c:pt>
                <c:pt idx="1">
                  <c:v>0.12134624886104994</c:v>
                </c:pt>
                <c:pt idx="2">
                  <c:v>1.7110666284644669</c:v>
                </c:pt>
                <c:pt idx="3">
                  <c:v>2.1003742093681392</c:v>
                </c:pt>
                <c:pt idx="4">
                  <c:v>0.51000557721655859</c:v>
                </c:pt>
                <c:pt idx="5">
                  <c:v>1.4240359446748148</c:v>
                </c:pt>
                <c:pt idx="6">
                  <c:v>1.3087325232245046</c:v>
                </c:pt>
                <c:pt idx="7">
                  <c:v>0.42810026792072442</c:v>
                </c:pt>
                <c:pt idx="8">
                  <c:v>0.11632275443255669</c:v>
                </c:pt>
                <c:pt idx="9">
                  <c:v>5.1591571074097953E-2</c:v>
                </c:pt>
                <c:pt idx="10">
                  <c:v>8.6778019744026658E-2</c:v>
                </c:pt>
                <c:pt idx="11">
                  <c:v>0.13106336408638919</c:v>
                </c:pt>
                <c:pt idx="12">
                  <c:v>-0.36608904021640676</c:v>
                </c:pt>
                <c:pt idx="13">
                  <c:v>-0.30727759610514704</c:v>
                </c:pt>
                <c:pt idx="14">
                  <c:v>-2.4663789457441965E-3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4-4119-BCA2-CF9908F2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08160"/>
        <c:axId val="733216688"/>
      </c:scatterChart>
      <c:valAx>
        <c:axId val="733208160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16688"/>
        <c:crosses val="autoZero"/>
        <c:crossBetween val="midCat"/>
      </c:valAx>
      <c:valAx>
        <c:axId val="733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Intrinsic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HPGe Intrinsic Efficiency Non-Elevated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568469138991377E-2"/>
          <c:y val="0.12294864105480328"/>
          <c:w val="0.86500674823127988"/>
          <c:h val="0.7169655989388257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rgbClr val="FF0000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2A0-4A1F-912E-756CB25F6896}"/>
              </c:ext>
            </c:extLst>
          </c:dPt>
          <c:dLbls>
            <c:dLbl>
              <c:idx val="0"/>
              <c:layout>
                <c:manualLayout>
                  <c:x val="-2.7451842541990033E-3"/>
                  <c:y val="0.1595253998560672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Am241 - outlier</a:t>
                    </a:r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A0-4A1F-912E-756CB25F68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2'!$BV$85:$BV$99</c:f>
                <c:numCache>
                  <c:formatCode>General</c:formatCode>
                  <c:ptCount val="15"/>
                  <c:pt idx="0">
                    <c:v>0.42873015746004023</c:v>
                  </c:pt>
                  <c:pt idx="1">
                    <c:v>0.9647477142884765</c:v>
                  </c:pt>
                  <c:pt idx="2">
                    <c:v>0.58746484698309809</c:v>
                  </c:pt>
                  <c:pt idx="3">
                    <c:v>0.83167444835736892</c:v>
                  </c:pt>
                  <c:pt idx="4">
                    <c:v>0.83024432806899451</c:v>
                  </c:pt>
                  <c:pt idx="5">
                    <c:v>0.50303608498249386</c:v>
                  </c:pt>
                  <c:pt idx="6">
                    <c:v>0.70371520143240729</c:v>
                  </c:pt>
                  <c:pt idx="7">
                    <c:v>0.79325620102934702</c:v>
                  </c:pt>
                  <c:pt idx="8">
                    <c:v>0.20494686515403196</c:v>
                  </c:pt>
                  <c:pt idx="9">
                    <c:v>0.18942251187273818</c:v>
                  </c:pt>
                  <c:pt idx="10">
                    <c:v>0.20331127575585717</c:v>
                  </c:pt>
                  <c:pt idx="11">
                    <c:v>0.17996466725847451</c:v>
                  </c:pt>
                  <c:pt idx="12">
                    <c:v>9.2742924409871114E-2</c:v>
                  </c:pt>
                  <c:pt idx="13">
                    <c:v>8.1057978985432808E-2</c:v>
                  </c:pt>
                  <c:pt idx="14">
                    <c:v>0.14087978401893983</c:v>
                  </c:pt>
                </c:numCache>
              </c:numRef>
            </c:plus>
            <c:minus>
              <c:numRef>
                <c:f>'Reso Cali with Energy Week 2'!$BV$85:$BV$99</c:f>
                <c:numCache>
                  <c:formatCode>General</c:formatCode>
                  <c:ptCount val="15"/>
                  <c:pt idx="0">
                    <c:v>0.42873015746004023</c:v>
                  </c:pt>
                  <c:pt idx="1">
                    <c:v>0.9647477142884765</c:v>
                  </c:pt>
                  <c:pt idx="2">
                    <c:v>0.58746484698309809</c:v>
                  </c:pt>
                  <c:pt idx="3">
                    <c:v>0.83167444835736892</c:v>
                  </c:pt>
                  <c:pt idx="4">
                    <c:v>0.83024432806899451</c:v>
                  </c:pt>
                  <c:pt idx="5">
                    <c:v>0.50303608498249386</c:v>
                  </c:pt>
                  <c:pt idx="6">
                    <c:v>0.70371520143240729</c:v>
                  </c:pt>
                  <c:pt idx="7">
                    <c:v>0.79325620102934702</c:v>
                  </c:pt>
                  <c:pt idx="8">
                    <c:v>0.20494686515403196</c:v>
                  </c:pt>
                  <c:pt idx="9">
                    <c:v>0.18942251187273818</c:v>
                  </c:pt>
                  <c:pt idx="10">
                    <c:v>0.20331127575585717</c:v>
                  </c:pt>
                  <c:pt idx="11">
                    <c:v>0.17996466725847451</c:v>
                  </c:pt>
                  <c:pt idx="12">
                    <c:v>9.2742924409871114E-2</c:v>
                  </c:pt>
                  <c:pt idx="13">
                    <c:v>8.1057978985432808E-2</c:v>
                  </c:pt>
                  <c:pt idx="14">
                    <c:v>0.14087978401893983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2'!$BT$85:$BT$99</c:f>
              <c:numCache>
                <c:formatCode>General</c:formatCode>
                <c:ptCount val="15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778.90449999999998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1112.076</c:v>
                </c:pt>
                <c:pt idx="12">
                  <c:v>1173.2280000000001</c:v>
                </c:pt>
                <c:pt idx="13">
                  <c:v>1332.492</c:v>
                </c:pt>
                <c:pt idx="14">
                  <c:v>1408.0129999999999</c:v>
                </c:pt>
              </c:numCache>
            </c:numRef>
          </c:xVal>
          <c:yVal>
            <c:numRef>
              <c:f>'Reso Cali with Energy Week 2'!$BU$85:$BU$99</c:f>
              <c:numCache>
                <c:formatCode>General</c:formatCode>
                <c:ptCount val="15"/>
                <c:pt idx="0">
                  <c:v>8.0765324095779505</c:v>
                </c:pt>
                <c:pt idx="1">
                  <c:v>18.426680924239331</c:v>
                </c:pt>
                <c:pt idx="2">
                  <c:v>11.146781370813631</c:v>
                </c:pt>
                <c:pt idx="3">
                  <c:v>16.279116632067051</c:v>
                </c:pt>
                <c:pt idx="4">
                  <c:v>16.349334519868698</c:v>
                </c:pt>
                <c:pt idx="5">
                  <c:v>9.5537096922112603</c:v>
                </c:pt>
                <c:pt idx="6">
                  <c:v>14.027611942984567</c:v>
                </c:pt>
                <c:pt idx="7">
                  <c:v>15.573963339604649</c:v>
                </c:pt>
                <c:pt idx="8">
                  <c:v>3.8576223690555786</c:v>
                </c:pt>
                <c:pt idx="9">
                  <c:v>3.5815286322891571</c:v>
                </c:pt>
                <c:pt idx="10">
                  <c:v>3.8095375762960293</c:v>
                </c:pt>
                <c:pt idx="11">
                  <c:v>3.3882390927479897</c:v>
                </c:pt>
                <c:pt idx="12">
                  <c:v>3.4276638939313027</c:v>
                </c:pt>
                <c:pt idx="13">
                  <c:v>2.9531471205897191</c:v>
                </c:pt>
                <c:pt idx="14">
                  <c:v>2.6740869381746211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0-4A1F-912E-756CB25F6896}"/>
            </c:ext>
          </c:extLst>
        </c:ser>
        <c:ser>
          <c:idx val="1"/>
          <c:order val="1"/>
          <c:tx>
            <c:v>Fit w/ Am241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'Reso Cali with Energy Week 2'!$BT$85:$BT$99</c:f>
              <c:numCache>
                <c:formatCode>General</c:formatCode>
                <c:ptCount val="15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778.90449999999998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1112.076</c:v>
                </c:pt>
                <c:pt idx="12">
                  <c:v>1173.2280000000001</c:v>
                </c:pt>
                <c:pt idx="13">
                  <c:v>1332.492</c:v>
                </c:pt>
                <c:pt idx="14">
                  <c:v>1408.0129999999999</c:v>
                </c:pt>
              </c:numCache>
            </c:numRef>
          </c:xVal>
          <c:yVal>
            <c:numRef>
              <c:f>'Reso Cali with Energy Week 2'!$BW$85:$BW$99</c:f>
              <c:numCache>
                <c:formatCode>0.00E+00</c:formatCode>
                <c:ptCount val="15"/>
                <c:pt idx="0">
                  <c:v>12.64735037417104</c:v>
                </c:pt>
                <c:pt idx="1">
                  <c:v>9.2719208450985455</c:v>
                </c:pt>
                <c:pt idx="2">
                  <c:v>6.8499751802982143</c:v>
                </c:pt>
                <c:pt idx="3">
                  <c:v>6.4973263376588859</c:v>
                </c:pt>
                <c:pt idx="4">
                  <c:v>6.2447297715301175</c:v>
                </c:pt>
                <c:pt idx="5">
                  <c:v>5.9068467451284183</c:v>
                </c:pt>
                <c:pt idx="6">
                  <c:v>5.8215747793721659</c:v>
                </c:pt>
                <c:pt idx="7">
                  <c:v>5.6345047216596154</c:v>
                </c:pt>
                <c:pt idx="8">
                  <c:v>4.1449508340530778</c:v>
                </c:pt>
                <c:pt idx="9">
                  <c:v>3.7786419004936378</c:v>
                </c:pt>
                <c:pt idx="10">
                  <c:v>3.588571390658521</c:v>
                </c:pt>
                <c:pt idx="11">
                  <c:v>3.5515874640294389</c:v>
                </c:pt>
                <c:pt idx="12">
                  <c:v>3.4700530306315702</c:v>
                </c:pt>
                <c:pt idx="13">
                  <c:v>3.2836077339745886</c:v>
                </c:pt>
                <c:pt idx="14">
                  <c:v>3.2060015082650852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0-4A1F-912E-756CB25F6896}"/>
            </c:ext>
          </c:extLst>
        </c:ser>
        <c:ser>
          <c:idx val="4"/>
          <c:order val="2"/>
          <c:tx>
            <c:v>Fit w/out Am241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'Reso Cali with Energy Week 2'!$BT$85:$BT$99</c:f>
              <c:numCache>
                <c:formatCode>General</c:formatCode>
                <c:ptCount val="15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778.90449999999998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1112.076</c:v>
                </c:pt>
                <c:pt idx="12">
                  <c:v>1173.2280000000001</c:v>
                </c:pt>
                <c:pt idx="13">
                  <c:v>1332.492</c:v>
                </c:pt>
                <c:pt idx="14">
                  <c:v>1408.0129999999999</c:v>
                </c:pt>
              </c:numCache>
            </c:numRef>
          </c:xVal>
          <c:yVal>
            <c:numRef>
              <c:f>'Reso Cali with Energy Week 2'!$BY$85:$BY$99</c:f>
              <c:numCache>
                <c:formatCode>0.00E+00</c:formatCode>
                <c:ptCount val="15"/>
                <c:pt idx="0">
                  <c:v>43.648496276560053</c:v>
                </c:pt>
                <c:pt idx="1">
                  <c:v>23.558728196004051</c:v>
                </c:pt>
                <c:pt idx="2">
                  <c:v>12.911802404237909</c:v>
                </c:pt>
                <c:pt idx="3">
                  <c:v>11.624970744029016</c:v>
                </c:pt>
                <c:pt idx="4">
                  <c:v>10.744472637278783</c:v>
                </c:pt>
                <c:pt idx="5">
                  <c:v>9.6205364348716493</c:v>
                </c:pt>
                <c:pt idx="6">
                  <c:v>9.3466317105319305</c:v>
                </c:pt>
                <c:pt idx="7">
                  <c:v>8.7595031770113589</c:v>
                </c:pt>
                <c:pt idx="8">
                  <c:v>4.7602368932744161</c:v>
                </c:pt>
                <c:pt idx="9">
                  <c:v>3.9610499002543209</c:v>
                </c:pt>
                <c:pt idx="10">
                  <c:v>3.5751006602331814</c:v>
                </c:pt>
                <c:pt idx="11">
                  <c:v>3.5022858903901084</c:v>
                </c:pt>
                <c:pt idx="12">
                  <c:v>3.3443875908556064</c:v>
                </c:pt>
                <c:pt idx="13">
                  <c:v>2.9969164266996509</c:v>
                </c:pt>
                <c:pt idx="14">
                  <c:v>2.8578633933198447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A0-4A1F-912E-756CB25F6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1256"/>
        <c:axId val="720442568"/>
      </c:scatterChart>
      <c:valAx>
        <c:axId val="720441256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42568"/>
        <c:crosses val="autoZero"/>
        <c:crossBetween val="midCat"/>
        <c:majorUnit val="200"/>
      </c:valAx>
      <c:valAx>
        <c:axId val="72044256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Intrinsic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41256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4806999260549645"/>
          <c:y val="0.17772902724858702"/>
          <c:w val="0.20894754747407643"/>
          <c:h val="0.25676073912289282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HPGe Intrinsic Efficiency Residuals No Am 241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 NO Am241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4"/>
                </a:solidFill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13-486C-AD4E-DC397ED2E9E3}"/>
              </c:ext>
            </c:extLst>
          </c:dPt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2'!$BV$86:$BV$99</c:f>
                <c:numCache>
                  <c:formatCode>General</c:formatCode>
                  <c:ptCount val="14"/>
                  <c:pt idx="0">
                    <c:v>0.9647477142884765</c:v>
                  </c:pt>
                  <c:pt idx="1">
                    <c:v>0.58746484698309809</c:v>
                  </c:pt>
                  <c:pt idx="2">
                    <c:v>0.83167444835736892</c:v>
                  </c:pt>
                  <c:pt idx="3">
                    <c:v>0.83024432806899451</c:v>
                  </c:pt>
                  <c:pt idx="4">
                    <c:v>0.50303608498249386</c:v>
                  </c:pt>
                  <c:pt idx="5">
                    <c:v>0.70371520143240729</c:v>
                  </c:pt>
                  <c:pt idx="6">
                    <c:v>0.79325620102934702</c:v>
                  </c:pt>
                  <c:pt idx="7">
                    <c:v>0.20494686515403196</c:v>
                  </c:pt>
                  <c:pt idx="8">
                    <c:v>0.18942251187273818</c:v>
                  </c:pt>
                  <c:pt idx="9">
                    <c:v>0.20331127575585717</c:v>
                  </c:pt>
                  <c:pt idx="10">
                    <c:v>0.17996466725847451</c:v>
                  </c:pt>
                  <c:pt idx="11">
                    <c:v>9.2742924409871114E-2</c:v>
                  </c:pt>
                  <c:pt idx="12">
                    <c:v>8.1057978985432808E-2</c:v>
                  </c:pt>
                  <c:pt idx="13">
                    <c:v>0.14087978401893983</c:v>
                  </c:pt>
                </c:numCache>
              </c:numRef>
            </c:plus>
            <c:minus>
              <c:numRef>
                <c:f>'Reso Cali with Energy Week 2'!$BV$86:$BV$99</c:f>
                <c:numCache>
                  <c:formatCode>General</c:formatCode>
                  <c:ptCount val="14"/>
                  <c:pt idx="0">
                    <c:v>0.9647477142884765</c:v>
                  </c:pt>
                  <c:pt idx="1">
                    <c:v>0.58746484698309809</c:v>
                  </c:pt>
                  <c:pt idx="2">
                    <c:v>0.83167444835736892</c:v>
                  </c:pt>
                  <c:pt idx="3">
                    <c:v>0.83024432806899451</c:v>
                  </c:pt>
                  <c:pt idx="4">
                    <c:v>0.50303608498249386</c:v>
                  </c:pt>
                  <c:pt idx="5">
                    <c:v>0.70371520143240729</c:v>
                  </c:pt>
                  <c:pt idx="6">
                    <c:v>0.79325620102934702</c:v>
                  </c:pt>
                  <c:pt idx="7">
                    <c:v>0.20494686515403196</c:v>
                  </c:pt>
                  <c:pt idx="8">
                    <c:v>0.18942251187273818</c:v>
                  </c:pt>
                  <c:pt idx="9">
                    <c:v>0.20331127575585717</c:v>
                  </c:pt>
                  <c:pt idx="10">
                    <c:v>0.17996466725847451</c:v>
                  </c:pt>
                  <c:pt idx="11">
                    <c:v>9.2742924409871114E-2</c:v>
                  </c:pt>
                  <c:pt idx="12">
                    <c:v>8.1057978985432808E-2</c:v>
                  </c:pt>
                  <c:pt idx="13">
                    <c:v>0.14087978401893983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2'!$BT$86:$BT$99</c:f>
              <c:numCache>
                <c:formatCode>General</c:formatCode>
                <c:ptCount val="14"/>
                <c:pt idx="0">
                  <c:v>121.7817</c:v>
                </c:pt>
                <c:pt idx="1">
                  <c:v>244.69739999999999</c:v>
                </c:pt>
                <c:pt idx="2">
                  <c:v>276.39890000000003</c:v>
                </c:pt>
                <c:pt idx="3">
                  <c:v>302.85079999999999</c:v>
                </c:pt>
                <c:pt idx="4">
                  <c:v>344.27850000000001</c:v>
                </c:pt>
                <c:pt idx="5">
                  <c:v>356.0129</c:v>
                </c:pt>
                <c:pt idx="6">
                  <c:v>383.8485</c:v>
                </c:pt>
                <c:pt idx="7">
                  <c:v>778.90449999999998</c:v>
                </c:pt>
                <c:pt idx="8">
                  <c:v>964.05700000000002</c:v>
                </c:pt>
                <c:pt idx="9">
                  <c:v>1085.837</c:v>
                </c:pt>
                <c:pt idx="10">
                  <c:v>1112.076</c:v>
                </c:pt>
                <c:pt idx="11">
                  <c:v>1173.2280000000001</c:v>
                </c:pt>
                <c:pt idx="12">
                  <c:v>1332.492</c:v>
                </c:pt>
                <c:pt idx="13">
                  <c:v>1408.0129999999999</c:v>
                </c:pt>
              </c:numCache>
            </c:numRef>
          </c:xVal>
          <c:yVal>
            <c:numRef>
              <c:f>'Reso Cali with Energy Week 2'!$BZ$86:$BZ$99</c:f>
              <c:numCache>
                <c:formatCode>General</c:formatCode>
                <c:ptCount val="14"/>
                <c:pt idx="0">
                  <c:v>-5.1320472717647192</c:v>
                </c:pt>
                <c:pt idx="1">
                  <c:v>-1.7650210334242775</c:v>
                </c:pt>
                <c:pt idx="2">
                  <c:v>4.6541458880380357</c:v>
                </c:pt>
                <c:pt idx="3">
                  <c:v>5.6048618825899155</c:v>
                </c:pt>
                <c:pt idx="4">
                  <c:v>-6.6826742660389016E-2</c:v>
                </c:pt>
                <c:pt idx="5">
                  <c:v>4.6809802324526366</c:v>
                </c:pt>
                <c:pt idx="6">
                  <c:v>6.8144601625932903</c:v>
                </c:pt>
                <c:pt idx="7">
                  <c:v>-0.90261452421883748</c:v>
                </c:pt>
                <c:pt idx="8">
                  <c:v>-0.37952126796516383</c:v>
                </c:pt>
                <c:pt idx="9">
                  <c:v>0.23443691606284789</c:v>
                </c:pt>
                <c:pt idx="10">
                  <c:v>-0.11404679764211867</c:v>
                </c:pt>
                <c:pt idx="11">
                  <c:v>8.3276303075696223E-2</c:v>
                </c:pt>
                <c:pt idx="12">
                  <c:v>-4.3769306109931794E-2</c:v>
                </c:pt>
                <c:pt idx="13">
                  <c:v>-0.18377645514522367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3-486C-AD4E-DC397ED2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08160"/>
        <c:axId val="733216688"/>
      </c:scatterChart>
      <c:valAx>
        <c:axId val="733208160"/>
        <c:scaling>
          <c:orientation val="minMax"/>
          <c:max val="1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16688"/>
        <c:crosses val="autoZero"/>
        <c:crossBetween val="midCat"/>
      </c:valAx>
      <c:valAx>
        <c:axId val="733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Intrinsic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2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HPGe Intrinsic Efficiency Elevated &amp; Non-Elevated Sources -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8811256747038"/>
          <c:y val="0.15465171712480014"/>
          <c:w val="0.8468870726011416"/>
          <c:h val="0.68526246215701236"/>
        </c:manualLayout>
      </c:layout>
      <c:scatterChart>
        <c:scatterStyle val="lineMarker"/>
        <c:varyColors val="0"/>
        <c:ser>
          <c:idx val="0"/>
          <c:order val="0"/>
          <c:tx>
            <c:v>Data - Non-Elevated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2'!$BV$85:$BV$99</c:f>
                <c:numCache>
                  <c:formatCode>General</c:formatCode>
                  <c:ptCount val="15"/>
                  <c:pt idx="0">
                    <c:v>0.42873015746004023</c:v>
                  </c:pt>
                  <c:pt idx="1">
                    <c:v>0.9647477142884765</c:v>
                  </c:pt>
                  <c:pt idx="2">
                    <c:v>0.58746484698309809</c:v>
                  </c:pt>
                  <c:pt idx="3">
                    <c:v>0.83167444835736892</c:v>
                  </c:pt>
                  <c:pt idx="4">
                    <c:v>0.83024432806899451</c:v>
                  </c:pt>
                  <c:pt idx="5">
                    <c:v>0.50303608498249386</c:v>
                  </c:pt>
                  <c:pt idx="6">
                    <c:v>0.70371520143240729</c:v>
                  </c:pt>
                  <c:pt idx="7">
                    <c:v>0.79325620102934702</c:v>
                  </c:pt>
                  <c:pt idx="8">
                    <c:v>0.20494686515403196</c:v>
                  </c:pt>
                  <c:pt idx="9">
                    <c:v>0.18942251187273818</c:v>
                  </c:pt>
                  <c:pt idx="10">
                    <c:v>0.20331127575585717</c:v>
                  </c:pt>
                  <c:pt idx="11">
                    <c:v>0.17996466725847451</c:v>
                  </c:pt>
                  <c:pt idx="12">
                    <c:v>9.2742924409871114E-2</c:v>
                  </c:pt>
                  <c:pt idx="13">
                    <c:v>8.1057978985432808E-2</c:v>
                  </c:pt>
                  <c:pt idx="14">
                    <c:v>0.14087978401893983</c:v>
                  </c:pt>
                </c:numCache>
              </c:numRef>
            </c:plus>
            <c:minus>
              <c:numRef>
                <c:f>'Reso Cali with Energy Week 2'!$BV$85:$BV$99</c:f>
                <c:numCache>
                  <c:formatCode>General</c:formatCode>
                  <c:ptCount val="15"/>
                  <c:pt idx="0">
                    <c:v>0.42873015746004023</c:v>
                  </c:pt>
                  <c:pt idx="1">
                    <c:v>0.9647477142884765</c:v>
                  </c:pt>
                  <c:pt idx="2">
                    <c:v>0.58746484698309809</c:v>
                  </c:pt>
                  <c:pt idx="3">
                    <c:v>0.83167444835736892</c:v>
                  </c:pt>
                  <c:pt idx="4">
                    <c:v>0.83024432806899451</c:v>
                  </c:pt>
                  <c:pt idx="5">
                    <c:v>0.50303608498249386</c:v>
                  </c:pt>
                  <c:pt idx="6">
                    <c:v>0.70371520143240729</c:v>
                  </c:pt>
                  <c:pt idx="7">
                    <c:v>0.79325620102934702</c:v>
                  </c:pt>
                  <c:pt idx="8">
                    <c:v>0.20494686515403196</c:v>
                  </c:pt>
                  <c:pt idx="9">
                    <c:v>0.18942251187273818</c:v>
                  </c:pt>
                  <c:pt idx="10">
                    <c:v>0.20331127575585717</c:v>
                  </c:pt>
                  <c:pt idx="11">
                    <c:v>0.17996466725847451</c:v>
                  </c:pt>
                  <c:pt idx="12">
                    <c:v>9.2742924409871114E-2</c:v>
                  </c:pt>
                  <c:pt idx="13">
                    <c:v>8.1057978985432808E-2</c:v>
                  </c:pt>
                  <c:pt idx="14">
                    <c:v>0.14087978401893983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2'!$BT$85:$BT$99</c:f>
              <c:numCache>
                <c:formatCode>General</c:formatCode>
                <c:ptCount val="15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778.90449999999998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1112.076</c:v>
                </c:pt>
                <c:pt idx="12">
                  <c:v>1173.2280000000001</c:v>
                </c:pt>
                <c:pt idx="13">
                  <c:v>1332.492</c:v>
                </c:pt>
                <c:pt idx="14">
                  <c:v>1408.0129999999999</c:v>
                </c:pt>
              </c:numCache>
            </c:numRef>
          </c:xVal>
          <c:yVal>
            <c:numRef>
              <c:f>'Reso Cali with Energy Week 2'!$BU$85:$BU$99</c:f>
              <c:numCache>
                <c:formatCode>General</c:formatCode>
                <c:ptCount val="15"/>
                <c:pt idx="0">
                  <c:v>8.0765324095779505</c:v>
                </c:pt>
                <c:pt idx="1">
                  <c:v>18.426680924239331</c:v>
                </c:pt>
                <c:pt idx="2">
                  <c:v>11.146781370813631</c:v>
                </c:pt>
                <c:pt idx="3">
                  <c:v>16.279116632067051</c:v>
                </c:pt>
                <c:pt idx="4">
                  <c:v>16.349334519868698</c:v>
                </c:pt>
                <c:pt idx="5">
                  <c:v>9.5537096922112603</c:v>
                </c:pt>
                <c:pt idx="6">
                  <c:v>14.027611942984567</c:v>
                </c:pt>
                <c:pt idx="7">
                  <c:v>15.573963339604649</c:v>
                </c:pt>
                <c:pt idx="8">
                  <c:v>3.8576223690555786</c:v>
                </c:pt>
                <c:pt idx="9">
                  <c:v>3.5815286322891571</c:v>
                </c:pt>
                <c:pt idx="10">
                  <c:v>3.8095375762960293</c:v>
                </c:pt>
                <c:pt idx="11">
                  <c:v>3.3882390927479897</c:v>
                </c:pt>
                <c:pt idx="12">
                  <c:v>3.4276638939313027</c:v>
                </c:pt>
                <c:pt idx="13">
                  <c:v>2.9531471205897191</c:v>
                </c:pt>
                <c:pt idx="14">
                  <c:v>2.6740869381746211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35-4A5B-9AA1-BA5DAF238EED}"/>
            </c:ext>
          </c:extLst>
        </c:ser>
        <c:ser>
          <c:idx val="4"/>
          <c:order val="1"/>
          <c:tx>
            <c:v>Fit - Non-Elevated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2.9316705227356143E-2"/>
                  <c:y val="-0.2543664853236745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χ</a:t>
                    </a:r>
                    <a:r>
                      <a:rPr lang="el-GR" sz="1200" b="0" i="0" u="none" strike="noStrike" kern="1200" baseline="30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</a:t>
                    </a:r>
                    <a:r>
                      <a:rPr lang="el-GR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/</a:t>
                    </a:r>
                    <a:r>
                      <a:rPr lang="en-US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ndf = 373.9/12</a:t>
                    </a:r>
                  </a:p>
                  <a:p>
                    <a:pPr>
                      <a:defRPr/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Constant = 5772 +/- 575</a:t>
                    </a:r>
                  </a:p>
                  <a:p>
                    <a:pPr>
                      <a:defRPr/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Exponent = -1.08 +/- 0.02</a:t>
                    </a:r>
                    <a:endParaRPr lang="en-US" sz="12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1228197540578"/>
                      <c:h val="0.26154833856760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EF-4BC2-BD85-6EEFE2382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 Cali with Energy Week 2'!$BT$85:$BT$99</c:f>
              <c:numCache>
                <c:formatCode>General</c:formatCode>
                <c:ptCount val="15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778.90449999999998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1112.076</c:v>
                </c:pt>
                <c:pt idx="12">
                  <c:v>1173.2280000000001</c:v>
                </c:pt>
                <c:pt idx="13">
                  <c:v>1332.492</c:v>
                </c:pt>
                <c:pt idx="14">
                  <c:v>1408.0129999999999</c:v>
                </c:pt>
              </c:numCache>
            </c:numRef>
          </c:xVal>
          <c:yVal>
            <c:numRef>
              <c:f>'Reso Cali with Energy Week 2'!$BY$85:$BY$99</c:f>
              <c:numCache>
                <c:formatCode>0.00E+00</c:formatCode>
                <c:ptCount val="15"/>
                <c:pt idx="0">
                  <c:v>43.648496276560053</c:v>
                </c:pt>
                <c:pt idx="1">
                  <c:v>23.558728196004051</c:v>
                </c:pt>
                <c:pt idx="2">
                  <c:v>12.911802404237909</c:v>
                </c:pt>
                <c:pt idx="3">
                  <c:v>11.624970744029016</c:v>
                </c:pt>
                <c:pt idx="4">
                  <c:v>10.744472637278783</c:v>
                </c:pt>
                <c:pt idx="5">
                  <c:v>9.6205364348716493</c:v>
                </c:pt>
                <c:pt idx="6">
                  <c:v>9.3466317105319305</c:v>
                </c:pt>
                <c:pt idx="7">
                  <c:v>8.7595031770113589</c:v>
                </c:pt>
                <c:pt idx="8">
                  <c:v>4.7602368932744161</c:v>
                </c:pt>
                <c:pt idx="9">
                  <c:v>3.9610499002543209</c:v>
                </c:pt>
                <c:pt idx="10">
                  <c:v>3.5751006602331814</c:v>
                </c:pt>
                <c:pt idx="11">
                  <c:v>3.5022858903901084</c:v>
                </c:pt>
                <c:pt idx="12">
                  <c:v>3.3443875908556064</c:v>
                </c:pt>
                <c:pt idx="13">
                  <c:v>2.9969164266996509</c:v>
                </c:pt>
                <c:pt idx="14">
                  <c:v>2.8578633933198447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5-4A5B-9AA1-BA5DAF238EED}"/>
            </c:ext>
          </c:extLst>
        </c:ser>
        <c:ser>
          <c:idx val="1"/>
          <c:order val="2"/>
          <c:tx>
            <c:v>Data - Elevated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2'!$BA$31:$BA$46</c:f>
                <c:numCache>
                  <c:formatCode>General</c:formatCode>
                  <c:ptCount val="16"/>
                  <c:pt idx="0">
                    <c:v>0.49747539418246434</c:v>
                  </c:pt>
                  <c:pt idx="1">
                    <c:v>1.1962093357099328</c:v>
                  </c:pt>
                  <c:pt idx="2">
                    <c:v>0.79962786832357258</c:v>
                  </c:pt>
                  <c:pt idx="3">
                    <c:v>0.80343317377205914</c:v>
                  </c:pt>
                  <c:pt idx="4">
                    <c:v>0.74215804808070962</c:v>
                  </c:pt>
                  <c:pt idx="5">
                    <c:v>0.59111442427602268</c:v>
                  </c:pt>
                  <c:pt idx="6">
                    <c:v>0.60027826487077762</c:v>
                  </c:pt>
                  <c:pt idx="7">
                    <c:v>0.58967715518279895</c:v>
                  </c:pt>
                  <c:pt idx="8">
                    <c:v>0.25684623930952394</c:v>
                  </c:pt>
                  <c:pt idx="9">
                    <c:v>0.27151306335292547</c:v>
                  </c:pt>
                  <c:pt idx="10">
                    <c:v>0.21833087279928093</c:v>
                  </c:pt>
                  <c:pt idx="11">
                    <c:v>0.20369939845764351</c:v>
                  </c:pt>
                  <c:pt idx="12">
                    <c:v>0.19741336860626654</c:v>
                  </c:pt>
                  <c:pt idx="13">
                    <c:v>0.13109990346308237</c:v>
                  </c:pt>
                  <c:pt idx="14">
                    <c:v>0.1219846178046415</c:v>
                  </c:pt>
                  <c:pt idx="15">
                    <c:v>0.14897229914706556</c:v>
                  </c:pt>
                </c:numCache>
              </c:numRef>
            </c:plus>
            <c:minus>
              <c:numRef>
                <c:f>'Reso Cali with Energy Week 2'!$BA$31:$BA$46</c:f>
                <c:numCache>
                  <c:formatCode>General</c:formatCode>
                  <c:ptCount val="16"/>
                  <c:pt idx="0">
                    <c:v>0.49747539418246434</c:v>
                  </c:pt>
                  <c:pt idx="1">
                    <c:v>1.1962093357099328</c:v>
                  </c:pt>
                  <c:pt idx="2">
                    <c:v>0.79962786832357258</c:v>
                  </c:pt>
                  <c:pt idx="3">
                    <c:v>0.80343317377205914</c:v>
                  </c:pt>
                  <c:pt idx="4">
                    <c:v>0.74215804808070962</c:v>
                  </c:pt>
                  <c:pt idx="5">
                    <c:v>0.59111442427602268</c:v>
                  </c:pt>
                  <c:pt idx="6">
                    <c:v>0.60027826487077762</c:v>
                  </c:pt>
                  <c:pt idx="7">
                    <c:v>0.58967715518279895</c:v>
                  </c:pt>
                  <c:pt idx="8">
                    <c:v>0.25684623930952394</c:v>
                  </c:pt>
                  <c:pt idx="9">
                    <c:v>0.27151306335292547</c:v>
                  </c:pt>
                  <c:pt idx="10">
                    <c:v>0.21833087279928093</c:v>
                  </c:pt>
                  <c:pt idx="11">
                    <c:v>0.20369939845764351</c:v>
                  </c:pt>
                  <c:pt idx="12">
                    <c:v>0.19741336860626654</c:v>
                  </c:pt>
                  <c:pt idx="13">
                    <c:v>0.13109990346308237</c:v>
                  </c:pt>
                  <c:pt idx="14">
                    <c:v>0.1219846178046415</c:v>
                  </c:pt>
                  <c:pt idx="15">
                    <c:v>0.14897229914706556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2'!$AY$31:$AY$46</c:f>
              <c:numCache>
                <c:formatCode>General</c:formatCode>
                <c:ptCount val="16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>
                  <c:v>778.90449999999998</c:v>
                </c:pt>
                <c:pt idx="10">
                  <c:v>964.05700000000002</c:v>
                </c:pt>
                <c:pt idx="11">
                  <c:v>1085.837</c:v>
                </c:pt>
                <c:pt idx="12">
                  <c:v>1112.076</c:v>
                </c:pt>
                <c:pt idx="13">
                  <c:v>1173.2280000000001</c:v>
                </c:pt>
                <c:pt idx="14">
                  <c:v>1332.492</c:v>
                </c:pt>
                <c:pt idx="15">
                  <c:v>1408.0129999999999</c:v>
                </c:pt>
              </c:numCache>
            </c:numRef>
          </c:xVal>
          <c:yVal>
            <c:numRef>
              <c:f>'Reso Cali with Energy Week 2'!$AZ$31:$AZ$46</c:f>
              <c:numCache>
                <c:formatCode>0.0000</c:formatCode>
                <c:ptCount val="16"/>
                <c:pt idx="0">
                  <c:v>8.6413825811486316</c:v>
                </c:pt>
                <c:pt idx="1">
                  <c:v>20.968312264369303</c:v>
                </c:pt>
                <c:pt idx="2">
                  <c:v>13.687672453106654</c:v>
                </c:pt>
                <c:pt idx="3">
                  <c:v>13.772700573735822</c:v>
                </c:pt>
                <c:pt idx="4">
                  <c:v>13.143761139369339</c:v>
                </c:pt>
                <c:pt idx="5">
                  <c:v>10.268189661473794</c:v>
                </c:pt>
                <c:pt idx="6">
                  <c:v>10.871655157543579</c:v>
                </c:pt>
                <c:pt idx="7">
                  <c:v>10.094344244690525</c:v>
                </c:pt>
                <c:pt idx="8">
                  <c:v>5.6229319353978697</c:v>
                </c:pt>
                <c:pt idx="9">
                  <c:v>4.5544399772108717</c:v>
                </c:pt>
                <c:pt idx="10">
                  <c:v>3.6641954379229658</c:v>
                </c:pt>
                <c:pt idx="11">
                  <c:v>3.3075924825610543</c:v>
                </c:pt>
                <c:pt idx="12">
                  <c:v>3.2785119423985885</c:v>
                </c:pt>
                <c:pt idx="13">
                  <c:v>2.6228976118147962</c:v>
                </c:pt>
                <c:pt idx="14">
                  <c:v>2.3362005318093049</c:v>
                </c:pt>
                <c:pt idx="15">
                  <c:v>2.5040539540824569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35-4A5B-9AA1-BA5DAF238EED}"/>
            </c:ext>
          </c:extLst>
        </c:ser>
        <c:ser>
          <c:idx val="2"/>
          <c:order val="3"/>
          <c:tx>
            <c:v>Fit - Elevated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'Reso Cali with Energy Week 2'!$AY$31:$AY$46</c:f>
              <c:numCache>
                <c:formatCode>General</c:formatCode>
                <c:ptCount val="16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>
                  <c:v>778.90449999999998</c:v>
                </c:pt>
                <c:pt idx="10">
                  <c:v>964.05700000000002</c:v>
                </c:pt>
                <c:pt idx="11">
                  <c:v>1085.837</c:v>
                </c:pt>
                <c:pt idx="12">
                  <c:v>1112.076</c:v>
                </c:pt>
                <c:pt idx="13">
                  <c:v>1173.2280000000001</c:v>
                </c:pt>
                <c:pt idx="14">
                  <c:v>1332.492</c:v>
                </c:pt>
                <c:pt idx="15">
                  <c:v>1408.0129999999999</c:v>
                </c:pt>
              </c:numCache>
            </c:numRef>
          </c:xVal>
          <c:yVal>
            <c:numRef>
              <c:f>'Reso Cali with Energy Week 2'!$BD$31:$BD$46</c:f>
              <c:numCache>
                <c:formatCode>0.00E+00</c:formatCode>
                <c:ptCount val="16"/>
                <c:pt idx="0">
                  <c:v>53.064388219011335</c:v>
                </c:pt>
                <c:pt idx="1">
                  <c:v>26.601619282510573</c:v>
                </c:pt>
                <c:pt idx="2">
                  <c:v>13.566326204245604</c:v>
                </c:pt>
                <c:pt idx="3">
                  <c:v>12.061633945271355</c:v>
                </c:pt>
                <c:pt idx="4">
                  <c:v>11.0433869300012</c:v>
                </c:pt>
                <c:pt idx="5">
                  <c:v>9.7581840842572358</c:v>
                </c:pt>
                <c:pt idx="6">
                  <c:v>9.4476192128687639</c:v>
                </c:pt>
                <c:pt idx="7">
                  <c:v>8.7856117214660205</c:v>
                </c:pt>
                <c:pt idx="8">
                  <c:v>5.1948316674771453</c:v>
                </c:pt>
                <c:pt idx="9">
                  <c:v>4.438117222778315</c:v>
                </c:pt>
                <c:pt idx="10">
                  <c:v>3.6126038668488678</c:v>
                </c:pt>
                <c:pt idx="11">
                  <c:v>3.2208144628170277</c:v>
                </c:pt>
                <c:pt idx="12">
                  <c:v>3.1474485783121993</c:v>
                </c:pt>
                <c:pt idx="13">
                  <c:v>2.988986652031203</c:v>
                </c:pt>
                <c:pt idx="14">
                  <c:v>2.6434781279144519</c:v>
                </c:pt>
                <c:pt idx="15">
                  <c:v>2.5065203330282011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5-4A5B-9AA1-BA5DAF23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41256"/>
        <c:axId val="720442568"/>
      </c:scatterChart>
      <c:valAx>
        <c:axId val="720441256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42568"/>
        <c:crosses val="autoZero"/>
        <c:crossBetween val="midCat"/>
        <c:majorUnit val="200"/>
      </c:valAx>
      <c:valAx>
        <c:axId val="72044256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Intrinsic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41256"/>
        <c:crosses val="autoZero"/>
        <c:crossBetween val="midCat"/>
      </c:valAx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9124841969021567"/>
          <c:y val="0.24288154322578348"/>
          <c:w val="0.26580544023965458"/>
          <c:h val="0.31116869552480808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Fano Factor variation with</a:t>
            </a:r>
            <a:r>
              <a:rPr lang="en-US" baseline="0"/>
              <a:t> Gamma Energy for HPGe detector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fano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2'!$AQ$61:$AQ$76</c:f>
                <c:numCache>
                  <c:formatCode>General</c:formatCode>
                  <c:ptCount val="16"/>
                  <c:pt idx="0">
                    <c:v>2.6515173607248567E-6</c:v>
                  </c:pt>
                  <c:pt idx="1">
                    <c:v>1.5561040409683817E-6</c:v>
                  </c:pt>
                  <c:pt idx="2">
                    <c:v>1.5480789480358519E-6</c:v>
                  </c:pt>
                  <c:pt idx="3">
                    <c:v>1.8216733748563717E-6</c:v>
                  </c:pt>
                  <c:pt idx="4">
                    <c:v>1.0379977683643811E-6</c:v>
                  </c:pt>
                  <c:pt idx="5">
                    <c:v>6.5796663665575468E-7</c:v>
                  </c:pt>
                  <c:pt idx="6">
                    <c:v>5.4217629403564013E-7</c:v>
                  </c:pt>
                  <c:pt idx="7">
                    <c:v>1.2492360252375709E-6</c:v>
                  </c:pt>
                  <c:pt idx="8">
                    <c:v>2.1479101015060613E-7</c:v>
                  </c:pt>
                  <c:pt idx="9">
                    <c:v>6.5163376177147994E-7</c:v>
                  </c:pt>
                  <c:pt idx="10">
                    <c:v>5.4081826613553708E-7</c:v>
                  </c:pt>
                  <c:pt idx="11">
                    <c:v>6.848621771480762E-7</c:v>
                  </c:pt>
                  <c:pt idx="12">
                    <c:v>5.3241636594590789E-7</c:v>
                  </c:pt>
                  <c:pt idx="13">
                    <c:v>2.8105337244813199E-7</c:v>
                  </c:pt>
                  <c:pt idx="14">
                    <c:v>2.5683138129682569E-7</c:v>
                  </c:pt>
                  <c:pt idx="15">
                    <c:v>3.8513355078399212E-7</c:v>
                  </c:pt>
                </c:numCache>
              </c:numRef>
            </c:plus>
            <c:minus>
              <c:numRef>
                <c:f>'Reso Cali with Energy Week 2'!$AQ$61:$AQ$76</c:f>
                <c:numCache>
                  <c:formatCode>General</c:formatCode>
                  <c:ptCount val="16"/>
                  <c:pt idx="0">
                    <c:v>2.6515173607248567E-6</c:v>
                  </c:pt>
                  <c:pt idx="1">
                    <c:v>1.5561040409683817E-6</c:v>
                  </c:pt>
                  <c:pt idx="2">
                    <c:v>1.5480789480358519E-6</c:v>
                  </c:pt>
                  <c:pt idx="3">
                    <c:v>1.8216733748563717E-6</c:v>
                  </c:pt>
                  <c:pt idx="4">
                    <c:v>1.0379977683643811E-6</c:v>
                  </c:pt>
                  <c:pt idx="5">
                    <c:v>6.5796663665575468E-7</c:v>
                  </c:pt>
                  <c:pt idx="6">
                    <c:v>5.4217629403564013E-7</c:v>
                  </c:pt>
                  <c:pt idx="7">
                    <c:v>1.2492360252375709E-6</c:v>
                  </c:pt>
                  <c:pt idx="8">
                    <c:v>2.1479101015060613E-7</c:v>
                  </c:pt>
                  <c:pt idx="9">
                    <c:v>6.5163376177147994E-7</c:v>
                  </c:pt>
                  <c:pt idx="10">
                    <c:v>5.4081826613553708E-7</c:v>
                  </c:pt>
                  <c:pt idx="11">
                    <c:v>6.848621771480762E-7</c:v>
                  </c:pt>
                  <c:pt idx="12">
                    <c:v>5.3241636594590789E-7</c:v>
                  </c:pt>
                  <c:pt idx="13">
                    <c:v>2.8105337244813199E-7</c:v>
                  </c:pt>
                  <c:pt idx="14">
                    <c:v>2.5683138129682569E-7</c:v>
                  </c:pt>
                  <c:pt idx="15">
                    <c:v>3.8513355078399212E-7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2'!$AO$61:$AO$76</c:f>
              <c:numCache>
                <c:formatCode>General</c:formatCode>
                <c:ptCount val="16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>
                  <c:v>778.90449999999998</c:v>
                </c:pt>
                <c:pt idx="10">
                  <c:v>964.05700000000002</c:v>
                </c:pt>
                <c:pt idx="11">
                  <c:v>1085.837</c:v>
                </c:pt>
                <c:pt idx="12">
                  <c:v>1112.076</c:v>
                </c:pt>
                <c:pt idx="13">
                  <c:v>1173.2280000000001</c:v>
                </c:pt>
                <c:pt idx="14">
                  <c:v>1332.492</c:v>
                </c:pt>
                <c:pt idx="15">
                  <c:v>1408.0129999999999</c:v>
                </c:pt>
              </c:numCache>
            </c:numRef>
          </c:xVal>
          <c:yVal>
            <c:numRef>
              <c:f>'Reso Cali with Energy Week 2'!$AP$61:$AP$76</c:f>
              <c:numCache>
                <c:formatCode>General</c:formatCode>
                <c:ptCount val="16"/>
                <c:pt idx="0">
                  <c:v>0.20536061662964175</c:v>
                </c:pt>
                <c:pt idx="1">
                  <c:v>0.15532875027326654</c:v>
                </c:pt>
                <c:pt idx="2">
                  <c:v>0.11857401660985074</c:v>
                </c:pt>
                <c:pt idx="3">
                  <c:v>0.11309446305079703</c:v>
                </c:pt>
                <c:pt idx="4">
                  <c:v>0.10916404780580896</c:v>
                </c:pt>
                <c:pt idx="5">
                  <c:v>0.10389282560160629</c:v>
                </c:pt>
                <c:pt idx="6">
                  <c:v>0.10253779832611833</c:v>
                </c:pt>
                <c:pt idx="7">
                  <c:v>9.9594463811923883E-2</c:v>
                </c:pt>
                <c:pt idx="8">
                  <c:v>8.0694567955585619E-2</c:v>
                </c:pt>
                <c:pt idx="9">
                  <c:v>7.5728265986089838E-2</c:v>
                </c:pt>
                <c:pt idx="10">
                  <c:v>6.9727697868783189E-2</c:v>
                </c:pt>
                <c:pt idx="11">
                  <c:v>6.6584910535143982E-2</c:v>
                </c:pt>
                <c:pt idx="12">
                  <c:v>6.5971557696821684E-2</c:v>
                </c:pt>
                <c:pt idx="13">
                  <c:v>6.4788587875513587E-2</c:v>
                </c:pt>
                <c:pt idx="14">
                  <c:v>6.1668807479153161E-2</c:v>
                </c:pt>
                <c:pt idx="15">
                  <c:v>6.0205104535671745E-2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F-4B80-B506-2F836B45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50528"/>
        <c:axId val="729269280"/>
      </c:scatterChart>
      <c:valAx>
        <c:axId val="732150528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269280"/>
        <c:crosses val="autoZero"/>
        <c:crossBetween val="midCat"/>
      </c:valAx>
      <c:valAx>
        <c:axId val="7292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Fano Factor</a:t>
                </a:r>
                <a:r>
                  <a:rPr lang="en-GB" baseline="0"/>
                  <a:t> F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5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Resolution and Reciporcal Bias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90048118985125"/>
          <c:y val="0.17171296296296296"/>
          <c:w val="0.76758486439195106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'Resolution and Bias Voltage'!$E$3</c:f>
              <c:strCache>
                <c:ptCount val="1"/>
                <c:pt idx="0">
                  <c:v>energy resolution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('Resolution and Bias Voltage'!$C$4:$C$5,'Resolution and Bias Voltage'!$C$7:$C$11)</c:f>
              <c:numCache>
                <c:formatCode>General</c:formatCode>
                <c:ptCount val="7"/>
                <c:pt idx="0">
                  <c:v>0.625</c:v>
                </c:pt>
                <c:pt idx="1">
                  <c:v>0.55555555555555558</c:v>
                </c:pt>
                <c:pt idx="2">
                  <c:v>0.45454545454545453</c:v>
                </c:pt>
                <c:pt idx="3">
                  <c:v>0.41666666666666669</c:v>
                </c:pt>
                <c:pt idx="4">
                  <c:v>0.38461538461538458</c:v>
                </c:pt>
                <c:pt idx="5">
                  <c:v>0.35714285714285715</c:v>
                </c:pt>
                <c:pt idx="6">
                  <c:v>0.33333333333333331</c:v>
                </c:pt>
              </c:numCache>
            </c:numRef>
          </c:xVal>
          <c:yVal>
            <c:numRef>
              <c:f>('Resolution and Bias Voltage'!$E$4:$E$5,'Resolution and Bias Voltage'!$E$7:$E$11)</c:f>
              <c:numCache>
                <c:formatCode>General</c:formatCode>
                <c:ptCount val="7"/>
                <c:pt idx="0">
                  <c:v>4.9233784746970776E-3</c:v>
                </c:pt>
                <c:pt idx="1">
                  <c:v>4.4923405771286071E-3</c:v>
                </c:pt>
                <c:pt idx="2">
                  <c:v>3.8545389563974268E-3</c:v>
                </c:pt>
                <c:pt idx="3">
                  <c:v>3.6591030909415758E-3</c:v>
                </c:pt>
                <c:pt idx="4">
                  <c:v>3.4983026621404319E-3</c:v>
                </c:pt>
                <c:pt idx="5">
                  <c:v>3.3708467309753487E-3</c:v>
                </c:pt>
                <c:pt idx="6">
                  <c:v>3.3440514469453373E-3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A-4209-B7AE-F3833C02E760}"/>
            </c:ext>
          </c:extLst>
        </c:ser>
        <c:ser>
          <c:idx val="1"/>
          <c:order val="1"/>
          <c:tx>
            <c:v>Linear Extrapolation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'Resolution and Bias Voltage'!$T$18:$T$25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'Resolution and Bias Voltage'!$U$18:$U$25</c:f>
              <c:numCache>
                <c:formatCode>General</c:formatCode>
                <c:ptCount val="8"/>
                <c:pt idx="0">
                  <c:v>1.36983E-3</c:v>
                </c:pt>
                <c:pt idx="1">
                  <c:v>1.9312260000000001E-3</c:v>
                </c:pt>
                <c:pt idx="2">
                  <c:v>2.4926219999999999E-3</c:v>
                </c:pt>
                <c:pt idx="3">
                  <c:v>3.0540180000000004E-3</c:v>
                </c:pt>
                <c:pt idx="4">
                  <c:v>3.615414E-3</c:v>
                </c:pt>
                <c:pt idx="5">
                  <c:v>4.1768100000000004E-3</c:v>
                </c:pt>
                <c:pt idx="6">
                  <c:v>4.738206E-3</c:v>
                </c:pt>
                <c:pt idx="7">
                  <c:v>5.2996019999999996E-3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A-4209-B7AE-F3833C02E760}"/>
            </c:ext>
          </c:extLst>
        </c:ser>
        <c:ser>
          <c:idx val="2"/>
          <c:order val="2"/>
          <c:tx>
            <c:v>outlier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'Resolution and Bias Voltage'!$C$6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'Resolution and Bias Voltage'!$E$6</c:f>
              <c:numCache>
                <c:formatCode>0.00E+00</c:formatCode>
                <c:ptCount val="1"/>
                <c:pt idx="0">
                  <c:v>3.8074770428456776E-3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8A-4209-B7AE-F3833C02E760}"/>
            </c:ext>
          </c:extLst>
        </c:ser>
        <c:ser>
          <c:idx val="3"/>
          <c:order val="3"/>
          <c:tx>
            <c:v>Quadratic Extrap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'Resolution and Bias Voltage'!$T$18:$T$25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</c:numCache>
            </c:numRef>
          </c:xVal>
          <c:yVal>
            <c:numRef>
              <c:f>'Resolution and Bias Voltage'!$V$18:$V$25</c:f>
              <c:numCache>
                <c:formatCode>General</c:formatCode>
                <c:ptCount val="8"/>
                <c:pt idx="0">
                  <c:v>2.7370200000000002E-3</c:v>
                </c:pt>
                <c:pt idx="1">
                  <c:v>2.7618246000000002E-3</c:v>
                </c:pt>
                <c:pt idx="2">
                  <c:v>2.9116154000000003E-3</c:v>
                </c:pt>
                <c:pt idx="3">
                  <c:v>3.1863924000000003E-3</c:v>
                </c:pt>
                <c:pt idx="4">
                  <c:v>3.5861556000000004E-3</c:v>
                </c:pt>
                <c:pt idx="5">
                  <c:v>4.1109049999999998E-3</c:v>
                </c:pt>
                <c:pt idx="6">
                  <c:v>4.7606406000000002E-3</c:v>
                </c:pt>
                <c:pt idx="7">
                  <c:v>5.5353624000000004E-3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8-4119-BE27-E92C385CB340}"/>
            </c:ext>
          </c:extLst>
        </c:ser>
        <c:ser>
          <c:idx val="4"/>
          <c:order val="4"/>
          <c:tx>
            <c:v>saturation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'Resolution and Bias Voltage'!$T$26</c:f>
              <c:numCache>
                <c:formatCode>General</c:formatCode>
                <c:ptCount val="1"/>
                <c:pt idx="0">
                  <c:v>3.3333333333333333E-6</c:v>
                </c:pt>
              </c:numCache>
            </c:numRef>
          </c:xVal>
          <c:yVal>
            <c:numRef>
              <c:f>'Resolution and Bias Voltage'!$V$26</c:f>
              <c:numCache>
                <c:formatCode>General</c:formatCode>
                <c:ptCount val="1"/>
                <c:pt idx="0">
                  <c:v>2.7370187437861038E-3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E-4902-9449-BCB65484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84760"/>
        <c:axId val="689982136"/>
      </c:scatterChart>
      <c:valAx>
        <c:axId val="689984760"/>
        <c:scaling>
          <c:orientation val="minMax"/>
          <c:max val="0.7000000000000000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1/V (V^-1)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82136"/>
        <c:crosses val="autoZero"/>
        <c:crossBetween val="midCat"/>
        <c:majorUnit val="0.1"/>
      </c:valAx>
      <c:valAx>
        <c:axId val="6899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8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41579177602802"/>
          <c:y val="0.4853715888253694"/>
          <c:w val="0.31838803149606298"/>
          <c:h val="0.4128519037859993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Rough Calibration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Calibration</c:v>
          </c:tx>
          <c:spPr>
            <a:ln w="22225" cap="rnd">
              <a:noFill/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2'!$D$3:$D$9</c:f>
                <c:numCache>
                  <c:formatCode>General</c:formatCode>
                  <c:ptCount val="7"/>
                  <c:pt idx="0">
                    <c:v>2.6879500000000001E-2</c:v>
                  </c:pt>
                  <c:pt idx="1">
                    <c:v>0.35325000000000001</c:v>
                  </c:pt>
                  <c:pt idx="2">
                    <c:v>0.34673999999999999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3.7658700000000003E-2</c:v>
                  </c:pt>
                  <c:pt idx="6">
                    <c:v>0.104586</c:v>
                  </c:pt>
                </c:numCache>
              </c:numRef>
            </c:plus>
            <c:minus>
              <c:numRef>
                <c:f>'Reso Cali with Energy Week 2'!$D$3:$D$9</c:f>
                <c:numCache>
                  <c:formatCode>General</c:formatCode>
                  <c:ptCount val="7"/>
                  <c:pt idx="0">
                    <c:v>2.6879500000000001E-2</c:v>
                  </c:pt>
                  <c:pt idx="1">
                    <c:v>0.35325000000000001</c:v>
                  </c:pt>
                  <c:pt idx="2">
                    <c:v>0.34673999999999999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3.7658700000000003E-2</c:v>
                  </c:pt>
                  <c:pt idx="6">
                    <c:v>0.104586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2'!$B$3:$B$9</c:f>
              <c:numCache>
                <c:formatCode>General</c:formatCode>
                <c:ptCount val="7"/>
                <c:pt idx="0">
                  <c:v>661.65700000000004</c:v>
                </c:pt>
                <c:pt idx="1">
                  <c:v>1173.2280000000001</c:v>
                </c:pt>
                <c:pt idx="2">
                  <c:v>1332.492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356.0129</c:v>
                </c:pt>
                <c:pt idx="6">
                  <c:v>383.8485</c:v>
                </c:pt>
              </c:numCache>
            </c:numRef>
          </c:xVal>
          <c:yVal>
            <c:numRef>
              <c:f>'Reso Cali with Energy Week 2'!$C$3:$C$9</c:f>
              <c:numCache>
                <c:formatCode>0.00</c:formatCode>
                <c:ptCount val="7"/>
                <c:pt idx="0">
                  <c:v>5643.13</c:v>
                </c:pt>
                <c:pt idx="1">
                  <c:v>10014.700000000001</c:v>
                </c:pt>
                <c:pt idx="2">
                  <c:v>11376.2</c:v>
                </c:pt>
                <c:pt idx="3">
                  <c:v>2348.39</c:v>
                </c:pt>
                <c:pt idx="4">
                  <c:v>2574.19</c:v>
                </c:pt>
                <c:pt idx="5">
                  <c:v>3028.14</c:v>
                </c:pt>
                <c:pt idx="6">
                  <c:v>3265.6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2-4285-8FC3-8E28332F346A}"/>
            </c:ext>
          </c:extLst>
        </c:ser>
        <c:ser>
          <c:idx val="1"/>
          <c:order val="1"/>
          <c:tx>
            <c:v>fit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0.49272537807174893"/>
                  <c:y val="-3.37215473844673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χ</a:t>
                    </a:r>
                    <a:r>
                      <a:rPr lang="el-GR" sz="1200" b="0" i="0" u="none" strike="noStrike" kern="1200" baseline="30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</a:t>
                    </a:r>
                    <a:r>
                      <a:rPr lang="el-GR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/</a:t>
                    </a:r>
                    <a:r>
                      <a:rPr lang="en-US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ndf = 15230.5/5</a:t>
                    </a:r>
                  </a:p>
                  <a:p>
                    <a:pPr>
                      <a:defRPr/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m = 8.55 +/- 0.01</a:t>
                    </a:r>
                  </a:p>
                  <a:p>
                    <a:pPr>
                      <a:defRPr/>
                    </a:pPr>
                    <a:r>
                      <a:rPr lang="en-US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c = -13.93 +/- 0.06</a:t>
                    </a:r>
                    <a:endParaRPr lang="en-US" sz="12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473611586494602"/>
                      <c:h val="0.21562961806900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83F-47C1-92FF-0A333FC987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 Cali with Energy Week 2'!$D$11:$D$16</c:f>
              <c:numCache>
                <c:formatCode>0.00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xVal>
          <c:yVal>
            <c:numRef>
              <c:f>'Reso Cali with Energy Week 2'!$E$11:$E$16</c:f>
              <c:numCache>
                <c:formatCode>0.00</c:formatCode>
                <c:ptCount val="6"/>
                <c:pt idx="0">
                  <c:v>-13.9267</c:v>
                </c:pt>
                <c:pt idx="1">
                  <c:v>1695.2293000000002</c:v>
                </c:pt>
                <c:pt idx="2">
                  <c:v>4258.9633000000003</c:v>
                </c:pt>
                <c:pt idx="3">
                  <c:v>8531.8533000000007</c:v>
                </c:pt>
                <c:pt idx="4">
                  <c:v>10241.009300000002</c:v>
                </c:pt>
                <c:pt idx="5">
                  <c:v>11950.165300000001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3F-47C1-92FF-0A333FC98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83360"/>
        <c:axId val="451380408"/>
      </c:scatterChart>
      <c:valAx>
        <c:axId val="451383360"/>
        <c:scaling>
          <c:orientation val="minMax"/>
          <c:max val="1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0408"/>
        <c:crosses val="autoZero"/>
        <c:crossBetween val="midCat"/>
      </c:valAx>
      <c:valAx>
        <c:axId val="451380408"/>
        <c:scaling>
          <c:orientation val="minMax"/>
          <c:max val="12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3360"/>
        <c:crosses val="autoZero"/>
        <c:crossBetween val="midCat"/>
        <c:majorUnit val="1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Prelim residuals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residuals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2'!$D$3:$D$9</c:f>
                <c:numCache>
                  <c:formatCode>General</c:formatCode>
                  <c:ptCount val="7"/>
                  <c:pt idx="0">
                    <c:v>2.6879500000000001E-2</c:v>
                  </c:pt>
                  <c:pt idx="1">
                    <c:v>0.35325000000000001</c:v>
                  </c:pt>
                  <c:pt idx="2">
                    <c:v>0.34673999999999999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3.7658700000000003E-2</c:v>
                  </c:pt>
                  <c:pt idx="6">
                    <c:v>0.104586</c:v>
                  </c:pt>
                </c:numCache>
              </c:numRef>
            </c:plus>
            <c:minus>
              <c:numRef>
                <c:f>'Reso Cali with Energy Week 2'!$D$3:$D$9</c:f>
                <c:numCache>
                  <c:formatCode>General</c:formatCode>
                  <c:ptCount val="7"/>
                  <c:pt idx="0">
                    <c:v>2.6879500000000001E-2</c:v>
                  </c:pt>
                  <c:pt idx="1">
                    <c:v>0.35325000000000001</c:v>
                  </c:pt>
                  <c:pt idx="2">
                    <c:v>0.34673999999999999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3.7658700000000003E-2</c:v>
                  </c:pt>
                  <c:pt idx="6">
                    <c:v>0.104586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2'!$B$3:$B$9</c:f>
              <c:numCache>
                <c:formatCode>General</c:formatCode>
                <c:ptCount val="7"/>
                <c:pt idx="0">
                  <c:v>661.65700000000004</c:v>
                </c:pt>
                <c:pt idx="1">
                  <c:v>1173.2280000000001</c:v>
                </c:pt>
                <c:pt idx="2">
                  <c:v>1332.492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356.0129</c:v>
                </c:pt>
                <c:pt idx="6">
                  <c:v>383.8485</c:v>
                </c:pt>
              </c:numCache>
            </c:numRef>
          </c:xVal>
          <c:yVal>
            <c:numRef>
              <c:f>'Reso Cali with Energy Week 2'!$E$3:$E$9</c:f>
              <c:numCache>
                <c:formatCode>0.00</c:formatCode>
                <c:ptCount val="7"/>
                <c:pt idx="0">
                  <c:v>1.5674727000005078</c:v>
                </c:pt>
                <c:pt idx="1">
                  <c:v>-0.23184919999948761</c:v>
                </c:pt>
                <c:pt idx="2">
                  <c:v>-0.26385879999907047</c:v>
                </c:pt>
                <c:pt idx="3">
                  <c:v>0.36044378999986293</c:v>
                </c:pt>
                <c:pt idx="4">
                  <c:v>2.5795880000259785E-2</c:v>
                </c:pt>
                <c:pt idx="5">
                  <c:v>-0.50168080999992526</c:v>
                </c:pt>
                <c:pt idx="6">
                  <c:v>-1.0054416500001935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A-4DB1-8589-56F928C8A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18608"/>
        <c:axId val="515518936"/>
      </c:scatterChart>
      <c:valAx>
        <c:axId val="5155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18936"/>
        <c:crosses val="autoZero"/>
        <c:crossBetween val="midCat"/>
      </c:valAx>
      <c:valAx>
        <c:axId val="51551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Rough Calibration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Calibration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18525809273834"/>
                  <c:y val="8.754629629629630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channel = 8.5489Energy - 14.877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2'!$D$3:$D$9</c:f>
                <c:numCache>
                  <c:formatCode>General</c:formatCode>
                  <c:ptCount val="7"/>
                  <c:pt idx="0">
                    <c:v>2.6879500000000001E-2</c:v>
                  </c:pt>
                  <c:pt idx="1">
                    <c:v>0.35325000000000001</c:v>
                  </c:pt>
                  <c:pt idx="2">
                    <c:v>0.34673999999999999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3.7658700000000003E-2</c:v>
                  </c:pt>
                  <c:pt idx="6">
                    <c:v>0.104586</c:v>
                  </c:pt>
                </c:numCache>
              </c:numRef>
            </c:plus>
            <c:minus>
              <c:numRef>
                <c:f>'Reso Cali with Energy Week 2'!$D$3:$D$9</c:f>
                <c:numCache>
                  <c:formatCode>General</c:formatCode>
                  <c:ptCount val="7"/>
                  <c:pt idx="0">
                    <c:v>2.6879500000000001E-2</c:v>
                  </c:pt>
                  <c:pt idx="1">
                    <c:v>0.35325000000000001</c:v>
                  </c:pt>
                  <c:pt idx="2">
                    <c:v>0.34673999999999999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3.7658700000000003E-2</c:v>
                  </c:pt>
                  <c:pt idx="6">
                    <c:v>0.104586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2'!$B$3:$B$9</c:f>
              <c:numCache>
                <c:formatCode>General</c:formatCode>
                <c:ptCount val="7"/>
                <c:pt idx="0">
                  <c:v>661.65700000000004</c:v>
                </c:pt>
                <c:pt idx="1">
                  <c:v>1173.2280000000001</c:v>
                </c:pt>
                <c:pt idx="2">
                  <c:v>1332.492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356.0129</c:v>
                </c:pt>
                <c:pt idx="6">
                  <c:v>383.8485</c:v>
                </c:pt>
              </c:numCache>
            </c:numRef>
          </c:xVal>
          <c:yVal>
            <c:numRef>
              <c:f>'Reso Cali with Energy Week 2'!$C$3:$C$9</c:f>
              <c:numCache>
                <c:formatCode>0.00</c:formatCode>
                <c:ptCount val="7"/>
                <c:pt idx="0">
                  <c:v>5643.13</c:v>
                </c:pt>
                <c:pt idx="1">
                  <c:v>10014.700000000001</c:v>
                </c:pt>
                <c:pt idx="2">
                  <c:v>11376.2</c:v>
                </c:pt>
                <c:pt idx="3">
                  <c:v>2348.39</c:v>
                </c:pt>
                <c:pt idx="4">
                  <c:v>2574.19</c:v>
                </c:pt>
                <c:pt idx="5">
                  <c:v>3028.14</c:v>
                </c:pt>
                <c:pt idx="6">
                  <c:v>3265.6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7-47B1-BF38-A20B88F9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83360"/>
        <c:axId val="451380408"/>
      </c:scatterChart>
      <c:valAx>
        <c:axId val="451383360"/>
        <c:scaling>
          <c:orientation val="minMax"/>
          <c:max val="1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0408"/>
        <c:crosses val="autoZero"/>
        <c:crossBetween val="midCat"/>
      </c:valAx>
      <c:valAx>
        <c:axId val="451380408"/>
        <c:scaling>
          <c:orientation val="minMax"/>
          <c:max val="12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83360"/>
        <c:crosses val="autoZero"/>
        <c:crossBetween val="midCat"/>
        <c:majorUnit val="1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Calibration - Detector</a:t>
            </a:r>
            <a:r>
              <a:rPr lang="en-GB" baseline="0"/>
              <a:t> Characteristics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12270341207349"/>
          <c:y val="0.17171296296296296"/>
          <c:w val="0.7499048556430447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2'!$U$9:$U$24</c:f>
                <c:numCache>
                  <c:formatCode>General</c:formatCode>
                  <c:ptCount val="16"/>
                  <c:pt idx="0">
                    <c:v>1.1724999999999999E-2</c:v>
                  </c:pt>
                  <c:pt idx="1">
                    <c:v>2.3732300000000001E-2</c:v>
                  </c:pt>
                  <c:pt idx="2">
                    <c:v>6.8874000000000005E-2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4.4896400000000003E-2</c:v>
                  </c:pt>
                  <c:pt idx="6">
                    <c:v>3.7658700000000003E-2</c:v>
                  </c:pt>
                  <c:pt idx="7">
                    <c:v>0.104586</c:v>
                  </c:pt>
                  <c:pt idx="8">
                    <c:v>2.83436E-2</c:v>
                  </c:pt>
                  <c:pt idx="9">
                    <c:v>0.14452799999999999</c:v>
                  </c:pt>
                  <c:pt idx="10">
                    <c:v>0.16061700000000001</c:v>
                  </c:pt>
                  <c:pt idx="11">
                    <c:v>0.24263699999999999</c:v>
                  </c:pt>
                  <c:pt idx="12">
                    <c:v>0.19329299999999999</c:v>
                  </c:pt>
                  <c:pt idx="13">
                    <c:v>0.102496</c:v>
                  </c:pt>
                  <c:pt idx="14">
                    <c:v>0.111093</c:v>
                  </c:pt>
                  <c:pt idx="15">
                    <c:v>0.19156599999999999</c:v>
                  </c:pt>
                </c:numCache>
              </c:numRef>
            </c:plus>
            <c:minus>
              <c:numRef>
                <c:f>'Reso Cali with Energy Week 2'!$U$9:$U$24</c:f>
                <c:numCache>
                  <c:formatCode>General</c:formatCode>
                  <c:ptCount val="16"/>
                  <c:pt idx="0">
                    <c:v>1.1724999999999999E-2</c:v>
                  </c:pt>
                  <c:pt idx="1">
                    <c:v>2.3732300000000001E-2</c:v>
                  </c:pt>
                  <c:pt idx="2">
                    <c:v>6.8874000000000005E-2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4.4896400000000003E-2</c:v>
                  </c:pt>
                  <c:pt idx="6">
                    <c:v>3.7658700000000003E-2</c:v>
                  </c:pt>
                  <c:pt idx="7">
                    <c:v>0.104586</c:v>
                  </c:pt>
                  <c:pt idx="8">
                    <c:v>2.83436E-2</c:v>
                  </c:pt>
                  <c:pt idx="9">
                    <c:v>0.14452799999999999</c:v>
                  </c:pt>
                  <c:pt idx="10">
                    <c:v>0.16061700000000001</c:v>
                  </c:pt>
                  <c:pt idx="11">
                    <c:v>0.24263699999999999</c:v>
                  </c:pt>
                  <c:pt idx="12">
                    <c:v>0.19329299999999999</c:v>
                  </c:pt>
                  <c:pt idx="13">
                    <c:v>0.102496</c:v>
                  </c:pt>
                  <c:pt idx="14">
                    <c:v>0.111093</c:v>
                  </c:pt>
                  <c:pt idx="15">
                    <c:v>0.19156599999999999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2'!$S$9:$S$24</c:f>
              <c:numCache>
                <c:formatCode>General</c:formatCode>
                <c:ptCount val="16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>
                  <c:v>778.90449999999998</c:v>
                </c:pt>
                <c:pt idx="10">
                  <c:v>964.05700000000002</c:v>
                </c:pt>
                <c:pt idx="11">
                  <c:v>1085.837</c:v>
                </c:pt>
                <c:pt idx="12">
                  <c:v>1112.076</c:v>
                </c:pt>
                <c:pt idx="13">
                  <c:v>1173.2280000000001</c:v>
                </c:pt>
                <c:pt idx="14">
                  <c:v>1332.492</c:v>
                </c:pt>
                <c:pt idx="15">
                  <c:v>1408.0129999999999</c:v>
                </c:pt>
              </c:numCache>
            </c:numRef>
          </c:xVal>
          <c:yVal>
            <c:numRef>
              <c:f>'Reso Cali with Energy Week 2'!$T$9:$T$24</c:f>
              <c:numCache>
                <c:formatCode>0.00</c:formatCode>
                <c:ptCount val="16"/>
                <c:pt idx="0">
                  <c:v>492.44099999999997</c:v>
                </c:pt>
                <c:pt idx="1">
                  <c:v>1027.48</c:v>
                </c:pt>
                <c:pt idx="2">
                  <c:v>2076.84</c:v>
                </c:pt>
                <c:pt idx="3">
                  <c:v>2348.39</c:v>
                </c:pt>
                <c:pt idx="4">
                  <c:v>2574.19</c:v>
                </c:pt>
                <c:pt idx="5">
                  <c:v>2926.8</c:v>
                </c:pt>
                <c:pt idx="6">
                  <c:v>3028.14</c:v>
                </c:pt>
                <c:pt idx="7">
                  <c:v>3265.6</c:v>
                </c:pt>
                <c:pt idx="8">
                  <c:v>5630.89</c:v>
                </c:pt>
                <c:pt idx="9">
                  <c:v>6636.27</c:v>
                </c:pt>
                <c:pt idx="10">
                  <c:v>8215.1</c:v>
                </c:pt>
                <c:pt idx="11">
                  <c:v>9255.0499999999993</c:v>
                </c:pt>
                <c:pt idx="12">
                  <c:v>9479.0499999999993</c:v>
                </c:pt>
                <c:pt idx="13">
                  <c:v>9988.59</c:v>
                </c:pt>
                <c:pt idx="14">
                  <c:v>11346.9</c:v>
                </c:pt>
                <c:pt idx="15">
                  <c:v>12006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7-44CD-B381-D2EC8B87614D}"/>
            </c:ext>
          </c:extLst>
        </c:ser>
        <c:ser>
          <c:idx val="1"/>
          <c:order val="1"/>
          <c:tx>
            <c:v>Fit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5.4834210469607639E-2"/>
                  <c:y val="9.52470670527995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χ</a:t>
                    </a:r>
                    <a:r>
                      <a:rPr lang="el-GR" baseline="3000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</a:t>
                    </a:r>
                    <a:r>
                      <a:rPr lang="el-GR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/</a:t>
                    </a:r>
                    <a:r>
                      <a:rPr lang="en-US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ndf = 81567.7/14</a:t>
                    </a:r>
                  </a:p>
                  <a:p>
                    <a:pPr>
                      <a:defRPr/>
                    </a:pPr>
                    <a:r>
                      <a:rPr lang="en-US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m = 8.53 +/- 0.01</a:t>
                    </a:r>
                  </a:p>
                  <a:p>
                    <a:pPr>
                      <a:defRPr/>
                    </a:pPr>
                    <a:r>
                      <a:rPr lang="en-US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c = -14.54 +/- 0.01</a:t>
                    </a:r>
                    <a:endParaRPr lang="en-US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049255522616215"/>
                      <c:h val="0.253913766889049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F64-4CAD-B665-14D9CB31E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'Reso Cali with Energy Week 2'!$U$26:$U$42</c:f>
              <c:numCache>
                <c:formatCode>0.00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</c:numCache>
            </c:numRef>
          </c:xVal>
          <c:yVal>
            <c:numRef>
              <c:f>'Reso Cali with Energy Week 2'!$V$26:$V$42</c:f>
              <c:numCache>
                <c:formatCode>General</c:formatCode>
                <c:ptCount val="17"/>
                <c:pt idx="0">
                  <c:v>-14.5358</c:v>
                </c:pt>
                <c:pt idx="1">
                  <c:v>838.8771999999999</c:v>
                </c:pt>
                <c:pt idx="2">
                  <c:v>1692.2901999999997</c:v>
                </c:pt>
                <c:pt idx="3">
                  <c:v>2545.7031999999995</c:v>
                </c:pt>
                <c:pt idx="4">
                  <c:v>3399.1161999999995</c:v>
                </c:pt>
                <c:pt idx="5">
                  <c:v>4252.5291999999999</c:v>
                </c:pt>
                <c:pt idx="6">
                  <c:v>5105.9421999999995</c:v>
                </c:pt>
                <c:pt idx="7">
                  <c:v>5959.3552</c:v>
                </c:pt>
                <c:pt idx="8">
                  <c:v>6812.7681999999995</c:v>
                </c:pt>
                <c:pt idx="9">
                  <c:v>7666.1812</c:v>
                </c:pt>
                <c:pt idx="10">
                  <c:v>8519.5941999999995</c:v>
                </c:pt>
                <c:pt idx="11">
                  <c:v>9373.0072</c:v>
                </c:pt>
                <c:pt idx="12">
                  <c:v>10226.420199999999</c:v>
                </c:pt>
                <c:pt idx="13">
                  <c:v>11079.833199999999</c:v>
                </c:pt>
                <c:pt idx="14">
                  <c:v>11933.2462</c:v>
                </c:pt>
                <c:pt idx="15">
                  <c:v>12786.6592</c:v>
                </c:pt>
                <c:pt idx="16">
                  <c:v>13640.072199999999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7-44CD-B381-D2EC8B87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70552"/>
        <c:axId val="712272520"/>
      </c:scatterChart>
      <c:valAx>
        <c:axId val="712270552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Gamma 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72520"/>
        <c:crosses val="autoZero"/>
        <c:crossBetween val="midCat"/>
      </c:valAx>
      <c:valAx>
        <c:axId val="712272520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7055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11568159789156"/>
          <c:y val="0.3315958098386505"/>
          <c:w val="0.18519466316710412"/>
          <c:h val="0.1932881306503353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Calibration Residuals</a:t>
            </a:r>
            <a:r>
              <a:rPr lang="en-GB" baseline="0"/>
              <a:t> </a:t>
            </a:r>
            <a:r>
              <a:rPr lang="en-GB" sz="1440" b="0" i="0" u="none" strike="noStrike" baseline="0">
                <a:effectLst/>
              </a:rPr>
              <a:t>- Detector Characteristics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2'!$M$21:$M$36</c:f>
                <c:numCache>
                  <c:formatCode>General</c:formatCode>
                  <c:ptCount val="16"/>
                  <c:pt idx="0">
                    <c:v>2.83436E-2</c:v>
                  </c:pt>
                  <c:pt idx="1">
                    <c:v>8.6461999999999997E-2</c:v>
                  </c:pt>
                  <c:pt idx="2">
                    <c:v>9.8456500000000002E-2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3.7658700000000003E-2</c:v>
                  </c:pt>
                  <c:pt idx="6">
                    <c:v>0.104586</c:v>
                  </c:pt>
                  <c:pt idx="7">
                    <c:v>2.3732300000000001E-2</c:v>
                  </c:pt>
                  <c:pt idx="8">
                    <c:v>6.8874000000000005E-2</c:v>
                  </c:pt>
                  <c:pt idx="9">
                    <c:v>4.4896400000000003E-2</c:v>
                  </c:pt>
                  <c:pt idx="10">
                    <c:v>0.14452799999999999</c:v>
                  </c:pt>
                  <c:pt idx="11">
                    <c:v>0.16061700000000001</c:v>
                  </c:pt>
                  <c:pt idx="12">
                    <c:v>0.24263699999999999</c:v>
                  </c:pt>
                  <c:pt idx="13">
                    <c:v>0.19329299999999999</c:v>
                  </c:pt>
                  <c:pt idx="14">
                    <c:v>0.19156599999999999</c:v>
                  </c:pt>
                  <c:pt idx="15">
                    <c:v>1.1724999999999999E-2</c:v>
                  </c:pt>
                </c:numCache>
              </c:numRef>
            </c:plus>
            <c:minus>
              <c:numRef>
                <c:f>'Reso Cali with Energy Week 2'!$M$21:$M$36</c:f>
                <c:numCache>
                  <c:formatCode>General</c:formatCode>
                  <c:ptCount val="16"/>
                  <c:pt idx="0">
                    <c:v>2.83436E-2</c:v>
                  </c:pt>
                  <c:pt idx="1">
                    <c:v>8.6461999999999997E-2</c:v>
                  </c:pt>
                  <c:pt idx="2">
                    <c:v>9.8456500000000002E-2</c:v>
                  </c:pt>
                  <c:pt idx="3">
                    <c:v>9.6970200000000006E-2</c:v>
                  </c:pt>
                  <c:pt idx="4">
                    <c:v>6.1427900000000001E-2</c:v>
                  </c:pt>
                  <c:pt idx="5">
                    <c:v>3.7658700000000003E-2</c:v>
                  </c:pt>
                  <c:pt idx="6">
                    <c:v>0.104586</c:v>
                  </c:pt>
                  <c:pt idx="7">
                    <c:v>2.3732300000000001E-2</c:v>
                  </c:pt>
                  <c:pt idx="8">
                    <c:v>6.8874000000000005E-2</c:v>
                  </c:pt>
                  <c:pt idx="9">
                    <c:v>4.4896400000000003E-2</c:v>
                  </c:pt>
                  <c:pt idx="10">
                    <c:v>0.14452799999999999</c:v>
                  </c:pt>
                  <c:pt idx="11">
                    <c:v>0.16061700000000001</c:v>
                  </c:pt>
                  <c:pt idx="12">
                    <c:v>0.24263699999999999</c:v>
                  </c:pt>
                  <c:pt idx="13">
                    <c:v>0.19329299999999999</c:v>
                  </c:pt>
                  <c:pt idx="14">
                    <c:v>0.19156599999999999</c:v>
                  </c:pt>
                  <c:pt idx="15">
                    <c:v>1.1724999999999999E-2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2'!$S$9:$S$24</c:f>
              <c:numCache>
                <c:formatCode>General</c:formatCode>
                <c:ptCount val="16"/>
                <c:pt idx="0">
                  <c:v>59.540900000000001</c:v>
                </c:pt>
                <c:pt idx="1">
                  <c:v>121.7817</c:v>
                </c:pt>
                <c:pt idx="2">
                  <c:v>244.69739999999999</c:v>
                </c:pt>
                <c:pt idx="3">
                  <c:v>276.39890000000003</c:v>
                </c:pt>
                <c:pt idx="4">
                  <c:v>302.85079999999999</c:v>
                </c:pt>
                <c:pt idx="5">
                  <c:v>344.27850000000001</c:v>
                </c:pt>
                <c:pt idx="6">
                  <c:v>356.0129</c:v>
                </c:pt>
                <c:pt idx="7">
                  <c:v>383.8485</c:v>
                </c:pt>
                <c:pt idx="8">
                  <c:v>661.65700000000004</c:v>
                </c:pt>
                <c:pt idx="9">
                  <c:v>778.90449999999998</c:v>
                </c:pt>
                <c:pt idx="10">
                  <c:v>964.05700000000002</c:v>
                </c:pt>
                <c:pt idx="11">
                  <c:v>1085.837</c:v>
                </c:pt>
                <c:pt idx="12">
                  <c:v>1112.076</c:v>
                </c:pt>
                <c:pt idx="13">
                  <c:v>1173.2280000000001</c:v>
                </c:pt>
                <c:pt idx="14">
                  <c:v>1332.492</c:v>
                </c:pt>
                <c:pt idx="15">
                  <c:v>1408.0129999999999</c:v>
                </c:pt>
              </c:numCache>
            </c:numRef>
          </c:xVal>
          <c:yVal>
            <c:numRef>
              <c:f>'Reso Cali with Energy Week 2'!$W$9:$W$24</c:f>
              <c:numCache>
                <c:formatCode>0.00</c:formatCode>
                <c:ptCount val="16"/>
                <c:pt idx="0">
                  <c:v>-1.1529809169999794</c:v>
                </c:pt>
                <c:pt idx="1">
                  <c:v>2.7149405790003129</c:v>
                </c:pt>
                <c:pt idx="2">
                  <c:v>3.0963777380006832</c:v>
                </c:pt>
                <c:pt idx="3">
                  <c:v>4.1016555430001063</c:v>
                </c:pt>
                <c:pt idx="4">
                  <c:v>4.1577021960006277</c:v>
                </c:pt>
                <c:pt idx="5">
                  <c:v>3.2183247950006262</c:v>
                </c:pt>
                <c:pt idx="6">
                  <c:v>4.4154297230002157</c:v>
                </c:pt>
                <c:pt idx="7">
                  <c:v>4.3228006950002964</c:v>
                </c:pt>
                <c:pt idx="8">
                  <c:v>-1.2410534099999495</c:v>
                </c:pt>
                <c:pt idx="9">
                  <c:v>3.5335394150006323</c:v>
                </c:pt>
                <c:pt idx="10">
                  <c:v>2.2480345900003158</c:v>
                </c:pt>
                <c:pt idx="11">
                  <c:v>2.9116831899991666</c:v>
                </c:pt>
                <c:pt idx="12">
                  <c:v>2.9846461199995247</c:v>
                </c:pt>
                <c:pt idx="13">
                  <c:v>-9.3544716399992467</c:v>
                </c:pt>
                <c:pt idx="14">
                  <c:v>-10.22415195999929</c:v>
                </c:pt>
                <c:pt idx="15">
                  <c:v>4.3698163100016245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1-4EFC-99EF-31938BEC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76456"/>
        <c:axId val="712280064"/>
      </c:scatterChart>
      <c:valAx>
        <c:axId val="712276456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Gamma 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80064"/>
        <c:crosses val="autoZero"/>
        <c:crossBetween val="midCat"/>
        <c:majorUnit val="250"/>
      </c:valAx>
      <c:valAx>
        <c:axId val="712280064"/>
        <c:scaling>
          <c:orientation val="minMax"/>
          <c:max val="8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7645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HPGe Resolution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2864451265627"/>
          <c:y val="0.13841683491381992"/>
          <c:w val="0.81489568041282978"/>
          <c:h val="0.75963883878364458"/>
        </c:manualLayout>
      </c:layout>
      <c:scatterChart>
        <c:scatterStyle val="lineMarker"/>
        <c:varyColors val="0"/>
        <c:ser>
          <c:idx val="0"/>
          <c:order val="0"/>
          <c:tx>
            <c:v>Resolution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2'!$AL$24:$AL$39</c:f>
                <c:numCache>
                  <c:formatCode>General</c:formatCode>
                  <c:ptCount val="16"/>
                  <c:pt idx="0">
                    <c:v>2.0734037364582274E-3</c:v>
                  </c:pt>
                  <c:pt idx="1">
                    <c:v>2.0173811257904291E-2</c:v>
                  </c:pt>
                  <c:pt idx="2">
                    <c:v>2.2711892856810287E-2</c:v>
                  </c:pt>
                  <c:pt idx="3">
                    <c:v>2.8061226776297785E-3</c:v>
                  </c:pt>
                  <c:pt idx="4">
                    <c:v>7.9268082351204097E-3</c:v>
                  </c:pt>
                  <c:pt idx="5">
                    <c:v>7.5077371772677634E-3</c:v>
                  </c:pt>
                  <c:pt idx="6">
                    <c:v>4.684681945583853E-3</c:v>
                  </c:pt>
                  <c:pt idx="7">
                    <c:v>2.0093995308775917E-3</c:v>
                  </c:pt>
                  <c:pt idx="8">
                    <c:v>5.8461796002080759E-3</c:v>
                  </c:pt>
                  <c:pt idx="9">
                    <c:v>3.4592410291455597E-3</c:v>
                  </c:pt>
                  <c:pt idx="10">
                    <c:v>9.8482629807438837E-3</c:v>
                  </c:pt>
                  <c:pt idx="11">
                    <c:v>1.0621258392759323E-2</c:v>
                  </c:pt>
                  <c:pt idx="12">
                    <c:v>1.6283950030634875E-2</c:v>
                  </c:pt>
                  <c:pt idx="13">
                    <c:v>1.1344275910911517E-2</c:v>
                  </c:pt>
                  <c:pt idx="14">
                    <c:v>1.0477935952402113E-2</c:v>
                  </c:pt>
                  <c:pt idx="15">
                    <c:v>1.0313195491326152E-3</c:v>
                  </c:pt>
                </c:numCache>
              </c:numRef>
            </c:plus>
            <c:minus>
              <c:numRef>
                <c:f>'Reso Cali with Energy Week 2'!$AL$24:$AL$39</c:f>
                <c:numCache>
                  <c:formatCode>General</c:formatCode>
                  <c:ptCount val="16"/>
                  <c:pt idx="0">
                    <c:v>2.0734037364582274E-3</c:v>
                  </c:pt>
                  <c:pt idx="1">
                    <c:v>2.0173811257904291E-2</c:v>
                  </c:pt>
                  <c:pt idx="2">
                    <c:v>2.2711892856810287E-2</c:v>
                  </c:pt>
                  <c:pt idx="3">
                    <c:v>2.8061226776297785E-3</c:v>
                  </c:pt>
                  <c:pt idx="4">
                    <c:v>7.9268082351204097E-3</c:v>
                  </c:pt>
                  <c:pt idx="5">
                    <c:v>7.5077371772677634E-3</c:v>
                  </c:pt>
                  <c:pt idx="6">
                    <c:v>4.684681945583853E-3</c:v>
                  </c:pt>
                  <c:pt idx="7">
                    <c:v>2.0093995308775917E-3</c:v>
                  </c:pt>
                  <c:pt idx="8">
                    <c:v>5.8461796002080759E-3</c:v>
                  </c:pt>
                  <c:pt idx="9">
                    <c:v>3.4592410291455597E-3</c:v>
                  </c:pt>
                  <c:pt idx="10">
                    <c:v>9.8482629807438837E-3</c:v>
                  </c:pt>
                  <c:pt idx="11">
                    <c:v>1.0621258392759323E-2</c:v>
                  </c:pt>
                  <c:pt idx="12">
                    <c:v>1.6283950030634875E-2</c:v>
                  </c:pt>
                  <c:pt idx="13">
                    <c:v>1.1344275910911517E-2</c:v>
                  </c:pt>
                  <c:pt idx="14">
                    <c:v>1.0477935952402113E-2</c:v>
                  </c:pt>
                  <c:pt idx="15">
                    <c:v>1.0313195491326152E-3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2'!$AI$24:$AI$39</c:f>
              <c:numCache>
                <c:formatCode>General</c:formatCode>
                <c:ptCount val="16"/>
                <c:pt idx="0">
                  <c:v>6.4945274854881045</c:v>
                </c:pt>
                <c:pt idx="1">
                  <c:v>7.0665794852985409</c:v>
                </c:pt>
                <c:pt idx="2">
                  <c:v>7.1939066572988715</c:v>
                </c:pt>
                <c:pt idx="3">
                  <c:v>5.6235824580974585</c:v>
                </c:pt>
                <c:pt idx="4">
                  <c:v>5.714847646690413</c:v>
                </c:pt>
                <c:pt idx="5">
                  <c:v>5.8764191867874533</c:v>
                </c:pt>
                <c:pt idx="6">
                  <c:v>5.9515666851254645</c:v>
                </c:pt>
                <c:pt idx="7">
                  <c:v>4.8048389675114542</c:v>
                </c:pt>
                <c:pt idx="8">
                  <c:v>5.5015039880665224</c:v>
                </c:pt>
                <c:pt idx="9">
                  <c:v>5.8425456930521253</c:v>
                </c:pt>
                <c:pt idx="10">
                  <c:v>6.6584198814066919</c:v>
                </c:pt>
                <c:pt idx="11">
                  <c:v>6.8714236221233422</c:v>
                </c:pt>
                <c:pt idx="12">
                  <c:v>6.9904205579578012</c:v>
                </c:pt>
                <c:pt idx="13">
                  <c:v>7.014298252770617</c:v>
                </c:pt>
                <c:pt idx="14">
                  <c:v>7.2502983649681942</c:v>
                </c:pt>
                <c:pt idx="15">
                  <c:v>4.0843918253406635</c:v>
                </c:pt>
              </c:numCache>
            </c:numRef>
          </c:xVal>
          <c:yVal>
            <c:numRef>
              <c:f>'Reso Cali with Energy Week 2'!$AK$24:$AK$39</c:f>
              <c:numCache>
                <c:formatCode>General</c:formatCode>
                <c:ptCount val="16"/>
                <c:pt idx="0">
                  <c:v>-5.1510117810504319</c:v>
                </c:pt>
                <c:pt idx="1">
                  <c:v>-5.6990209008847534</c:v>
                </c:pt>
                <c:pt idx="2">
                  <c:v>-5.795080605411143</c:v>
                </c:pt>
                <c:pt idx="3">
                  <c:v>-4.4740028743061568</c:v>
                </c:pt>
                <c:pt idx="4">
                  <c:v>-4.5695644090637035</c:v>
                </c:pt>
                <c:pt idx="5">
                  <c:v>-4.7661106494367251</c:v>
                </c:pt>
                <c:pt idx="6">
                  <c:v>-4.8283284624108198</c:v>
                </c:pt>
                <c:pt idx="7">
                  <c:v>-3.7495749986751381</c:v>
                </c:pt>
                <c:pt idx="8">
                  <c:v>-4.4020479935943566</c:v>
                </c:pt>
                <c:pt idx="9">
                  <c:v>-4.6788317155406931</c:v>
                </c:pt>
                <c:pt idx="10">
                  <c:v>-5.3291582184726494</c:v>
                </c:pt>
                <c:pt idx="11">
                  <c:v>-5.486334562128734</c:v>
                </c:pt>
                <c:pt idx="12">
                  <c:v>-5.5431804938704703</c:v>
                </c:pt>
                <c:pt idx="13">
                  <c:v>-5.592869621491567</c:v>
                </c:pt>
                <c:pt idx="14">
                  <c:v>-5.7615548726254895</c:v>
                </c:pt>
                <c:pt idx="15">
                  <c:v>-3.0529387705737658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C-465D-846F-2817B7D56856}"/>
            </c:ext>
          </c:extLst>
        </c:ser>
        <c:ser>
          <c:idx val="1"/>
          <c:order val="1"/>
          <c:tx>
            <c:v>Fit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5"/>
            <c:marker>
              <c:symbol val="none"/>
            </c:marker>
            <c:bubble3D val="0"/>
            <c:spPr>
              <a:ln w="158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1684-4872-8CD9-B2564DC75D24}"/>
              </c:ext>
            </c:extLst>
          </c:dPt>
          <c:dLbls>
            <c:dLbl>
              <c:idx val="8"/>
              <c:layout>
                <c:manualLayout>
                  <c:x val="-0.31028929490669488"/>
                  <c:y val="0.1959287208119931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χ</a:t>
                    </a:r>
                    <a:r>
                      <a:rPr lang="el-GR" sz="1200" b="0" i="0" u="none" strike="noStrike" kern="1200" baseline="3000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2</a:t>
                    </a:r>
                    <a:r>
                      <a:rPr lang="el-GR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/</a:t>
                    </a:r>
                    <a:r>
                      <a:rPr lang="en-GB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ndf = 2950.77/14</a:t>
                    </a:r>
                  </a:p>
                  <a:p>
                    <a:pPr>
                      <a:defRPr/>
                    </a:pPr>
                    <a:r>
                      <a:rPr lang="en-GB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m = -0.89 +/- 0.01</a:t>
                    </a:r>
                  </a:p>
                  <a:p>
                    <a:pPr>
                      <a:defRPr/>
                    </a:pPr>
                    <a:r>
                      <a:rPr lang="en-GB" sz="12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c = 0.56 +/- 0.01</a:t>
                    </a:r>
                    <a:endParaRPr lang="en-GB" sz="12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</a:endParaRPr>
                  </a:p>
                  <a:p>
                    <a:pPr>
                      <a:defRPr/>
                    </a:pPr>
                    <a:endParaRPr lang="en-GB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21713735382685"/>
                      <c:h val="0.27120659775554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684-4872-8CD9-B2564DC75D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 Cali with Energy Week 2'!$AI$24:$AI$39</c:f>
              <c:numCache>
                <c:formatCode>General</c:formatCode>
                <c:ptCount val="16"/>
                <c:pt idx="0">
                  <c:v>6.4945274854881045</c:v>
                </c:pt>
                <c:pt idx="1">
                  <c:v>7.0665794852985409</c:v>
                </c:pt>
                <c:pt idx="2">
                  <c:v>7.1939066572988715</c:v>
                </c:pt>
                <c:pt idx="3">
                  <c:v>5.6235824580974585</c:v>
                </c:pt>
                <c:pt idx="4">
                  <c:v>5.714847646690413</c:v>
                </c:pt>
                <c:pt idx="5">
                  <c:v>5.8764191867874533</c:v>
                </c:pt>
                <c:pt idx="6">
                  <c:v>5.9515666851254645</c:v>
                </c:pt>
                <c:pt idx="7">
                  <c:v>4.8048389675114542</c:v>
                </c:pt>
                <c:pt idx="8">
                  <c:v>5.5015039880665224</c:v>
                </c:pt>
                <c:pt idx="9">
                  <c:v>5.8425456930521253</c:v>
                </c:pt>
                <c:pt idx="10">
                  <c:v>6.6584198814066919</c:v>
                </c:pt>
                <c:pt idx="11">
                  <c:v>6.8714236221233422</c:v>
                </c:pt>
                <c:pt idx="12">
                  <c:v>6.9904205579578012</c:v>
                </c:pt>
                <c:pt idx="13">
                  <c:v>7.014298252770617</c:v>
                </c:pt>
                <c:pt idx="14">
                  <c:v>7.2502983649681942</c:v>
                </c:pt>
                <c:pt idx="15">
                  <c:v>4.0843918253406635</c:v>
                </c:pt>
              </c:numCache>
            </c:numRef>
          </c:xVal>
          <c:yVal>
            <c:numRef>
              <c:f>'Reso Cali with Energy Week 2'!$AM$24:$AM$39</c:f>
              <c:numCache>
                <c:formatCode>General</c:formatCode>
                <c:ptCount val="16"/>
                <c:pt idx="0">
                  <c:v>-5.2067757602946774</c:v>
                </c:pt>
                <c:pt idx="1">
                  <c:v>-5.7145119537664257</c:v>
                </c:pt>
                <c:pt idx="2">
                  <c:v>-5.8275237318187596</c:v>
                </c:pt>
                <c:pt idx="3">
                  <c:v>-4.4337510823335613</c:v>
                </c:pt>
                <c:pt idx="4">
                  <c:v>-4.5147553257730095</c:v>
                </c:pt>
                <c:pt idx="5">
                  <c:v>-4.6581613776169402</c:v>
                </c:pt>
                <c:pt idx="6">
                  <c:v>-4.7248600427168093</c:v>
                </c:pt>
                <c:pt idx="7">
                  <c:v>-3.707058922394141</c:v>
                </c:pt>
                <c:pt idx="8">
                  <c:v>-4.3253978946882032</c:v>
                </c:pt>
                <c:pt idx="9">
                  <c:v>-4.628096280782275</c:v>
                </c:pt>
                <c:pt idx="10">
                  <c:v>-5.3522417341401383</c:v>
                </c:pt>
                <c:pt idx="11">
                  <c:v>-5.5412974642880144</c:v>
                </c:pt>
                <c:pt idx="12">
                  <c:v>-5.6469155746266058</c:v>
                </c:pt>
                <c:pt idx="13">
                  <c:v>-5.6681087002116168</c:v>
                </c:pt>
                <c:pt idx="14">
                  <c:v>-5.8775753197948202</c:v>
                </c:pt>
                <c:pt idx="15">
                  <c:v>-3.0676116524176127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3C-465D-846F-2817B7D5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575784"/>
        <c:axId val="717582344"/>
      </c:scatterChart>
      <c:valAx>
        <c:axId val="717575784"/>
        <c:scaling>
          <c:orientation val="minMax"/>
          <c:max val="7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82344"/>
        <c:crosses val="autoZero"/>
        <c:crossBetween val="midCat"/>
      </c:valAx>
      <c:valAx>
        <c:axId val="717582344"/>
        <c:scaling>
          <c:orientation val="minMax"/>
          <c:max val="-3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7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13791638470195"/>
          <c:y val="0.25027127333566418"/>
          <c:w val="0.2028537354377255"/>
          <c:h val="0.185462070566453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HPGe Resolution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58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'Reso Cali with Energy Week 2'!$AL$24:$AL$39</c:f>
                <c:numCache>
                  <c:formatCode>General</c:formatCode>
                  <c:ptCount val="16"/>
                  <c:pt idx="0">
                    <c:v>2.0734037364582274E-3</c:v>
                  </c:pt>
                  <c:pt idx="1">
                    <c:v>2.0173811257904291E-2</c:v>
                  </c:pt>
                  <c:pt idx="2">
                    <c:v>2.2711892856810287E-2</c:v>
                  </c:pt>
                  <c:pt idx="3">
                    <c:v>2.8061226776297785E-3</c:v>
                  </c:pt>
                  <c:pt idx="4">
                    <c:v>7.9268082351204097E-3</c:v>
                  </c:pt>
                  <c:pt idx="5">
                    <c:v>7.5077371772677634E-3</c:v>
                  </c:pt>
                  <c:pt idx="6">
                    <c:v>4.684681945583853E-3</c:v>
                  </c:pt>
                  <c:pt idx="7">
                    <c:v>2.0093995308775917E-3</c:v>
                  </c:pt>
                  <c:pt idx="8">
                    <c:v>5.8461796002080759E-3</c:v>
                  </c:pt>
                  <c:pt idx="9">
                    <c:v>3.4592410291455597E-3</c:v>
                  </c:pt>
                  <c:pt idx="10">
                    <c:v>9.8482629807438837E-3</c:v>
                  </c:pt>
                  <c:pt idx="11">
                    <c:v>1.0621258392759323E-2</c:v>
                  </c:pt>
                  <c:pt idx="12">
                    <c:v>1.6283950030634875E-2</c:v>
                  </c:pt>
                  <c:pt idx="13">
                    <c:v>1.1344275910911517E-2</c:v>
                  </c:pt>
                  <c:pt idx="14">
                    <c:v>1.0477935952402113E-2</c:v>
                  </c:pt>
                  <c:pt idx="15">
                    <c:v>1.0313195491326152E-3</c:v>
                  </c:pt>
                </c:numCache>
              </c:numRef>
            </c:plus>
            <c:minus>
              <c:numRef>
                <c:f>'Reso Cali with Energy Week 2'!$AL$24:$AL$39</c:f>
                <c:numCache>
                  <c:formatCode>General</c:formatCode>
                  <c:ptCount val="16"/>
                  <c:pt idx="0">
                    <c:v>2.0734037364582274E-3</c:v>
                  </c:pt>
                  <c:pt idx="1">
                    <c:v>2.0173811257904291E-2</c:v>
                  </c:pt>
                  <c:pt idx="2">
                    <c:v>2.2711892856810287E-2</c:v>
                  </c:pt>
                  <c:pt idx="3">
                    <c:v>2.8061226776297785E-3</c:v>
                  </c:pt>
                  <c:pt idx="4">
                    <c:v>7.9268082351204097E-3</c:v>
                  </c:pt>
                  <c:pt idx="5">
                    <c:v>7.5077371772677634E-3</c:v>
                  </c:pt>
                  <c:pt idx="6">
                    <c:v>4.684681945583853E-3</c:v>
                  </c:pt>
                  <c:pt idx="7">
                    <c:v>2.0093995308775917E-3</c:v>
                  </c:pt>
                  <c:pt idx="8">
                    <c:v>5.8461796002080759E-3</c:v>
                  </c:pt>
                  <c:pt idx="9">
                    <c:v>3.4592410291455597E-3</c:v>
                  </c:pt>
                  <c:pt idx="10">
                    <c:v>9.8482629807438837E-3</c:v>
                  </c:pt>
                  <c:pt idx="11">
                    <c:v>1.0621258392759323E-2</c:v>
                  </c:pt>
                  <c:pt idx="12">
                    <c:v>1.6283950030634875E-2</c:v>
                  </c:pt>
                  <c:pt idx="13">
                    <c:v>1.1344275910911517E-2</c:v>
                  </c:pt>
                  <c:pt idx="14">
                    <c:v>1.0477935952402113E-2</c:v>
                  </c:pt>
                  <c:pt idx="15">
                    <c:v>1.0313195491326152E-3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 Cali with Energy Week 2'!$AI$24:$AI$39</c:f>
              <c:numCache>
                <c:formatCode>General</c:formatCode>
                <c:ptCount val="16"/>
                <c:pt idx="0">
                  <c:v>6.4945274854881045</c:v>
                </c:pt>
                <c:pt idx="1">
                  <c:v>7.0665794852985409</c:v>
                </c:pt>
                <c:pt idx="2">
                  <c:v>7.1939066572988715</c:v>
                </c:pt>
                <c:pt idx="3">
                  <c:v>5.6235824580974585</c:v>
                </c:pt>
                <c:pt idx="4">
                  <c:v>5.714847646690413</c:v>
                </c:pt>
                <c:pt idx="5">
                  <c:v>5.8764191867874533</c:v>
                </c:pt>
                <c:pt idx="6">
                  <c:v>5.9515666851254645</c:v>
                </c:pt>
                <c:pt idx="7">
                  <c:v>4.8048389675114542</c:v>
                </c:pt>
                <c:pt idx="8">
                  <c:v>5.5015039880665224</c:v>
                </c:pt>
                <c:pt idx="9">
                  <c:v>5.8425456930521253</c:v>
                </c:pt>
                <c:pt idx="10">
                  <c:v>6.6584198814066919</c:v>
                </c:pt>
                <c:pt idx="11">
                  <c:v>6.8714236221233422</c:v>
                </c:pt>
                <c:pt idx="12">
                  <c:v>6.9904205579578012</c:v>
                </c:pt>
                <c:pt idx="13">
                  <c:v>7.014298252770617</c:v>
                </c:pt>
                <c:pt idx="14">
                  <c:v>7.2502983649681942</c:v>
                </c:pt>
                <c:pt idx="15">
                  <c:v>4.0843918253406635</c:v>
                </c:pt>
              </c:numCache>
            </c:numRef>
          </c:xVal>
          <c:yVal>
            <c:numRef>
              <c:f>'Reso Cali with Energy Week 2'!$AN$24:$AN$39</c:f>
              <c:numCache>
                <c:formatCode>General</c:formatCode>
                <c:ptCount val="16"/>
                <c:pt idx="0">
                  <c:v>5.5763979244245476E-2</c:v>
                </c:pt>
                <c:pt idx="1">
                  <c:v>1.5491052881672296E-2</c:v>
                </c:pt>
                <c:pt idx="2">
                  <c:v>3.2443126407616596E-2</c:v>
                </c:pt>
                <c:pt idx="3">
                  <c:v>-4.0251791972595541E-2</c:v>
                </c:pt>
                <c:pt idx="4">
                  <c:v>-5.4809083290694005E-2</c:v>
                </c:pt>
                <c:pt idx="5">
                  <c:v>-0.10794927181978498</c:v>
                </c:pt>
                <c:pt idx="6">
                  <c:v>-0.10346841969401055</c:v>
                </c:pt>
                <c:pt idx="7">
                  <c:v>-4.2516076280997073E-2</c:v>
                </c:pt>
                <c:pt idx="8">
                  <c:v>-7.6650098906153374E-2</c:v>
                </c:pt>
                <c:pt idx="9">
                  <c:v>-5.073543475841813E-2</c:v>
                </c:pt>
                <c:pt idx="10">
                  <c:v>2.3083515667488896E-2</c:v>
                </c:pt>
                <c:pt idx="11">
                  <c:v>5.4962902159280347E-2</c:v>
                </c:pt>
                <c:pt idx="12">
                  <c:v>0.10373508075613547</c:v>
                </c:pt>
                <c:pt idx="13">
                  <c:v>7.5239078720049868E-2</c:v>
                </c:pt>
                <c:pt idx="14">
                  <c:v>0.11602044716933069</c:v>
                </c:pt>
                <c:pt idx="15">
                  <c:v>1.4672881843846852E-2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9-486F-AD84-E5527B0D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200672"/>
        <c:axId val="659207232"/>
      </c:scatterChart>
      <c:valAx>
        <c:axId val="65920067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07232"/>
        <c:crosses val="autoZero"/>
        <c:crossBetween val="midCat"/>
      </c:valAx>
      <c:valAx>
        <c:axId val="6592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image" Target="../media/image1.png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image" Target="../media/image3.png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5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14</xdr:row>
      <xdr:rowOff>33338</xdr:rowOff>
    </xdr:from>
    <xdr:to>
      <xdr:col>8</xdr:col>
      <xdr:colOff>248478</xdr:colOff>
      <xdr:row>28</xdr:row>
      <xdr:rowOff>68126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9</xdr:row>
      <xdr:rowOff>123825</xdr:rowOff>
    </xdr:from>
    <xdr:to>
      <xdr:col>17</xdr:col>
      <xdr:colOff>361950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559253</xdr:colOff>
      <xdr:row>16</xdr:row>
      <xdr:rowOff>17689</xdr:rowOff>
    </xdr:from>
    <xdr:to>
      <xdr:col>15</xdr:col>
      <xdr:colOff>555171</xdr:colOff>
      <xdr:row>33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204787</xdr:colOff>
      <xdr:row>39</xdr:row>
      <xdr:rowOff>9525</xdr:rowOff>
    </xdr:from>
    <xdr:to>
      <xdr:col>7</xdr:col>
      <xdr:colOff>171450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24</xdr:row>
      <xdr:rowOff>9525</xdr:rowOff>
    </xdr:from>
    <xdr:to>
      <xdr:col>7</xdr:col>
      <xdr:colOff>333375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344348</xdr:colOff>
      <xdr:row>1</xdr:row>
      <xdr:rowOff>92819</xdr:rowOff>
    </xdr:from>
    <xdr:to>
      <xdr:col>26</xdr:col>
      <xdr:colOff>4576</xdr:colOff>
      <xdr:row>15</xdr:row>
      <xdr:rowOff>193883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186605</xdr:colOff>
      <xdr:row>17</xdr:row>
      <xdr:rowOff>92527</xdr:rowOff>
    </xdr:from>
    <xdr:to>
      <xdr:col>24</xdr:col>
      <xdr:colOff>491404</xdr:colOff>
      <xdr:row>31</xdr:row>
      <xdr:rowOff>166501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117343</xdr:colOff>
      <xdr:row>40</xdr:row>
      <xdr:rowOff>50346</xdr:rowOff>
    </xdr:from>
    <xdr:to>
      <xdr:col>34</xdr:col>
      <xdr:colOff>833437</xdr:colOff>
      <xdr:row>55</xdr:row>
      <xdr:rowOff>108239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1149802</xdr:colOff>
      <xdr:row>40</xdr:row>
      <xdr:rowOff>63953</xdr:rowOff>
    </xdr:from>
    <xdr:to>
      <xdr:col>38</xdr:col>
      <xdr:colOff>660256</xdr:colOff>
      <xdr:row>53</xdr:row>
      <xdr:rowOff>119063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47</xdr:col>
      <xdr:colOff>252547</xdr:colOff>
      <xdr:row>1</xdr:row>
      <xdr:rowOff>28847</xdr:rowOff>
    </xdr:from>
    <xdr:ext cx="1399357" cy="3530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36733297" y="232954"/>
              <a:ext cx="1399357" cy="353045"/>
            </a:xfrm>
            <a:prstGeom prst="rect">
              <a:avLst/>
            </a:prstGeom>
            <a:solidFill>
              <a:schemeClr val="bg1"/>
            </a:solidFill>
            <a:ln w="15875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(1−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CA84CE2-E1CA-4CDC-8838-422602DA3E7D}"/>
                </a:ext>
              </a:extLst>
            </xdr:cNvPr>
            <xdr:cNvSpPr txBox="1"/>
          </xdr:nvSpPr>
          <xdr:spPr>
            <a:xfrm>
              <a:off x="36733297" y="232954"/>
              <a:ext cx="1399357" cy="353045"/>
            </a:xfrm>
            <a:prstGeom prst="rect">
              <a:avLst/>
            </a:prstGeom>
            <a:solidFill>
              <a:schemeClr val="bg1"/>
            </a:solidFill>
            <a:ln w="15875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Ω</a:t>
              </a:r>
              <a:r>
                <a:rPr lang="en-US" sz="1100" b="0" i="0">
                  <a:latin typeface="Cambria Math" panose="02040503050406030204" pitchFamily="18" charset="0"/>
                </a:rPr>
                <a:t>=2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𝜋(1−𝑑/√(𝑑^2+𝑎^2 ))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57</xdr:col>
      <xdr:colOff>593913</xdr:colOff>
      <xdr:row>4</xdr:row>
      <xdr:rowOff>10322</xdr:rowOff>
    </xdr:from>
    <xdr:to>
      <xdr:col>64</xdr:col>
      <xdr:colOff>245388</xdr:colOff>
      <xdr:row>25</xdr:row>
      <xdr:rowOff>142067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317268</xdr:colOff>
      <xdr:row>4</xdr:row>
      <xdr:rowOff>69880</xdr:rowOff>
    </xdr:from>
    <xdr:to>
      <xdr:col>70</xdr:col>
      <xdr:colOff>994475</xdr:colOff>
      <xdr:row>26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705910</xdr:colOff>
      <xdr:row>77</xdr:row>
      <xdr:rowOff>52988</xdr:rowOff>
    </xdr:from>
    <xdr:to>
      <xdr:col>86</xdr:col>
      <xdr:colOff>249661</xdr:colOff>
      <xdr:row>97</xdr:row>
      <xdr:rowOff>119708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78</xdr:col>
      <xdr:colOff>704102</xdr:colOff>
      <xdr:row>97</xdr:row>
      <xdr:rowOff>127173</xdr:rowOff>
    </xdr:from>
    <xdr:to>
      <xdr:col>84</xdr:col>
      <xdr:colOff>427011</xdr:colOff>
      <xdr:row>117</xdr:row>
      <xdr:rowOff>5946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66</xdr:col>
      <xdr:colOff>195770</xdr:colOff>
      <xdr:row>21</xdr:row>
      <xdr:rowOff>7044</xdr:rowOff>
    </xdr:from>
    <xdr:to>
      <xdr:col>72</xdr:col>
      <xdr:colOff>794197</xdr:colOff>
      <xdr:row>42</xdr:row>
      <xdr:rowOff>32197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0</xdr:colOff>
      <xdr:row>81</xdr:row>
      <xdr:rowOff>0</xdr:rowOff>
    </xdr:from>
    <xdr:to>
      <xdr:col>28</xdr:col>
      <xdr:colOff>317249</xdr:colOff>
      <xdr:row>95</xdr:row>
      <xdr:rowOff>128391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4A45953-03EF-4333-A3A4-D3F02A93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166273" y="15274636"/>
          <a:ext cx="4560203" cy="274343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97</xdr:row>
      <xdr:rowOff>0</xdr:rowOff>
    </xdr:from>
    <xdr:to>
      <xdr:col>28</xdr:col>
      <xdr:colOff>317249</xdr:colOff>
      <xdr:row>111</xdr:row>
      <xdr:rowOff>156932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E8CC993-43FA-413B-BE81-A99997E40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166273" y="18262023"/>
          <a:ext cx="4560203" cy="2737341"/>
        </a:xfrm>
        <a:prstGeom prst="rect">
          <a:avLst/>
        </a:prstGeom>
      </xdr:spPr>
    </xdr:pic>
    <xdr:clientData/>
  </xdr:twoCellAnchor>
  <xdr:twoCellAnchor>
    <xdr:from>
      <xdr:col>33</xdr:col>
      <xdr:colOff>594894</xdr:colOff>
      <xdr:row>56</xdr:row>
      <xdr:rowOff>92242</xdr:rowOff>
    </xdr:from>
    <xdr:to>
      <xdr:col>37</xdr:col>
      <xdr:colOff>828842</xdr:colOff>
      <xdr:row>73</xdr:row>
      <xdr:rowOff>13367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1F6E67-85FE-46EF-8A37-4FE6130C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34</xdr:col>
      <xdr:colOff>0</xdr:colOff>
      <xdr:row>75</xdr:row>
      <xdr:rowOff>0</xdr:rowOff>
    </xdr:from>
    <xdr:to>
      <xdr:col>38</xdr:col>
      <xdr:colOff>7071</xdr:colOff>
      <xdr:row>91</xdr:row>
      <xdr:rowOff>120798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9E2D0D7-5738-4ECE-9561-47708634E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3474947" y="14076947"/>
          <a:ext cx="5218628" cy="3115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Y36"/>
  <sheetViews>
    <sheetView zoomScale="69" zoomScaleNormal="69" workbookViewId="0">
      <selection activeCell="U31" sqref="U31"/>
    </sheetView>
  </sheetViews>
  <sheetFormatPr defaultRowHeight="14.4" x14ac:dyDescent="0.3"/>
  <cols>
    <col min="4" max="4" width="11.5546875" customWidth="1"/>
    <col min="5" max="5" width="18" customWidth="1"/>
    <col min="6" max="6" width="12" bestFit="1" customWidth="1"/>
    <col min="13" max="13" width="12" bestFit="1" customWidth="1"/>
    <col min="25" max="25" width="12.44140625" customWidth="1"/>
  </cols>
  <sheetData>
    <row r="1" spans="3:25" ht="15" thickBot="1" x14ac:dyDescent="0.35">
      <c r="J1" t="s">
        <v>18</v>
      </c>
      <c r="T1" s="63" t="s">
        <v>309</v>
      </c>
      <c r="U1" s="64"/>
      <c r="V1" s="65"/>
    </row>
    <row r="2" spans="3:25" x14ac:dyDescent="0.3">
      <c r="J2" t="s">
        <v>4</v>
      </c>
      <c r="K2" t="s">
        <v>5</v>
      </c>
      <c r="N2" t="s">
        <v>6</v>
      </c>
      <c r="O2" t="s">
        <v>7</v>
      </c>
      <c r="T2" s="21" t="s">
        <v>61</v>
      </c>
      <c r="U2">
        <v>651.36099999999999</v>
      </c>
      <c r="V2" s="22">
        <f>U2/U3</f>
        <v>108.56016666666666</v>
      </c>
    </row>
    <row r="3" spans="3:25" x14ac:dyDescent="0.3">
      <c r="C3" t="s">
        <v>303</v>
      </c>
      <c r="D3" t="s">
        <v>0</v>
      </c>
      <c r="E3" t="s">
        <v>1</v>
      </c>
      <c r="F3" t="s">
        <v>65</v>
      </c>
      <c r="G3" t="s">
        <v>2</v>
      </c>
      <c r="H3" t="s">
        <v>3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T3" s="21" t="s">
        <v>62</v>
      </c>
      <c r="U3">
        <v>6</v>
      </c>
      <c r="V3" s="22"/>
    </row>
    <row r="4" spans="3:25" x14ac:dyDescent="0.3">
      <c r="C4">
        <f>1/D4</f>
        <v>0.625</v>
      </c>
      <c r="D4">
        <v>1.6</v>
      </c>
      <c r="E4">
        <f t="shared" ref="E4:E11" si="0">H4/G4</f>
        <v>4.9233784746970776E-3</v>
      </c>
      <c r="F4">
        <f>SQRT((-$M$4*H4/(G4^2))^2+($M$5/G4)^2)</f>
        <v>1.4407071477153312E-5</v>
      </c>
      <c r="G4">
        <v>5612</v>
      </c>
      <c r="H4">
        <v>27.63</v>
      </c>
      <c r="J4">
        <v>1</v>
      </c>
      <c r="K4" t="s">
        <v>14</v>
      </c>
      <c r="L4" s="1">
        <v>5644.21</v>
      </c>
      <c r="M4" s="1">
        <v>3.5142800000000002E-2</v>
      </c>
      <c r="N4" s="1">
        <v>6.8305899999999996E-6</v>
      </c>
      <c r="O4" s="1">
        <v>3.7379200000000001E-2</v>
      </c>
      <c r="T4" s="21" t="s">
        <v>63</v>
      </c>
      <c r="U4">
        <v>1.43221E-3</v>
      </c>
      <c r="V4" s="59">
        <v>2.49346E-5</v>
      </c>
    </row>
    <row r="5" spans="3:25" ht="15" thickBot="1" x14ac:dyDescent="0.35">
      <c r="C5">
        <f t="shared" ref="C5:C11" si="1">1/D5</f>
        <v>0.55555555555555558</v>
      </c>
      <c r="D5">
        <v>1.8</v>
      </c>
      <c r="E5">
        <f t="shared" si="0"/>
        <v>4.4923405771286071E-3</v>
      </c>
      <c r="F5">
        <f t="shared" ref="F5:F11" si="2">SQRT((-$M$4*H5/(G5^2))^2+($M$5/G5)^2)</f>
        <v>1.4401933404502268E-5</v>
      </c>
      <c r="G5">
        <v>5614</v>
      </c>
      <c r="H5">
        <v>25.22</v>
      </c>
      <c r="J5">
        <v>2</v>
      </c>
      <c r="K5" t="s">
        <v>3</v>
      </c>
      <c r="L5" s="1">
        <v>21.490200000000002</v>
      </c>
      <c r="M5" s="1">
        <v>8.0852300000000002E-2</v>
      </c>
      <c r="N5" s="1">
        <v>3.2497799999999999E-5</v>
      </c>
      <c r="O5" s="1">
        <v>-1.0228299999999999E-2</v>
      </c>
      <c r="T5" s="6" t="s">
        <v>64</v>
      </c>
      <c r="U5" s="46">
        <v>5.3740400000000001E-3</v>
      </c>
      <c r="V5" s="47">
        <v>5.3804699999999997E-5</v>
      </c>
    </row>
    <row r="6" spans="3:25" ht="15" thickBot="1" x14ac:dyDescent="0.35">
      <c r="C6">
        <f t="shared" si="1"/>
        <v>0.5</v>
      </c>
      <c r="D6">
        <v>2</v>
      </c>
      <c r="E6" s="1">
        <f t="shared" si="0"/>
        <v>3.8074770428456776E-3</v>
      </c>
      <c r="F6">
        <f t="shared" si="2"/>
        <v>1.4324840982109601E-5</v>
      </c>
      <c r="G6" s="1">
        <v>5644.21</v>
      </c>
      <c r="H6" s="1">
        <v>21.490200000000002</v>
      </c>
      <c r="I6" s="1">
        <v>8.0852300000000002E-2</v>
      </c>
      <c r="J6">
        <v>3</v>
      </c>
      <c r="K6" t="s">
        <v>15</v>
      </c>
      <c r="L6" s="1">
        <v>69620.2</v>
      </c>
      <c r="M6" s="1">
        <v>264.96199999999999</v>
      </c>
      <c r="N6" s="1">
        <v>3.5799699999999998E-4</v>
      </c>
      <c r="O6" s="1">
        <v>2.3112600000000001E-2</v>
      </c>
      <c r="T6" s="97" t="s">
        <v>310</v>
      </c>
      <c r="U6" s="99"/>
      <c r="V6" s="99"/>
      <c r="W6" s="92" t="s">
        <v>313</v>
      </c>
      <c r="X6" s="93"/>
      <c r="Y6" s="82"/>
    </row>
    <row r="7" spans="3:25" x14ac:dyDescent="0.3">
      <c r="C7">
        <f t="shared" si="1"/>
        <v>0.45454545454545453</v>
      </c>
      <c r="D7">
        <v>2.2000000000000002</v>
      </c>
      <c r="E7">
        <f t="shared" si="0"/>
        <v>3.8545389563974268E-3</v>
      </c>
      <c r="F7">
        <f t="shared" si="2"/>
        <v>1.4448251156830411E-5</v>
      </c>
      <c r="G7">
        <v>5596</v>
      </c>
      <c r="H7">
        <v>21.57</v>
      </c>
      <c r="J7">
        <v>4</v>
      </c>
      <c r="K7" t="s">
        <v>16</v>
      </c>
      <c r="L7" s="1">
        <v>195.35400000000001</v>
      </c>
      <c r="M7" s="1">
        <v>6.4519799999999998</v>
      </c>
      <c r="N7" s="1">
        <v>6.3101600000000004E-3</v>
      </c>
      <c r="O7" s="1">
        <v>2.50871E-4</v>
      </c>
      <c r="T7" s="4" t="s">
        <v>61</v>
      </c>
      <c r="U7" s="45">
        <v>98.591200000000001</v>
      </c>
      <c r="V7" s="45">
        <f>U7/U8</f>
        <v>19.718240000000002</v>
      </c>
      <c r="W7" s="4" t="s">
        <v>61</v>
      </c>
      <c r="X7" s="45">
        <v>323.36200000000002</v>
      </c>
      <c r="Y7" s="5">
        <f>X7/X8</f>
        <v>64.67240000000001</v>
      </c>
    </row>
    <row r="8" spans="3:25" x14ac:dyDescent="0.3">
      <c r="C8">
        <f t="shared" si="1"/>
        <v>0.41666666666666669</v>
      </c>
      <c r="D8">
        <v>2.4</v>
      </c>
      <c r="E8">
        <f t="shared" si="0"/>
        <v>3.6591030909415758E-3</v>
      </c>
      <c r="F8">
        <f t="shared" si="2"/>
        <v>1.4445667725296982E-5</v>
      </c>
      <c r="G8">
        <v>5597</v>
      </c>
      <c r="H8">
        <v>20.48</v>
      </c>
      <c r="J8">
        <v>5</v>
      </c>
      <c r="K8" t="s">
        <v>17</v>
      </c>
      <c r="L8" s="1">
        <v>-3.2901800000000002E-2</v>
      </c>
      <c r="M8" s="1">
        <v>1.14729E-3</v>
      </c>
      <c r="N8" s="1">
        <v>1.1220499999999999E-6</v>
      </c>
      <c r="O8" s="1">
        <v>1.3877900000000001</v>
      </c>
      <c r="T8" s="21" t="s">
        <v>62</v>
      </c>
      <c r="U8">
        <v>5</v>
      </c>
      <c r="W8" s="21" t="s">
        <v>62</v>
      </c>
      <c r="X8">
        <v>5</v>
      </c>
      <c r="Y8" s="22"/>
    </row>
    <row r="9" spans="3:25" x14ac:dyDescent="0.3">
      <c r="C9">
        <f t="shared" si="1"/>
        <v>0.38461538461538458</v>
      </c>
      <c r="D9">
        <v>2.6</v>
      </c>
      <c r="E9">
        <f t="shared" si="0"/>
        <v>3.4983026621404319E-3</v>
      </c>
      <c r="F9">
        <f t="shared" si="2"/>
        <v>1.4445666154799098E-5</v>
      </c>
      <c r="G9">
        <v>5597</v>
      </c>
      <c r="H9">
        <v>19.579999999999998</v>
      </c>
      <c r="T9" s="21" t="s">
        <v>294</v>
      </c>
      <c r="U9">
        <v>1.36983E-3</v>
      </c>
      <c r="V9" s="1">
        <v>2.5075400000000001E-5</v>
      </c>
      <c r="W9" s="21" t="s">
        <v>63</v>
      </c>
      <c r="X9">
        <v>3.9427000000000004E-3</v>
      </c>
      <c r="Y9" s="22">
        <v>1.40844E-4</v>
      </c>
    </row>
    <row r="10" spans="3:25" ht="15" thickBot="1" x14ac:dyDescent="0.35">
      <c r="C10">
        <f t="shared" si="1"/>
        <v>0.35714285714285715</v>
      </c>
      <c r="D10">
        <v>2.8</v>
      </c>
      <c r="E10">
        <f t="shared" si="0"/>
        <v>3.3708467309753487E-3</v>
      </c>
      <c r="F10">
        <f t="shared" si="2"/>
        <v>1.4443084455465274E-5</v>
      </c>
      <c r="G10">
        <v>5598</v>
      </c>
      <c r="H10">
        <v>18.87</v>
      </c>
      <c r="T10" s="6" t="s">
        <v>112</v>
      </c>
      <c r="U10" s="46">
        <v>5.6139600000000003E-3</v>
      </c>
      <c r="V10" s="96">
        <v>5.4763799999999999E-5</v>
      </c>
      <c r="W10" s="21" t="s">
        <v>64</v>
      </c>
      <c r="X10">
        <v>-5.6377099999999998E-3</v>
      </c>
      <c r="Y10" s="22">
        <v>6.1039899999999997E-4</v>
      </c>
    </row>
    <row r="11" spans="3:25" ht="15" thickBot="1" x14ac:dyDescent="0.35">
      <c r="C11">
        <f t="shared" si="1"/>
        <v>0.33333333333333331</v>
      </c>
      <c r="D11">
        <v>3</v>
      </c>
      <c r="E11">
        <f t="shared" si="0"/>
        <v>3.3440514469453373E-3</v>
      </c>
      <c r="F11">
        <f t="shared" si="2"/>
        <v>1.4443084209986024E-5</v>
      </c>
      <c r="G11">
        <v>5598</v>
      </c>
      <c r="H11">
        <v>18.72</v>
      </c>
      <c r="T11" s="114" t="s">
        <v>311</v>
      </c>
      <c r="U11" s="115"/>
      <c r="V11" s="115"/>
      <c r="W11" s="6" t="s">
        <v>312</v>
      </c>
      <c r="X11" s="46">
        <v>1.15701E-2</v>
      </c>
      <c r="Y11" s="7">
        <v>6.3885199999999997E-4</v>
      </c>
    </row>
    <row r="12" spans="3:25" x14ac:dyDescent="0.3">
      <c r="T12" s="4" t="s">
        <v>61</v>
      </c>
      <c r="U12" s="45">
        <v>20.745699999999999</v>
      </c>
      <c r="V12" s="5">
        <f>U12/U13</f>
        <v>5.1864249999999998</v>
      </c>
    </row>
    <row r="13" spans="3:25" x14ac:dyDescent="0.3">
      <c r="T13" s="21" t="s">
        <v>62</v>
      </c>
      <c r="U13">
        <v>4</v>
      </c>
      <c r="V13" s="22"/>
    </row>
    <row r="14" spans="3:25" x14ac:dyDescent="0.3">
      <c r="T14" s="21" t="s">
        <v>88</v>
      </c>
      <c r="U14">
        <v>2.7370200000000002E-3</v>
      </c>
      <c r="V14" s="22">
        <v>1.56973E-4</v>
      </c>
    </row>
    <row r="15" spans="3:25" x14ac:dyDescent="0.3">
      <c r="T15" s="21" t="s">
        <v>316</v>
      </c>
      <c r="U15">
        <v>-3.7688499999999998E-4</v>
      </c>
      <c r="V15" s="22">
        <v>6.8120799999999999E-4</v>
      </c>
    </row>
    <row r="16" spans="3:25" ht="15" thickBot="1" x14ac:dyDescent="0.35">
      <c r="T16" s="6" t="s">
        <v>87</v>
      </c>
      <c r="U16" s="46">
        <v>6.2493100000000001E-3</v>
      </c>
      <c r="V16" s="7">
        <v>7.0829699999999998E-4</v>
      </c>
    </row>
    <row r="17" spans="9:25" ht="15" thickBot="1" x14ac:dyDescent="0.35">
      <c r="T17" s="25" t="s">
        <v>303</v>
      </c>
      <c r="U17" s="98" t="s">
        <v>314</v>
      </c>
      <c r="V17" s="87" t="s">
        <v>315</v>
      </c>
    </row>
    <row r="18" spans="9:25" x14ac:dyDescent="0.3">
      <c r="T18" s="8">
        <v>0</v>
      </c>
      <c r="U18" s="45">
        <f t="shared" ref="U18:U25" si="3">$U$10*T18+$U$9</f>
        <v>1.36983E-3</v>
      </c>
      <c r="V18" s="8">
        <f>$U$16*(T18)^2+$U$15*T18+$U$14</f>
        <v>2.7370200000000002E-3</v>
      </c>
    </row>
    <row r="19" spans="9:25" x14ac:dyDescent="0.3">
      <c r="T19" s="20">
        <v>0.1</v>
      </c>
      <c r="U19">
        <f t="shared" si="3"/>
        <v>1.9312260000000001E-3</v>
      </c>
      <c r="V19" s="20">
        <f t="shared" ref="V19:V26" si="4">$U$16*(T19)^2+$U$15*T19+$U$14</f>
        <v>2.7618246000000002E-3</v>
      </c>
    </row>
    <row r="20" spans="9:25" x14ac:dyDescent="0.3">
      <c r="T20" s="20">
        <v>0.2</v>
      </c>
      <c r="U20">
        <f t="shared" si="3"/>
        <v>2.4926219999999999E-3</v>
      </c>
      <c r="V20" s="20">
        <f t="shared" si="4"/>
        <v>2.9116154000000003E-3</v>
      </c>
    </row>
    <row r="21" spans="9:25" x14ac:dyDescent="0.3">
      <c r="T21" s="20">
        <v>0.3</v>
      </c>
      <c r="U21">
        <f t="shared" si="3"/>
        <v>3.0540180000000004E-3</v>
      </c>
      <c r="V21" s="20">
        <f t="shared" si="4"/>
        <v>3.1863924000000003E-3</v>
      </c>
    </row>
    <row r="22" spans="9:25" x14ac:dyDescent="0.3">
      <c r="T22" s="20">
        <v>0.4</v>
      </c>
      <c r="U22">
        <f t="shared" si="3"/>
        <v>3.615414E-3</v>
      </c>
      <c r="V22" s="20">
        <f t="shared" si="4"/>
        <v>3.5861556000000004E-3</v>
      </c>
    </row>
    <row r="23" spans="9:25" x14ac:dyDescent="0.3">
      <c r="T23" s="20">
        <v>0.5</v>
      </c>
      <c r="U23">
        <f t="shared" si="3"/>
        <v>4.1768100000000004E-3</v>
      </c>
      <c r="V23" s="20">
        <f t="shared" si="4"/>
        <v>4.1109049999999998E-3</v>
      </c>
    </row>
    <row r="24" spans="9:25" x14ac:dyDescent="0.3">
      <c r="T24" s="20">
        <v>0.6</v>
      </c>
      <c r="U24">
        <f t="shared" si="3"/>
        <v>4.738206E-3</v>
      </c>
      <c r="V24" s="20">
        <f t="shared" si="4"/>
        <v>4.7606406000000002E-3</v>
      </c>
    </row>
    <row r="25" spans="9:25" ht="15" thickBot="1" x14ac:dyDescent="0.35">
      <c r="T25" s="9">
        <v>0.7</v>
      </c>
      <c r="U25" s="46">
        <f t="shared" si="3"/>
        <v>5.2996019999999996E-3</v>
      </c>
      <c r="V25" s="9">
        <f t="shared" si="4"/>
        <v>5.5353624000000004E-3</v>
      </c>
    </row>
    <row r="26" spans="9:25" ht="15" thickBot="1" x14ac:dyDescent="0.35">
      <c r="T26">
        <f>1/300000</f>
        <v>3.3333333333333333E-6</v>
      </c>
      <c r="V26" s="9">
        <f t="shared" si="4"/>
        <v>2.7370187437861038E-3</v>
      </c>
    </row>
    <row r="27" spans="9:25" ht="15.6" x14ac:dyDescent="0.35">
      <c r="T27" s="132" t="s">
        <v>317</v>
      </c>
      <c r="U27" s="133"/>
      <c r="V27" s="133"/>
      <c r="W27" s="133"/>
      <c r="X27" s="133"/>
      <c r="Y27" s="134"/>
    </row>
    <row r="28" spans="9:25" ht="15" thickBot="1" x14ac:dyDescent="0.35">
      <c r="T28" s="135" t="s">
        <v>318</v>
      </c>
      <c r="U28" s="136"/>
      <c r="V28" s="136"/>
      <c r="W28" s="136"/>
      <c r="X28" s="136"/>
      <c r="Y28" s="137"/>
    </row>
    <row r="29" spans="9:25" x14ac:dyDescent="0.3">
      <c r="I29" t="s">
        <v>217</v>
      </c>
      <c r="J29" t="s">
        <v>304</v>
      </c>
      <c r="N29">
        <v>0.625</v>
      </c>
      <c r="O29">
        <v>4.9233784746970776E-3</v>
      </c>
      <c r="P29">
        <v>1.4407071477153312E-5</v>
      </c>
    </row>
    <row r="30" spans="9:25" x14ac:dyDescent="0.3">
      <c r="I30" t="s">
        <v>305</v>
      </c>
      <c r="J30" t="s">
        <v>306</v>
      </c>
      <c r="N30">
        <v>0.55555555555555558</v>
      </c>
      <c r="O30">
        <v>4.4923405771286071E-3</v>
      </c>
      <c r="P30">
        <v>1.4401933404502268E-5</v>
      </c>
    </row>
    <row r="31" spans="9:25" x14ac:dyDescent="0.3">
      <c r="I31" t="s">
        <v>307</v>
      </c>
      <c r="J31" t="s">
        <v>308</v>
      </c>
      <c r="N31">
        <v>0.5</v>
      </c>
      <c r="O31" s="1">
        <v>3.8074770428456776E-3</v>
      </c>
      <c r="P31">
        <v>1.4324840982109601E-5</v>
      </c>
    </row>
    <row r="32" spans="9:25" x14ac:dyDescent="0.3">
      <c r="N32">
        <v>0.45454545454545453</v>
      </c>
      <c r="O32">
        <v>3.8545389563974268E-3</v>
      </c>
      <c r="P32">
        <v>1.4448251156830411E-5</v>
      </c>
    </row>
    <row r="33" spans="14:16" x14ac:dyDescent="0.3">
      <c r="N33">
        <v>0.41666666666666669</v>
      </c>
      <c r="O33">
        <v>3.6591030909415758E-3</v>
      </c>
      <c r="P33">
        <v>1.4445667725296982E-5</v>
      </c>
    </row>
    <row r="34" spans="14:16" x14ac:dyDescent="0.3">
      <c r="N34">
        <v>0.38461538461538458</v>
      </c>
      <c r="O34">
        <v>3.4983026621404319E-3</v>
      </c>
      <c r="P34">
        <v>1.4445666154799098E-5</v>
      </c>
    </row>
    <row r="35" spans="14:16" x14ac:dyDescent="0.3">
      <c r="N35">
        <v>0.35714285714285715</v>
      </c>
      <c r="O35">
        <v>3.3708467309753487E-3</v>
      </c>
      <c r="P35">
        <v>1.4443084455465274E-5</v>
      </c>
    </row>
    <row r="36" spans="14:16" x14ac:dyDescent="0.3">
      <c r="N36">
        <v>0.33333333333333331</v>
      </c>
      <c r="O36">
        <v>3.3440514469453373E-3</v>
      </c>
      <c r="P36">
        <v>1.4443084209986024E-5</v>
      </c>
    </row>
  </sheetData>
  <mergeCells count="2">
    <mergeCell ref="T27:Y27"/>
    <mergeCell ref="T28:Y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3"/>
  <sheetViews>
    <sheetView workbookViewId="0">
      <selection activeCell="Q6" sqref="Q6:R6"/>
    </sheetView>
  </sheetViews>
  <sheetFormatPr defaultRowHeight="14.4" x14ac:dyDescent="0.3"/>
  <sheetData>
    <row r="1" spans="1:21" x14ac:dyDescent="0.3">
      <c r="A1" t="s">
        <v>19</v>
      </c>
      <c r="H1" t="s">
        <v>103</v>
      </c>
    </row>
    <row r="2" spans="1:21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O2" t="s">
        <v>70</v>
      </c>
      <c r="P2" t="s">
        <v>83</v>
      </c>
    </row>
    <row r="3" spans="1:21" x14ac:dyDescent="0.3">
      <c r="A3">
        <v>1</v>
      </c>
      <c r="B3" t="s">
        <v>14</v>
      </c>
      <c r="C3">
        <v>5643.13</v>
      </c>
      <c r="D3">
        <v>2.6879500000000001E-2</v>
      </c>
      <c r="E3">
        <v>3.0817699999999999E-6</v>
      </c>
      <c r="F3">
        <v>-1.05875E-2</v>
      </c>
      <c r="H3">
        <v>1</v>
      </c>
      <c r="I3" t="s">
        <v>14</v>
      </c>
      <c r="J3" s="1">
        <v>5630.89</v>
      </c>
      <c r="K3" s="1">
        <v>2.83436E-2</v>
      </c>
      <c r="L3" s="1">
        <v>4.0166400000000001E-6</v>
      </c>
      <c r="M3" s="1">
        <v>-0.48406500000000002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</row>
    <row r="4" spans="1:21" x14ac:dyDescent="0.3">
      <c r="A4">
        <v>2</v>
      </c>
      <c r="B4" t="s">
        <v>3</v>
      </c>
      <c r="C4">
        <v>17.3385</v>
      </c>
      <c r="D4">
        <v>6.3669299999999998E-2</v>
      </c>
      <c r="E4">
        <v>2.4893899999999999E-5</v>
      </c>
      <c r="F4">
        <v>3.9311499999999996E-3</v>
      </c>
      <c r="H4">
        <v>2</v>
      </c>
      <c r="I4" t="s">
        <v>3</v>
      </c>
      <c r="J4" s="1">
        <v>18.171199999999999</v>
      </c>
      <c r="K4" s="1">
        <v>6.7082199999999995E-2</v>
      </c>
      <c r="L4" s="1">
        <v>2.80912E-5</v>
      </c>
      <c r="M4" s="1">
        <v>4.2560500000000001E-2</v>
      </c>
      <c r="O4">
        <v>1</v>
      </c>
      <c r="P4" t="s">
        <v>14</v>
      </c>
      <c r="Q4" s="1">
        <v>492.44099999999997</v>
      </c>
      <c r="R4" s="1">
        <v>1.1724999999999999E-2</v>
      </c>
      <c r="S4" s="1">
        <v>2.5662300000000001E-6</v>
      </c>
      <c r="T4" s="1">
        <v>-1.1053299999999999</v>
      </c>
    </row>
    <row r="5" spans="1:21" x14ac:dyDescent="0.3">
      <c r="A5">
        <v>3</v>
      </c>
      <c r="B5" t="s">
        <v>15</v>
      </c>
      <c r="C5">
        <v>77886.5</v>
      </c>
      <c r="D5">
        <v>279.50099999999998</v>
      </c>
      <c r="E5">
        <v>3.97833E-4</v>
      </c>
      <c r="F5">
        <v>2.07471E-3</v>
      </c>
      <c r="H5">
        <v>3</v>
      </c>
      <c r="I5" t="s">
        <v>15</v>
      </c>
      <c r="J5" s="1">
        <v>76421.3</v>
      </c>
      <c r="K5" s="1">
        <v>276.98</v>
      </c>
      <c r="L5" s="1">
        <v>4.0697299999999998E-4</v>
      </c>
      <c r="M5" s="1">
        <v>-9.2605299999999995E-3</v>
      </c>
      <c r="O5">
        <v>2</v>
      </c>
      <c r="P5" t="s">
        <v>3</v>
      </c>
      <c r="Q5" s="1">
        <v>9.4036200000000001</v>
      </c>
      <c r="R5" s="1">
        <v>2.25887E-2</v>
      </c>
      <c r="S5" s="1">
        <v>1.7694899999999999E-5</v>
      </c>
      <c r="T5" s="1">
        <v>0.66709700000000005</v>
      </c>
    </row>
    <row r="6" spans="1:21" x14ac:dyDescent="0.3">
      <c r="A6">
        <v>4</v>
      </c>
      <c r="B6" t="s">
        <v>16</v>
      </c>
      <c r="C6">
        <v>84.481899999999996</v>
      </c>
      <c r="D6">
        <v>1.96743</v>
      </c>
      <c r="E6">
        <v>3.41815E-3</v>
      </c>
      <c r="F6">
        <v>-6.0532799999999998E-7</v>
      </c>
      <c r="H6">
        <v>4</v>
      </c>
      <c r="I6" t="s">
        <v>16</v>
      </c>
      <c r="J6" s="1">
        <v>126.02800000000001</v>
      </c>
      <c r="K6" s="1">
        <v>3.15706</v>
      </c>
      <c r="L6" s="1">
        <v>3.74027E-3</v>
      </c>
      <c r="M6" s="1">
        <v>-6.72705E-4</v>
      </c>
      <c r="O6">
        <v>3</v>
      </c>
      <c r="P6" t="s">
        <v>15</v>
      </c>
      <c r="Q6" s="1">
        <v>119804</v>
      </c>
      <c r="R6" s="1">
        <v>346.84500000000003</v>
      </c>
      <c r="S6" s="1">
        <v>4.4379499999999998E-4</v>
      </c>
      <c r="T6" s="1">
        <v>1.83871E-2</v>
      </c>
    </row>
    <row r="7" spans="1:21" x14ac:dyDescent="0.3">
      <c r="A7">
        <v>5</v>
      </c>
      <c r="B7" t="s">
        <v>17</v>
      </c>
      <c r="C7">
        <v>-1.40161E-2</v>
      </c>
      <c r="D7">
        <v>3.4157300000000002E-4</v>
      </c>
      <c r="E7">
        <v>5.9344399999999995E-7</v>
      </c>
      <c r="F7">
        <v>-3.4636100000000002E-3</v>
      </c>
      <c r="H7">
        <v>5</v>
      </c>
      <c r="I7" t="s">
        <v>17</v>
      </c>
      <c r="J7" s="1">
        <v>-2.1260500000000002E-2</v>
      </c>
      <c r="K7" s="1">
        <v>5.4826799999999998E-4</v>
      </c>
      <c r="L7" s="1">
        <v>6.4955999999999995E-7</v>
      </c>
      <c r="M7" s="1">
        <v>-3.7765499999999999</v>
      </c>
      <c r="O7">
        <v>4</v>
      </c>
      <c r="P7" t="s">
        <v>16</v>
      </c>
      <c r="Q7" s="1">
        <v>68.0809</v>
      </c>
      <c r="R7" s="1">
        <v>2.1844199999999998</v>
      </c>
      <c r="S7" s="1">
        <v>9.73276E-3</v>
      </c>
      <c r="T7" s="1">
        <v>-2.4554999999999998E-4</v>
      </c>
    </row>
    <row r="8" spans="1:21" x14ac:dyDescent="0.3">
      <c r="P8">
        <v>5</v>
      </c>
      <c r="Q8" t="s">
        <v>17</v>
      </c>
      <c r="R8" s="1">
        <v>-0.105541</v>
      </c>
      <c r="S8" s="1">
        <v>3.73668E-3</v>
      </c>
      <c r="T8" s="1">
        <v>1.6651E-5</v>
      </c>
      <c r="U8" s="1">
        <v>-0.13598499999999999</v>
      </c>
    </row>
    <row r="9" spans="1:21" x14ac:dyDescent="0.3">
      <c r="A9" t="s">
        <v>20</v>
      </c>
      <c r="H9" t="s">
        <v>102</v>
      </c>
    </row>
    <row r="10" spans="1:21" x14ac:dyDescent="0.3">
      <c r="A10" t="s">
        <v>4</v>
      </c>
      <c r="B10" t="s">
        <v>5</v>
      </c>
      <c r="E10" t="s">
        <v>6</v>
      </c>
      <c r="F10" t="s">
        <v>7</v>
      </c>
      <c r="H10" t="s">
        <v>92</v>
      </c>
    </row>
    <row r="11" spans="1:21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</row>
    <row r="12" spans="1:21" x14ac:dyDescent="0.3">
      <c r="A12">
        <v>1</v>
      </c>
      <c r="B12" t="s">
        <v>21</v>
      </c>
      <c r="C12">
        <v>10014.700000000001</v>
      </c>
      <c r="D12">
        <v>0.35325000000000001</v>
      </c>
      <c r="E12">
        <v>2.5756500000000001E-6</v>
      </c>
      <c r="F12">
        <v>-0.22251099999999999</v>
      </c>
      <c r="H12">
        <v>1</v>
      </c>
      <c r="I12" t="s">
        <v>14</v>
      </c>
      <c r="J12" s="1">
        <v>9992.94</v>
      </c>
      <c r="K12" s="1">
        <v>0.327513</v>
      </c>
      <c r="L12" s="1">
        <v>1.5837599999999999E-5</v>
      </c>
      <c r="M12" s="1">
        <v>-3.4142700000000001E-3</v>
      </c>
    </row>
    <row r="13" spans="1:21" x14ac:dyDescent="0.3">
      <c r="A13">
        <v>2</v>
      </c>
      <c r="B13" t="s">
        <v>22</v>
      </c>
      <c r="C13">
        <v>19.2851</v>
      </c>
      <c r="D13">
        <v>0.66761000000000004</v>
      </c>
      <c r="E13">
        <v>1.9216600000000002E-5</v>
      </c>
      <c r="F13">
        <v>-3.1831999999999999E-2</v>
      </c>
      <c r="H13">
        <v>2</v>
      </c>
      <c r="I13" t="s">
        <v>3</v>
      </c>
      <c r="J13" s="1">
        <v>18.967099999999999</v>
      </c>
      <c r="K13" s="1">
        <v>0.67580799999999996</v>
      </c>
      <c r="L13" s="1">
        <v>5.2019599999999999E-5</v>
      </c>
      <c r="M13" s="1">
        <v>-8.8532400000000005E-4</v>
      </c>
    </row>
    <row r="14" spans="1:21" x14ac:dyDescent="0.3">
      <c r="A14">
        <v>3</v>
      </c>
      <c r="B14" t="s">
        <v>23</v>
      </c>
      <c r="C14">
        <v>694.16099999999994</v>
      </c>
      <c r="D14">
        <v>27.612100000000002</v>
      </c>
      <c r="E14">
        <v>1.6338299999999999E-4</v>
      </c>
      <c r="F14">
        <v>-2.3848900000000002E-3</v>
      </c>
      <c r="H14">
        <v>3</v>
      </c>
      <c r="I14" t="s">
        <v>15</v>
      </c>
      <c r="J14" s="1">
        <v>795.8</v>
      </c>
      <c r="K14" s="1">
        <v>30.142299999999999</v>
      </c>
      <c r="L14" s="1">
        <v>2.9832600000000002E-4</v>
      </c>
      <c r="M14" s="1">
        <v>-4.7806699999999997E-5</v>
      </c>
    </row>
    <row r="15" spans="1:21" x14ac:dyDescent="0.3">
      <c r="A15">
        <v>4</v>
      </c>
      <c r="B15" t="s">
        <v>24</v>
      </c>
      <c r="C15">
        <v>11376.2</v>
      </c>
      <c r="D15">
        <v>0.34673999999999999</v>
      </c>
      <c r="E15">
        <v>2.4385200000000002E-6</v>
      </c>
      <c r="F15">
        <v>-3.9710700000000002E-2</v>
      </c>
      <c r="H15">
        <v>4</v>
      </c>
      <c r="I15" t="s">
        <v>16</v>
      </c>
      <c r="J15" s="1">
        <v>29.421299999999999</v>
      </c>
      <c r="K15" s="1">
        <v>22.147500000000001</v>
      </c>
      <c r="L15" s="1">
        <v>5.9130800000000002E-4</v>
      </c>
      <c r="M15" s="1">
        <v>-6.8694499999999999E-6</v>
      </c>
    </row>
    <row r="16" spans="1:21" x14ac:dyDescent="0.3">
      <c r="A16">
        <v>5</v>
      </c>
      <c r="B16" t="s">
        <v>25</v>
      </c>
      <c r="C16">
        <v>19.261500000000002</v>
      </c>
      <c r="D16">
        <v>0.71557800000000005</v>
      </c>
      <c r="E16">
        <v>2.0866600000000001E-5</v>
      </c>
      <c r="F16">
        <v>1.57314E-2</v>
      </c>
      <c r="H16">
        <v>5</v>
      </c>
      <c r="I16" t="s">
        <v>17</v>
      </c>
      <c r="J16" s="1">
        <v>-2.8099100000000001E-3</v>
      </c>
      <c r="K16" s="1">
        <v>2.22135E-3</v>
      </c>
      <c r="L16" s="1">
        <v>5.9293300000000003E-8</v>
      </c>
      <c r="M16" s="1">
        <v>-6.9199399999999994E-2</v>
      </c>
    </row>
    <row r="17" spans="1:14" x14ac:dyDescent="0.3">
      <c r="A17">
        <v>6</v>
      </c>
      <c r="B17" t="s">
        <v>26</v>
      </c>
      <c r="C17">
        <v>685.81200000000001</v>
      </c>
      <c r="D17">
        <v>27.610600000000002</v>
      </c>
      <c r="E17">
        <v>1.62607E-4</v>
      </c>
      <c r="F17">
        <v>3.9759499999999998E-3</v>
      </c>
      <c r="H17" t="s">
        <v>93</v>
      </c>
    </row>
    <row r="18" spans="1:14" x14ac:dyDescent="0.3">
      <c r="A18">
        <v>7</v>
      </c>
      <c r="B18" t="s">
        <v>16</v>
      </c>
      <c r="C18">
        <v>1.8495200000000001</v>
      </c>
      <c r="D18">
        <v>0.88721399999999995</v>
      </c>
      <c r="E18">
        <v>2.98232E-4</v>
      </c>
      <c r="F18">
        <v>-4.37754E-4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</row>
    <row r="19" spans="1:14" x14ac:dyDescent="0.3">
      <c r="A19">
        <v>8</v>
      </c>
      <c r="B19" t="s">
        <v>17</v>
      </c>
      <c r="C19">
        <v>-6.5770200000000003E-5</v>
      </c>
      <c r="D19">
        <v>8.4956499999999999E-5</v>
      </c>
      <c r="E19">
        <v>2.85394E-8</v>
      </c>
      <c r="F19">
        <v>-4.3919600000000001</v>
      </c>
      <c r="H19">
        <v>1</v>
      </c>
      <c r="I19" t="s">
        <v>14</v>
      </c>
      <c r="J19" s="1">
        <v>11350.3</v>
      </c>
      <c r="K19" s="1">
        <v>0.37146200000000001</v>
      </c>
      <c r="L19" s="1">
        <v>8.0749600000000004E-6</v>
      </c>
      <c r="M19" s="1">
        <v>-0.35833599999999999</v>
      </c>
    </row>
    <row r="20" spans="1:14" x14ac:dyDescent="0.3">
      <c r="H20">
        <v>2</v>
      </c>
      <c r="I20" t="s">
        <v>3</v>
      </c>
      <c r="J20" s="1">
        <v>20.031199999999998</v>
      </c>
      <c r="K20" s="1">
        <v>0.78501900000000002</v>
      </c>
      <c r="L20" s="1">
        <v>3.66702E-5</v>
      </c>
      <c r="M20" s="1">
        <v>-1.21108E-2</v>
      </c>
    </row>
    <row r="21" spans="1:14" x14ac:dyDescent="0.3">
      <c r="A21" t="s">
        <v>27</v>
      </c>
      <c r="H21">
        <v>3</v>
      </c>
      <c r="I21" t="s">
        <v>15</v>
      </c>
      <c r="J21" s="1">
        <v>709.75599999999997</v>
      </c>
      <c r="K21" s="1">
        <v>28.942499999999999</v>
      </c>
      <c r="L21" s="1">
        <v>3.1010899999999998E-4</v>
      </c>
      <c r="M21" s="1">
        <v>-9.6403700000000005E-4</v>
      </c>
    </row>
    <row r="22" spans="1:14" x14ac:dyDescent="0.3">
      <c r="A22" t="s">
        <v>8</v>
      </c>
      <c r="B22" t="s">
        <v>9</v>
      </c>
      <c r="C22" t="s">
        <v>10</v>
      </c>
      <c r="D22" t="s">
        <v>11</v>
      </c>
      <c r="E22" t="s">
        <v>12</v>
      </c>
      <c r="F22" t="s">
        <v>13</v>
      </c>
      <c r="H22">
        <v>4</v>
      </c>
      <c r="I22" t="s">
        <v>16</v>
      </c>
      <c r="J22" s="1">
        <v>-0.26578600000000002</v>
      </c>
      <c r="K22" s="1">
        <v>14.8878</v>
      </c>
      <c r="L22" s="1">
        <v>5.4383800000000005E-4</v>
      </c>
      <c r="M22" s="1">
        <v>-6.35083E-3</v>
      </c>
    </row>
    <row r="23" spans="1:14" x14ac:dyDescent="0.3">
      <c r="A23">
        <v>1</v>
      </c>
      <c r="B23" t="s">
        <v>21</v>
      </c>
      <c r="C23">
        <v>3028.14</v>
      </c>
      <c r="D23">
        <v>3.7658700000000003E-2</v>
      </c>
      <c r="E23">
        <v>2.2289299999999999E-6</v>
      </c>
      <c r="F23">
        <v>-0.27145000000000002</v>
      </c>
      <c r="H23">
        <v>5</v>
      </c>
      <c r="I23" t="s">
        <v>17</v>
      </c>
      <c r="J23" s="1">
        <v>1.29367E-4</v>
      </c>
      <c r="K23" s="1">
        <v>1.32048E-3</v>
      </c>
      <c r="L23" s="1">
        <v>4.8202800000000001E-8</v>
      </c>
      <c r="M23" s="1">
        <v>-71.692300000000003</v>
      </c>
    </row>
    <row r="24" spans="1:14" x14ac:dyDescent="0.3">
      <c r="A24">
        <v>2</v>
      </c>
      <c r="B24" t="s">
        <v>22</v>
      </c>
      <c r="C24">
        <v>12.4053</v>
      </c>
      <c r="D24">
        <v>7.4935600000000005E-2</v>
      </c>
      <c r="E24">
        <v>1.46667E-5</v>
      </c>
      <c r="F24">
        <v>-4.1386399999999999E-3</v>
      </c>
    </row>
    <row r="25" spans="1:14" x14ac:dyDescent="0.3">
      <c r="A25">
        <v>3</v>
      </c>
      <c r="B25" t="s">
        <v>23</v>
      </c>
      <c r="C25">
        <v>20791.099999999999</v>
      </c>
      <c r="D25">
        <v>144.571</v>
      </c>
      <c r="E25">
        <v>2.3812599999999999E-4</v>
      </c>
      <c r="F25">
        <v>-1.52644E-3</v>
      </c>
    </row>
    <row r="26" spans="1:14" x14ac:dyDescent="0.3">
      <c r="A26">
        <v>4</v>
      </c>
      <c r="B26" t="s">
        <v>24</v>
      </c>
      <c r="C26">
        <v>3265.6</v>
      </c>
      <c r="D26">
        <v>0.104586</v>
      </c>
      <c r="E26">
        <v>6.2248799999999998E-6</v>
      </c>
      <c r="F26">
        <v>-4.0476499999999999E-2</v>
      </c>
      <c r="J26" s="1">
        <v>5630.89</v>
      </c>
      <c r="K26" s="1">
        <v>2.83436E-2</v>
      </c>
    </row>
    <row r="27" spans="1:14" x14ac:dyDescent="0.3">
      <c r="A27">
        <v>5</v>
      </c>
      <c r="B27" t="s">
        <v>25</v>
      </c>
      <c r="C27">
        <v>12.2898</v>
      </c>
      <c r="D27">
        <v>0.21240800000000001</v>
      </c>
      <c r="E27">
        <v>4.1378100000000003E-5</v>
      </c>
      <c r="F27">
        <v>-4.7005099999999998E-3</v>
      </c>
      <c r="J27" s="1">
        <v>9992.94</v>
      </c>
      <c r="K27" s="1">
        <v>0.327513</v>
      </c>
    </row>
    <row r="28" spans="1:14" x14ac:dyDescent="0.3">
      <c r="A28">
        <v>6</v>
      </c>
      <c r="B28" t="s">
        <v>26</v>
      </c>
      <c r="C28">
        <v>2781.35</v>
      </c>
      <c r="D28">
        <v>53.2911</v>
      </c>
      <c r="E28">
        <v>1.14443E-4</v>
      </c>
      <c r="F28">
        <v>-5.64892E-3</v>
      </c>
      <c r="J28" s="1">
        <v>11350.3</v>
      </c>
      <c r="K28" s="1">
        <v>0.37146200000000001</v>
      </c>
    </row>
    <row r="29" spans="1:14" x14ac:dyDescent="0.3">
      <c r="A29">
        <v>7</v>
      </c>
      <c r="B29" t="s">
        <v>16</v>
      </c>
      <c r="C29">
        <v>22.313500000000001</v>
      </c>
      <c r="D29">
        <v>1.37507</v>
      </c>
      <c r="E29">
        <v>1.24887E-3</v>
      </c>
      <c r="F29">
        <v>2.5216799999999999E-4</v>
      </c>
    </row>
    <row r="30" spans="1:14" x14ac:dyDescent="0.3">
      <c r="A30">
        <v>8</v>
      </c>
      <c r="B30" t="s">
        <v>17</v>
      </c>
      <c r="C30">
        <v>-6.3453900000000002E-3</v>
      </c>
      <c r="D30">
        <v>4.32972E-4</v>
      </c>
      <c r="E30">
        <v>3.9316499999999999E-7</v>
      </c>
      <c r="F30">
        <v>0.79821299999999995</v>
      </c>
      <c r="M30">
        <v>3039.29</v>
      </c>
      <c r="N30">
        <v>57.174700000000001</v>
      </c>
    </row>
    <row r="31" spans="1:14" x14ac:dyDescent="0.3">
      <c r="I31">
        <v>12.4053</v>
      </c>
      <c r="J31">
        <v>7.4935600000000005E-2</v>
      </c>
      <c r="M31">
        <v>7429.49</v>
      </c>
      <c r="N31">
        <v>87.172499999999999</v>
      </c>
    </row>
    <row r="32" spans="1:14" x14ac:dyDescent="0.3">
      <c r="A32" t="s">
        <v>28</v>
      </c>
      <c r="I32">
        <v>12.2898</v>
      </c>
      <c r="J32">
        <v>0.21240800000000001</v>
      </c>
      <c r="M32">
        <v>20791.099999999999</v>
      </c>
      <c r="N32">
        <v>144.571</v>
      </c>
    </row>
    <row r="33" spans="1:14" x14ac:dyDescent="0.3">
      <c r="A33" t="s">
        <v>8</v>
      </c>
      <c r="B33" t="s">
        <v>9</v>
      </c>
      <c r="C33" t="s">
        <v>10</v>
      </c>
      <c r="D33" t="s">
        <v>11</v>
      </c>
      <c r="E33" t="s">
        <v>12</v>
      </c>
      <c r="F33" t="s">
        <v>13</v>
      </c>
      <c r="I33">
        <v>11.367800000000001</v>
      </c>
      <c r="J33">
        <v>0.19422300000000001</v>
      </c>
      <c r="M33">
        <v>2781.35</v>
      </c>
      <c r="N33">
        <v>53.2911</v>
      </c>
    </row>
    <row r="34" spans="1:14" x14ac:dyDescent="0.3">
      <c r="A34">
        <v>1</v>
      </c>
      <c r="B34" t="s">
        <v>21</v>
      </c>
      <c r="C34">
        <v>2348.39</v>
      </c>
      <c r="D34">
        <v>9.6970200000000006E-2</v>
      </c>
      <c r="E34">
        <v>5.0567500000000003E-6</v>
      </c>
      <c r="F34">
        <v>0.62253899999999995</v>
      </c>
      <c r="I34">
        <v>11.7049</v>
      </c>
      <c r="J34">
        <v>0.12252399999999999</v>
      </c>
    </row>
    <row r="35" spans="1:14" x14ac:dyDescent="0.3">
      <c r="A35">
        <v>2</v>
      </c>
      <c r="B35" t="s">
        <v>22</v>
      </c>
      <c r="C35">
        <v>11.367800000000001</v>
      </c>
      <c r="D35">
        <v>0.19422300000000001</v>
      </c>
      <c r="E35">
        <v>3.2956600000000002E-5</v>
      </c>
      <c r="F35">
        <v>6.2319300000000001E-2</v>
      </c>
    </row>
    <row r="36" spans="1:14" x14ac:dyDescent="0.3">
      <c r="A36">
        <v>3</v>
      </c>
      <c r="B36" t="s">
        <v>23</v>
      </c>
      <c r="C36">
        <v>3039.29</v>
      </c>
      <c r="D36">
        <v>57.174700000000001</v>
      </c>
      <c r="E36">
        <v>1.3256499999999999E-4</v>
      </c>
      <c r="F36">
        <v>8.5249000000000002E-3</v>
      </c>
    </row>
    <row r="37" spans="1:14" x14ac:dyDescent="0.3">
      <c r="A37">
        <v>4</v>
      </c>
      <c r="B37" t="s">
        <v>24</v>
      </c>
      <c r="C37">
        <v>2574.19</v>
      </c>
      <c r="D37">
        <v>6.1427900000000001E-2</v>
      </c>
      <c r="E37">
        <v>3.1164899999999999E-6</v>
      </c>
      <c r="F37">
        <v>-0.74394400000000005</v>
      </c>
    </row>
    <row r="38" spans="1:14" x14ac:dyDescent="0.3">
      <c r="A38">
        <v>5</v>
      </c>
      <c r="B38" t="s">
        <v>25</v>
      </c>
      <c r="C38">
        <v>11.7049</v>
      </c>
      <c r="D38">
        <v>0.12252399999999999</v>
      </c>
      <c r="E38">
        <v>2.0364999999999999E-5</v>
      </c>
      <c r="F38">
        <v>4.2049900000000001E-4</v>
      </c>
    </row>
    <row r="39" spans="1:14" x14ac:dyDescent="0.3">
      <c r="A39">
        <v>6</v>
      </c>
      <c r="B39" t="s">
        <v>26</v>
      </c>
      <c r="C39">
        <v>7429.49</v>
      </c>
      <c r="D39">
        <v>87.172499999999999</v>
      </c>
      <c r="E39">
        <v>1.6398399999999999E-4</v>
      </c>
      <c r="F39">
        <v>-1.4174600000000001E-2</v>
      </c>
    </row>
    <row r="40" spans="1:14" x14ac:dyDescent="0.3">
      <c r="A40">
        <v>7</v>
      </c>
      <c r="B40" t="s">
        <v>16</v>
      </c>
      <c r="C40">
        <v>28.3797</v>
      </c>
      <c r="D40">
        <v>1.5476799999999999</v>
      </c>
      <c r="E40">
        <v>1.4717300000000001E-3</v>
      </c>
      <c r="F40">
        <v>5.50886E-4</v>
      </c>
    </row>
    <row r="41" spans="1:14" x14ac:dyDescent="0.3">
      <c r="A41">
        <v>8</v>
      </c>
      <c r="B41" t="s">
        <v>17</v>
      </c>
      <c r="C41">
        <v>-8.9972999999999997E-3</v>
      </c>
      <c r="D41">
        <v>6.1451599999999996E-4</v>
      </c>
      <c r="E41">
        <v>5.8457999999999996E-7</v>
      </c>
      <c r="F41">
        <v>1.3557999999999999</v>
      </c>
    </row>
    <row r="43" spans="1:14" x14ac:dyDescent="0.3">
      <c r="A43" t="s">
        <v>71</v>
      </c>
    </row>
    <row r="44" spans="1:14" x14ac:dyDescent="0.3">
      <c r="A44" t="s">
        <v>8</v>
      </c>
      <c r="B44" t="s">
        <v>9</v>
      </c>
      <c r="C44" t="s">
        <v>10</v>
      </c>
      <c r="D44" t="s">
        <v>11</v>
      </c>
      <c r="E44" t="s">
        <v>12</v>
      </c>
      <c r="F44" t="s">
        <v>13</v>
      </c>
    </row>
    <row r="45" spans="1:14" x14ac:dyDescent="0.3">
      <c r="A45">
        <v>1</v>
      </c>
      <c r="B45" t="s">
        <v>14</v>
      </c>
      <c r="C45" s="1">
        <v>1027.48</v>
      </c>
      <c r="D45" s="1">
        <v>2.3732300000000001E-2</v>
      </c>
      <c r="E45" s="1">
        <v>-1.04394E-8</v>
      </c>
      <c r="F45" s="1">
        <v>4.1515099999999998E-5</v>
      </c>
    </row>
    <row r="46" spans="1:14" x14ac:dyDescent="0.3">
      <c r="A46">
        <v>2</v>
      </c>
      <c r="B46" t="s">
        <v>3</v>
      </c>
      <c r="C46" s="1">
        <v>9.98048</v>
      </c>
      <c r="D46" s="1">
        <v>4.8246200000000003E-2</v>
      </c>
      <c r="E46" s="1">
        <v>2.99051E-7</v>
      </c>
      <c r="F46" s="1">
        <v>-2.1442199999999999E-5</v>
      </c>
    </row>
    <row r="47" spans="1:14" x14ac:dyDescent="0.3">
      <c r="A47">
        <v>3</v>
      </c>
      <c r="B47" t="s">
        <v>15</v>
      </c>
      <c r="C47" s="1">
        <v>36149.1</v>
      </c>
      <c r="D47" s="1">
        <v>195.69300000000001</v>
      </c>
      <c r="E47" s="1">
        <v>2.8832799999999999E-6</v>
      </c>
      <c r="F47" s="1">
        <v>-8.7805000000000004E-5</v>
      </c>
    </row>
    <row r="48" spans="1:14" x14ac:dyDescent="0.3">
      <c r="A48">
        <v>4</v>
      </c>
      <c r="B48" t="s">
        <v>16</v>
      </c>
      <c r="C48" s="1">
        <v>262.17700000000002</v>
      </c>
      <c r="D48" s="1">
        <v>14.508800000000001</v>
      </c>
      <c r="E48" s="1">
        <v>-5.9025899999999999E-2</v>
      </c>
      <c r="F48" s="1">
        <v>-3.2443099999999999E-9</v>
      </c>
      <c r="H48" s="1">
        <v>1027.48</v>
      </c>
      <c r="I48" s="1">
        <v>2.3732300000000001E-2</v>
      </c>
    </row>
    <row r="49" spans="1:9" x14ac:dyDescent="0.3">
      <c r="A49">
        <v>5</v>
      </c>
      <c r="B49" t="s">
        <v>17</v>
      </c>
      <c r="C49" s="1">
        <v>-0.18906999999999999</v>
      </c>
      <c r="D49" s="1">
        <v>1.37533E-2</v>
      </c>
      <c r="E49" s="1">
        <v>5.5984599999999999E-5</v>
      </c>
      <c r="F49" s="1">
        <v>-2.9629E-6</v>
      </c>
      <c r="H49" s="1">
        <v>2076.84</v>
      </c>
      <c r="I49" s="1">
        <v>6.8874000000000005E-2</v>
      </c>
    </row>
    <row r="50" spans="1:9" x14ac:dyDescent="0.3">
      <c r="H50" s="1">
        <v>2926.8</v>
      </c>
      <c r="I50" s="1">
        <v>4.4896400000000003E-2</v>
      </c>
    </row>
    <row r="51" spans="1:9" x14ac:dyDescent="0.3">
      <c r="A51" t="s">
        <v>73</v>
      </c>
      <c r="H51" s="1">
        <v>6636.27</v>
      </c>
      <c r="I51" s="1">
        <v>0.14452799999999999</v>
      </c>
    </row>
    <row r="52" spans="1:9" x14ac:dyDescent="0.3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H52" s="1">
        <v>8215.1</v>
      </c>
      <c r="I52" s="1">
        <v>0.16061700000000001</v>
      </c>
    </row>
    <row r="53" spans="1:9" x14ac:dyDescent="0.3">
      <c r="A53">
        <v>1</v>
      </c>
      <c r="B53" t="s">
        <v>14</v>
      </c>
      <c r="C53" s="1">
        <v>2076.84</v>
      </c>
      <c r="D53" s="1">
        <v>6.8874000000000005E-2</v>
      </c>
      <c r="E53" s="1">
        <v>6.7127000000000001E-6</v>
      </c>
      <c r="F53" s="1">
        <v>1.3067800000000001</v>
      </c>
      <c r="H53" s="1">
        <v>9255.0499999999993</v>
      </c>
      <c r="I53" s="1">
        <v>0.24263699999999999</v>
      </c>
    </row>
    <row r="54" spans="1:9" x14ac:dyDescent="0.3">
      <c r="A54">
        <v>2</v>
      </c>
      <c r="B54" t="s">
        <v>3</v>
      </c>
      <c r="C54" s="1">
        <v>11.088200000000001</v>
      </c>
      <c r="D54" s="1">
        <v>0.14946999999999999</v>
      </c>
      <c r="E54" s="1">
        <v>2.5270899999999999E-5</v>
      </c>
      <c r="F54" s="1">
        <v>-3.7112699999999998E-2</v>
      </c>
      <c r="H54" s="1">
        <v>9479.0499999999993</v>
      </c>
      <c r="I54" s="1">
        <v>0.19329299999999999</v>
      </c>
    </row>
    <row r="55" spans="1:9" x14ac:dyDescent="0.3">
      <c r="A55">
        <v>3</v>
      </c>
      <c r="B55" t="s">
        <v>15</v>
      </c>
      <c r="C55" s="1">
        <v>6244.66</v>
      </c>
      <c r="D55" s="1">
        <v>86.305199999999999</v>
      </c>
      <c r="E55" s="1">
        <v>1.01741E-4</v>
      </c>
      <c r="F55" s="1">
        <v>3.9521599999999997E-2</v>
      </c>
      <c r="H55" s="1">
        <v>12006</v>
      </c>
      <c r="I55" s="1">
        <v>0.19156599999999999</v>
      </c>
    </row>
    <row r="56" spans="1:9" x14ac:dyDescent="0.3">
      <c r="A56">
        <v>4</v>
      </c>
      <c r="B56" t="s">
        <v>16</v>
      </c>
      <c r="C56" s="1">
        <v>108.804</v>
      </c>
      <c r="D56" s="1">
        <v>26.911799999999999</v>
      </c>
      <c r="E56" s="1">
        <v>3.4986399999999999E-3</v>
      </c>
      <c r="F56" s="1">
        <v>1.0419800000000001E-3</v>
      </c>
    </row>
    <row r="57" spans="1:9" x14ac:dyDescent="0.3">
      <c r="A57">
        <v>5</v>
      </c>
      <c r="B57" t="s">
        <v>17</v>
      </c>
      <c r="C57" s="1">
        <v>-3.6308199999999999E-2</v>
      </c>
      <c r="D57" s="1">
        <v>1.2847799999999999E-2</v>
      </c>
      <c r="E57" s="1">
        <v>1.6711200000000001E-6</v>
      </c>
      <c r="F57" s="1">
        <v>2.14866</v>
      </c>
    </row>
    <row r="59" spans="1:9" x14ac:dyDescent="0.3">
      <c r="A59" t="s">
        <v>74</v>
      </c>
    </row>
    <row r="60" spans="1:9" x14ac:dyDescent="0.3">
      <c r="A60" t="s">
        <v>8</v>
      </c>
      <c r="B60" t="s">
        <v>9</v>
      </c>
      <c r="C60" t="s">
        <v>10</v>
      </c>
      <c r="D60" t="s">
        <v>11</v>
      </c>
      <c r="E60" t="s">
        <v>12</v>
      </c>
      <c r="F60" t="s">
        <v>13</v>
      </c>
    </row>
    <row r="61" spans="1:9" x14ac:dyDescent="0.3">
      <c r="A61">
        <v>1</v>
      </c>
      <c r="B61" t="s">
        <v>14</v>
      </c>
      <c r="C61" s="1">
        <v>2926.8</v>
      </c>
      <c r="D61" s="1">
        <v>4.4896400000000003E-2</v>
      </c>
      <c r="E61" s="1">
        <v>4.6216799999999996E-6</v>
      </c>
      <c r="F61" s="1">
        <v>-2.7183100000000002E-2</v>
      </c>
    </row>
    <row r="62" spans="1:9" x14ac:dyDescent="0.3">
      <c r="A62">
        <v>2</v>
      </c>
      <c r="B62" t="s">
        <v>3</v>
      </c>
      <c r="C62" s="1">
        <v>12.7888</v>
      </c>
      <c r="D62" s="1">
        <v>9.3997399999999995E-2</v>
      </c>
      <c r="E62" s="1">
        <v>2.1214000000000001E-5</v>
      </c>
      <c r="F62" s="1">
        <v>-6.4642099999999994E-2</v>
      </c>
    </row>
    <row r="63" spans="1:9" x14ac:dyDescent="0.3">
      <c r="A63">
        <v>3</v>
      </c>
      <c r="B63" t="s">
        <v>15</v>
      </c>
      <c r="C63" s="1">
        <v>16498.5</v>
      </c>
      <c r="D63" s="1">
        <v>131.65799999999999</v>
      </c>
      <c r="E63" s="1">
        <v>1.6529899999999999E-4</v>
      </c>
      <c r="F63" s="1">
        <v>7.7225000000000002E-3</v>
      </c>
    </row>
    <row r="64" spans="1:9" x14ac:dyDescent="0.3">
      <c r="A64">
        <v>4</v>
      </c>
      <c r="B64" t="s">
        <v>16</v>
      </c>
      <c r="C64" s="1">
        <v>155.11500000000001</v>
      </c>
      <c r="D64" s="1">
        <v>12.1081</v>
      </c>
      <c r="E64" s="1">
        <v>3.88646E-3</v>
      </c>
      <c r="F64" s="1">
        <v>-1.3239E-4</v>
      </c>
    </row>
    <row r="65" spans="1:6" x14ac:dyDescent="0.3">
      <c r="A65">
        <v>5</v>
      </c>
      <c r="B65" t="s">
        <v>17</v>
      </c>
      <c r="C65" s="1">
        <v>-4.5446599999999997E-2</v>
      </c>
      <c r="D65" s="1">
        <v>4.0974200000000001E-3</v>
      </c>
      <c r="E65" s="1">
        <v>1.3153999999999999E-6</v>
      </c>
      <c r="F65" s="1">
        <v>-2.8355700000000001E-2</v>
      </c>
    </row>
    <row r="67" spans="1:6" x14ac:dyDescent="0.3">
      <c r="A67" t="s">
        <v>75</v>
      </c>
    </row>
    <row r="68" spans="1:6" x14ac:dyDescent="0.3">
      <c r="A68" t="s">
        <v>8</v>
      </c>
      <c r="B68" t="s">
        <v>9</v>
      </c>
      <c r="C68" t="s">
        <v>10</v>
      </c>
      <c r="D68" t="s">
        <v>11</v>
      </c>
      <c r="E68" t="s">
        <v>12</v>
      </c>
      <c r="F68" t="s">
        <v>13</v>
      </c>
    </row>
    <row r="69" spans="1:6" x14ac:dyDescent="0.3">
      <c r="A69">
        <v>1</v>
      </c>
      <c r="B69" t="s">
        <v>14</v>
      </c>
      <c r="C69" s="1">
        <v>6636.27</v>
      </c>
      <c r="D69" s="1">
        <v>0.14452799999999999</v>
      </c>
      <c r="E69" s="1">
        <v>9.5073400000000007E-6</v>
      </c>
      <c r="F69" s="1">
        <v>-7.7753299999999997E-2</v>
      </c>
    </row>
    <row r="70" spans="1:6" x14ac:dyDescent="0.3">
      <c r="A70">
        <v>2</v>
      </c>
      <c r="B70" t="s">
        <v>3</v>
      </c>
      <c r="C70" s="1">
        <v>17.708300000000001</v>
      </c>
      <c r="D70" s="1">
        <v>0.31739200000000001</v>
      </c>
      <c r="E70" s="1">
        <v>4.1508799999999998E-5</v>
      </c>
      <c r="F70" s="1">
        <v>8.54954E-4</v>
      </c>
    </row>
    <row r="71" spans="1:6" x14ac:dyDescent="0.3">
      <c r="A71">
        <v>3</v>
      </c>
      <c r="B71" t="s">
        <v>15</v>
      </c>
      <c r="C71" s="1">
        <v>3558.49</v>
      </c>
      <c r="D71" s="1">
        <v>63.845300000000002</v>
      </c>
      <c r="E71" s="1">
        <v>1.7451899999999999E-4</v>
      </c>
      <c r="F71" s="1">
        <v>-6.1547499999999998E-4</v>
      </c>
    </row>
    <row r="72" spans="1:6" x14ac:dyDescent="0.3">
      <c r="A72">
        <v>4</v>
      </c>
      <c r="B72" t="s">
        <v>16</v>
      </c>
      <c r="C72" s="1">
        <v>106.285</v>
      </c>
      <c r="D72" s="1">
        <v>15.353400000000001</v>
      </c>
      <c r="E72" s="1">
        <v>1.8424800000000001E-3</v>
      </c>
      <c r="F72" s="1">
        <v>-1.9852300000000001E-4</v>
      </c>
    </row>
    <row r="73" spans="1:6" x14ac:dyDescent="0.3">
      <c r="A73">
        <v>5</v>
      </c>
      <c r="B73" t="s">
        <v>17</v>
      </c>
      <c r="C73" s="1">
        <v>-1.45446E-2</v>
      </c>
      <c r="D73" s="1">
        <v>2.3112300000000001E-3</v>
      </c>
      <c r="E73" s="1">
        <v>2.77368E-7</v>
      </c>
      <c r="F73" s="1">
        <v>-1.01</v>
      </c>
    </row>
    <row r="75" spans="1:6" x14ac:dyDescent="0.3">
      <c r="A75" t="s">
        <v>76</v>
      </c>
    </row>
    <row r="76" spans="1:6" x14ac:dyDescent="0.3">
      <c r="A76" t="s">
        <v>8</v>
      </c>
      <c r="B76" t="s">
        <v>9</v>
      </c>
      <c r="C76" t="s">
        <v>10</v>
      </c>
      <c r="D76" t="s">
        <v>11</v>
      </c>
      <c r="E76" t="s">
        <v>12</v>
      </c>
      <c r="F76" t="s">
        <v>13</v>
      </c>
    </row>
    <row r="77" spans="1:6" x14ac:dyDescent="0.3">
      <c r="A77">
        <v>1</v>
      </c>
      <c r="B77" t="s">
        <v>14</v>
      </c>
      <c r="C77" s="1">
        <v>8215.1</v>
      </c>
      <c r="D77" s="1">
        <v>0.16061700000000001</v>
      </c>
      <c r="E77" s="1">
        <v>5.3847899999999998E-6</v>
      </c>
      <c r="F77" s="1">
        <v>7.3529800000000003E-3</v>
      </c>
    </row>
    <row r="78" spans="1:6" x14ac:dyDescent="0.3">
      <c r="A78">
        <v>2</v>
      </c>
      <c r="B78" t="s">
        <v>3</v>
      </c>
      <c r="C78" s="1">
        <v>19.5596</v>
      </c>
      <c r="D78" s="1">
        <v>0.36199900000000002</v>
      </c>
      <c r="E78" s="1">
        <v>4.6434599999999998E-5</v>
      </c>
      <c r="F78" s="1">
        <v>-4.1805099999999997E-5</v>
      </c>
    </row>
    <row r="79" spans="1:6" x14ac:dyDescent="0.3">
      <c r="A79">
        <v>3</v>
      </c>
      <c r="B79" t="s">
        <v>15</v>
      </c>
      <c r="C79" s="1">
        <v>3212.76</v>
      </c>
      <c r="D79" s="1">
        <v>58.655999999999999</v>
      </c>
      <c r="E79" s="1">
        <v>2.4945499999999999E-4</v>
      </c>
      <c r="F79" s="1">
        <v>-1.0152799999999999E-4</v>
      </c>
    </row>
    <row r="80" spans="1:6" x14ac:dyDescent="0.3">
      <c r="A80">
        <v>4</v>
      </c>
      <c r="B80" t="s">
        <v>16</v>
      </c>
      <c r="C80" s="1">
        <v>29.1374</v>
      </c>
      <c r="D80" s="1">
        <v>1.51712</v>
      </c>
      <c r="E80" s="1">
        <v>1.1800300000000001E-3</v>
      </c>
      <c r="F80" s="1">
        <v>1.02021E-4</v>
      </c>
    </row>
    <row r="81" spans="1:6" x14ac:dyDescent="0.3">
      <c r="A81">
        <v>5</v>
      </c>
      <c r="B81" t="s">
        <v>17</v>
      </c>
      <c r="C81" s="1">
        <v>-3.0048000000000002E-3</v>
      </c>
      <c r="D81" s="1">
        <v>1.8138E-4</v>
      </c>
      <c r="E81" s="1">
        <v>1.4109400000000001E-7</v>
      </c>
      <c r="F81" s="1">
        <v>0.85339399999999999</v>
      </c>
    </row>
    <row r="83" spans="1:6" x14ac:dyDescent="0.3">
      <c r="A83" t="s">
        <v>77</v>
      </c>
      <c r="C83" s="28" t="s">
        <v>81</v>
      </c>
      <c r="D83" s="28"/>
    </row>
    <row r="84" spans="1:6" x14ac:dyDescent="0.3">
      <c r="A84" t="s">
        <v>8</v>
      </c>
      <c r="B84" t="s">
        <v>9</v>
      </c>
      <c r="C84" t="s">
        <v>10</v>
      </c>
      <c r="D84" t="s">
        <v>11</v>
      </c>
      <c r="E84" t="s">
        <v>12</v>
      </c>
      <c r="F84" t="s">
        <v>13</v>
      </c>
    </row>
    <row r="85" spans="1:6" x14ac:dyDescent="0.3">
      <c r="A85">
        <v>1</v>
      </c>
      <c r="B85" t="s">
        <v>21</v>
      </c>
      <c r="C85" s="1">
        <v>9255.0499999999993</v>
      </c>
      <c r="D85" s="1">
        <v>0.24263699999999999</v>
      </c>
      <c r="E85" s="1">
        <v>9.8498199999999998E-6</v>
      </c>
      <c r="F85" s="1">
        <v>6.5449000000000002E-3</v>
      </c>
    </row>
    <row r="86" spans="1:6" x14ac:dyDescent="0.3">
      <c r="A86">
        <v>2</v>
      </c>
      <c r="B86" t="s">
        <v>22</v>
      </c>
      <c r="C86" s="1">
        <v>21.745899999999999</v>
      </c>
      <c r="D86" s="1">
        <v>0.59072499999999994</v>
      </c>
      <c r="E86" s="1">
        <v>6.4342099999999995E-5</v>
      </c>
      <c r="F86" s="1">
        <v>-1.7729200000000001E-3</v>
      </c>
    </row>
    <row r="87" spans="1:6" x14ac:dyDescent="0.3">
      <c r="A87">
        <v>3</v>
      </c>
      <c r="B87" t="s">
        <v>23</v>
      </c>
      <c r="C87" s="1">
        <v>2020.67</v>
      </c>
      <c r="D87" s="1">
        <v>48.434399999999997</v>
      </c>
      <c r="E87" s="1">
        <v>1.99913E-4</v>
      </c>
      <c r="F87" s="1">
        <v>2.6779799999999999E-3</v>
      </c>
    </row>
    <row r="88" spans="1:6" x14ac:dyDescent="0.3">
      <c r="A88">
        <v>4</v>
      </c>
      <c r="B88" s="28" t="s">
        <v>24</v>
      </c>
      <c r="C88" s="44">
        <v>9289.2999999999993</v>
      </c>
      <c r="D88" s="44">
        <v>0.61645499999999998</v>
      </c>
      <c r="E88" s="44">
        <v>2.43488E-5</v>
      </c>
      <c r="F88" s="44">
        <v>-1.4133E-2</v>
      </c>
    </row>
    <row r="89" spans="1:6" x14ac:dyDescent="0.3">
      <c r="A89">
        <v>5</v>
      </c>
      <c r="B89" s="28" t="s">
        <v>25</v>
      </c>
      <c r="C89" s="44">
        <v>17.046399999999998</v>
      </c>
      <c r="D89" s="44">
        <v>1.4286399999999999</v>
      </c>
      <c r="E89" s="44">
        <v>1.7269799999999999E-4</v>
      </c>
      <c r="F89" s="44">
        <v>1.81251E-3</v>
      </c>
    </row>
    <row r="90" spans="1:6" x14ac:dyDescent="0.3">
      <c r="A90">
        <v>6</v>
      </c>
      <c r="B90" s="28" t="s">
        <v>26</v>
      </c>
      <c r="C90" s="44">
        <v>326.05900000000003</v>
      </c>
      <c r="D90" s="44">
        <v>24.475200000000001</v>
      </c>
      <c r="E90" s="44">
        <v>2.02738E-4</v>
      </c>
      <c r="F90" s="44">
        <v>-1.0821800000000001E-3</v>
      </c>
    </row>
    <row r="91" spans="1:6" x14ac:dyDescent="0.3">
      <c r="A91">
        <v>7</v>
      </c>
      <c r="B91" t="s">
        <v>78</v>
      </c>
      <c r="C91" s="1">
        <v>9479.0499999999993</v>
      </c>
      <c r="D91" s="1">
        <v>0.19329299999999999</v>
      </c>
      <c r="E91" s="1">
        <v>8.09302E-6</v>
      </c>
      <c r="F91" s="1">
        <v>-3.18001E-3</v>
      </c>
    </row>
    <row r="92" spans="1:6" x14ac:dyDescent="0.3">
      <c r="A92">
        <v>8</v>
      </c>
      <c r="B92" t="s">
        <v>79</v>
      </c>
      <c r="C92" s="1">
        <v>20.821400000000001</v>
      </c>
      <c r="D92" s="1">
        <v>0.400978</v>
      </c>
      <c r="E92" s="1">
        <v>4.7933399999999997E-5</v>
      </c>
      <c r="F92" s="1">
        <v>1.33489E-3</v>
      </c>
    </row>
    <row r="93" spans="1:6" x14ac:dyDescent="0.3">
      <c r="A93">
        <v>9</v>
      </c>
      <c r="B93" t="s">
        <v>80</v>
      </c>
      <c r="C93" s="1">
        <v>2708.18</v>
      </c>
      <c r="D93" s="1">
        <v>54.011000000000003</v>
      </c>
      <c r="E93" s="1">
        <v>2.08285E-4</v>
      </c>
      <c r="F93" s="1">
        <v>-5.6990700000000003E-4</v>
      </c>
    </row>
    <row r="94" spans="1:6" x14ac:dyDescent="0.3">
      <c r="A94">
        <v>10</v>
      </c>
      <c r="B94" t="s">
        <v>16</v>
      </c>
      <c r="C94" s="1">
        <v>2.5644200000000001</v>
      </c>
      <c r="D94" s="1">
        <v>2.8536299999999999</v>
      </c>
      <c r="E94" s="1">
        <v>1.16486E-3</v>
      </c>
      <c r="F94" s="1">
        <v>-3.24116E-4</v>
      </c>
    </row>
    <row r="95" spans="1:6" x14ac:dyDescent="0.3">
      <c r="A95">
        <v>11</v>
      </c>
      <c r="B95" t="s">
        <v>17</v>
      </c>
      <c r="C95" s="1">
        <v>1.05062E-4</v>
      </c>
      <c r="D95" s="1">
        <v>3.0519599999999998E-4</v>
      </c>
      <c r="E95" s="1">
        <v>1.24584E-7</v>
      </c>
      <c r="F95" s="1">
        <v>-3.0304700000000002</v>
      </c>
    </row>
    <row r="97" spans="1:6" x14ac:dyDescent="0.3">
      <c r="A97" t="s">
        <v>82</v>
      </c>
    </row>
    <row r="98" spans="1:6" x14ac:dyDescent="0.3">
      <c r="A98" t="s">
        <v>8</v>
      </c>
      <c r="B98" t="s">
        <v>9</v>
      </c>
      <c r="C98" t="s">
        <v>10</v>
      </c>
      <c r="D98" t="s">
        <v>11</v>
      </c>
      <c r="E98" t="s">
        <v>12</v>
      </c>
      <c r="F98" t="s">
        <v>13</v>
      </c>
    </row>
    <row r="99" spans="1:6" x14ac:dyDescent="0.3">
      <c r="A99">
        <v>1</v>
      </c>
      <c r="B99" t="s">
        <v>14</v>
      </c>
      <c r="C99" s="1">
        <v>12006</v>
      </c>
      <c r="D99" s="1">
        <v>0.19156599999999999</v>
      </c>
      <c r="E99" s="1">
        <v>4.2712800000000004E-6</v>
      </c>
      <c r="F99" s="1">
        <v>2.3282299999999999E-2</v>
      </c>
    </row>
    <row r="100" spans="1:6" x14ac:dyDescent="0.3">
      <c r="A100">
        <v>2</v>
      </c>
      <c r="B100" t="s">
        <v>3</v>
      </c>
      <c r="C100" s="1">
        <v>23.2834</v>
      </c>
      <c r="D100" s="1">
        <v>0.39614199999999999</v>
      </c>
      <c r="E100" s="1">
        <v>2.4951099999999999E-5</v>
      </c>
      <c r="F100" s="1">
        <v>4.1116299999999998E-3</v>
      </c>
    </row>
    <row r="101" spans="1:6" x14ac:dyDescent="0.3">
      <c r="A101">
        <v>3</v>
      </c>
      <c r="B101" t="s">
        <v>15</v>
      </c>
      <c r="C101" s="1">
        <v>3157.9</v>
      </c>
      <c r="D101" s="1">
        <v>57.103700000000003</v>
      </c>
      <c r="E101" s="1">
        <v>3.0896299999999999E-4</v>
      </c>
      <c r="F101" s="1">
        <v>2.3656799999999999E-4</v>
      </c>
    </row>
    <row r="102" spans="1:6" x14ac:dyDescent="0.3">
      <c r="A102">
        <v>4</v>
      </c>
      <c r="B102" t="s">
        <v>16</v>
      </c>
      <c r="C102" s="1">
        <v>5.1665799999999997</v>
      </c>
      <c r="D102" s="1">
        <v>3.9277099999999998</v>
      </c>
      <c r="E102" s="1">
        <v>6.0819400000000005E-4</v>
      </c>
      <c r="F102" s="1">
        <v>1.11421E-5</v>
      </c>
    </row>
    <row r="103" spans="1:6" x14ac:dyDescent="0.3">
      <c r="A103">
        <v>5</v>
      </c>
      <c r="B103" t="s">
        <v>17</v>
      </c>
      <c r="C103" s="1">
        <v>-3.1176700000000001E-4</v>
      </c>
      <c r="D103" s="1">
        <v>3.2736499999999998E-4</v>
      </c>
      <c r="E103" s="1">
        <v>5.0690300000000002E-8</v>
      </c>
      <c r="F103" s="1">
        <v>0.134325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F140"/>
  <sheetViews>
    <sheetView topLeftCell="AS1" zoomScale="31" zoomScaleNormal="59" workbookViewId="0">
      <selection activeCell="BS55" sqref="BS55"/>
    </sheetView>
  </sheetViews>
  <sheetFormatPr defaultRowHeight="14.4" x14ac:dyDescent="0.3"/>
  <cols>
    <col min="3" max="3" width="12.88671875" customWidth="1"/>
    <col min="4" max="4" width="8.44140625" customWidth="1"/>
    <col min="5" max="5" width="9" customWidth="1"/>
    <col min="9" max="9" width="10.5546875" customWidth="1"/>
    <col min="10" max="10" width="10.109375" customWidth="1"/>
    <col min="12" max="12" width="9.5546875" bestFit="1" customWidth="1"/>
    <col min="13" max="13" width="9.33203125" bestFit="1" customWidth="1"/>
    <col min="15" max="15" width="15.109375" customWidth="1"/>
    <col min="16" max="16" width="11.6640625" customWidth="1"/>
    <col min="17" max="17" width="12.6640625" customWidth="1"/>
    <col min="29" max="29" width="11.5546875" customWidth="1"/>
    <col min="30" max="31" width="13.5546875" customWidth="1"/>
    <col min="33" max="33" width="12.88671875" bestFit="1" customWidth="1"/>
    <col min="34" max="34" width="11" bestFit="1" customWidth="1"/>
    <col min="35" max="35" width="23.5546875" customWidth="1"/>
    <col min="36" max="36" width="14.88671875" bestFit="1" customWidth="1"/>
    <col min="37" max="37" width="23.109375" customWidth="1"/>
    <col min="38" max="40" width="14.88671875" bestFit="1" customWidth="1"/>
    <col min="41" max="41" width="20" bestFit="1" customWidth="1"/>
    <col min="42" max="42" width="17.33203125" bestFit="1" customWidth="1"/>
    <col min="43" max="43" width="15.88671875" bestFit="1" customWidth="1"/>
    <col min="44" max="44" width="14.88671875" bestFit="1" customWidth="1"/>
    <col min="45" max="45" width="13.88671875" customWidth="1"/>
    <col min="46" max="46" width="19.33203125" customWidth="1"/>
    <col min="47" max="47" width="13.109375" bestFit="1" customWidth="1"/>
    <col min="48" max="48" width="12.44140625" bestFit="1" customWidth="1"/>
    <col min="49" max="49" width="10.5546875" bestFit="1" customWidth="1"/>
    <col min="50" max="50" width="15.6640625" bestFit="1" customWidth="1"/>
    <col min="51" max="52" width="16.6640625" bestFit="1" customWidth="1"/>
    <col min="53" max="53" width="13.5546875" bestFit="1" customWidth="1"/>
    <col min="54" max="54" width="18.6640625" bestFit="1" customWidth="1"/>
    <col min="55" max="55" width="16.88671875" customWidth="1"/>
    <col min="56" max="57" width="14.88671875" bestFit="1" customWidth="1"/>
    <col min="58" max="58" width="25.6640625" bestFit="1" customWidth="1"/>
    <col min="59" max="59" width="11.5546875" bestFit="1" customWidth="1"/>
    <col min="60" max="60" width="23.88671875" bestFit="1" customWidth="1"/>
    <col min="61" max="61" width="11.109375" bestFit="1" customWidth="1"/>
    <col min="63" max="63" width="11.44140625" customWidth="1"/>
    <col min="64" max="64" width="9.6640625" bestFit="1" customWidth="1"/>
    <col min="65" max="65" width="13.33203125" bestFit="1" customWidth="1"/>
    <col min="66" max="66" width="19.5546875" bestFit="1" customWidth="1"/>
    <col min="67" max="68" width="13.88671875" bestFit="1" customWidth="1"/>
    <col min="69" max="69" width="10.88671875" bestFit="1" customWidth="1"/>
    <col min="70" max="70" width="16" bestFit="1" customWidth="1"/>
    <col min="71" max="71" width="17" bestFit="1" customWidth="1"/>
    <col min="72" max="72" width="16.6640625" customWidth="1"/>
    <col min="73" max="73" width="16" bestFit="1" customWidth="1"/>
    <col min="74" max="74" width="19.44140625" bestFit="1" customWidth="1"/>
    <col min="75" max="75" width="18.5546875" customWidth="1"/>
    <col min="76" max="76" width="16.6640625" bestFit="1" customWidth="1"/>
    <col min="77" max="77" width="16" customWidth="1"/>
    <col min="78" max="78" width="16.6640625" bestFit="1" customWidth="1"/>
    <col min="79" max="79" width="26.88671875" bestFit="1" customWidth="1"/>
    <col min="80" max="80" width="16.6640625" bestFit="1" customWidth="1"/>
    <col min="81" max="81" width="25.33203125" bestFit="1" customWidth="1"/>
    <col min="82" max="82" width="16.6640625" bestFit="1" customWidth="1"/>
  </cols>
  <sheetData>
    <row r="1" spans="1:57" ht="15" thickBot="1" x14ac:dyDescent="0.35">
      <c r="A1" t="s">
        <v>54</v>
      </c>
      <c r="G1" s="28" t="s">
        <v>67</v>
      </c>
      <c r="H1" s="28"/>
      <c r="J1" t="s">
        <v>68</v>
      </c>
      <c r="K1" t="s">
        <v>69</v>
      </c>
    </row>
    <row r="2" spans="1:57" ht="15" thickBot="1" x14ac:dyDescent="0.35">
      <c r="A2" s="17" t="s">
        <v>58</v>
      </c>
      <c r="B2" s="17" t="s">
        <v>55</v>
      </c>
      <c r="C2" s="17" t="s">
        <v>56</v>
      </c>
      <c r="D2" s="19" t="s">
        <v>57</v>
      </c>
      <c r="E2" s="19" t="s">
        <v>66</v>
      </c>
      <c r="G2" s="28" t="s">
        <v>55</v>
      </c>
      <c r="H2" s="28" t="s">
        <v>56</v>
      </c>
      <c r="K2" s="13" t="s">
        <v>61</v>
      </c>
      <c r="L2" s="5">
        <v>15230.5</v>
      </c>
      <c r="O2" t="s">
        <v>29</v>
      </c>
      <c r="AC2" s="63" t="s">
        <v>211</v>
      </c>
      <c r="AD2" s="64"/>
      <c r="AE2" s="64"/>
      <c r="AF2" s="6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5"/>
      <c r="AT2" s="66" t="s">
        <v>230</v>
      </c>
      <c r="AZ2" s="102" t="s">
        <v>244</v>
      </c>
      <c r="BA2" s="65" t="s">
        <v>57</v>
      </c>
      <c r="BB2" s="66" t="s">
        <v>245</v>
      </c>
      <c r="BC2" s="8" t="s">
        <v>242</v>
      </c>
      <c r="BD2" s="45">
        <v>5.5</v>
      </c>
      <c r="BE2" s="5">
        <v>0.05</v>
      </c>
    </row>
    <row r="3" spans="1:57" ht="15" thickBot="1" x14ac:dyDescent="0.35">
      <c r="A3" s="8" t="s">
        <v>19</v>
      </c>
      <c r="B3" s="29">
        <v>661.65700000000004</v>
      </c>
      <c r="C3" s="34">
        <v>5643.13</v>
      </c>
      <c r="D3" s="31">
        <v>2.6879500000000001E-2</v>
      </c>
      <c r="E3" s="30">
        <f t="shared" ref="E3:E9" si="0">C3-H3</f>
        <v>1.5674727000005078</v>
      </c>
      <c r="G3" s="28">
        <f t="shared" ref="G3:G9" si="1">B3</f>
        <v>661.65700000000004</v>
      </c>
      <c r="H3" s="28">
        <f t="shared" ref="H3:H9" si="2">8.5489*G3-14.877</f>
        <v>5641.5625272999996</v>
      </c>
      <c r="K3" s="14" t="s">
        <v>62</v>
      </c>
      <c r="L3" s="7">
        <v>5</v>
      </c>
      <c r="M3" s="12" t="s">
        <v>65</v>
      </c>
      <c r="O3" s="2" t="s">
        <v>36</v>
      </c>
      <c r="P3" s="2" t="s">
        <v>37</v>
      </c>
      <c r="Q3" s="2" t="s">
        <v>38</v>
      </c>
      <c r="AC3" s="21" t="s">
        <v>212</v>
      </c>
      <c r="AR3" s="22"/>
      <c r="AT3" t="s">
        <v>231</v>
      </c>
      <c r="AY3" s="27" t="s">
        <v>249</v>
      </c>
      <c r="AZ3" s="15">
        <f>2*PI()*(1-(BD2/SQRT(BD2^2+BD3^2)))</f>
        <v>0.98230384322793785</v>
      </c>
      <c r="BA3" s="48">
        <f>SQRT((BE2*((-2*PI()/(SQRT(BD2^2+BD3^2)))+(2*PI()*BD2^2/(BD2^2+BD3^2)^(3/2))))^2+(BE3*2*BD2*BD3*PI()/(BD2^2+BD3^2)^(3/2))^2)</f>
        <v>2.5871939500151233E-2</v>
      </c>
      <c r="BB3" s="27">
        <v>120</v>
      </c>
      <c r="BC3" s="9" t="s">
        <v>243</v>
      </c>
      <c r="BD3" s="94">
        <f>7/2</f>
        <v>3.5</v>
      </c>
      <c r="BE3" s="7">
        <v>0.05</v>
      </c>
    </row>
    <row r="4" spans="1:57" ht="15" thickBot="1" x14ac:dyDescent="0.35">
      <c r="A4" s="20" t="s">
        <v>20</v>
      </c>
      <c r="B4" s="23">
        <v>1173.2280000000001</v>
      </c>
      <c r="C4" s="34">
        <v>10014.700000000001</v>
      </c>
      <c r="D4" s="31">
        <v>0.35325000000000001</v>
      </c>
      <c r="E4" s="31">
        <f t="shared" si="0"/>
        <v>-0.23184919999948761</v>
      </c>
      <c r="G4" s="28">
        <f t="shared" si="1"/>
        <v>1173.2280000000001</v>
      </c>
      <c r="H4" s="28">
        <f t="shared" si="2"/>
        <v>10014.9318492</v>
      </c>
      <c r="K4" s="10" t="s">
        <v>63</v>
      </c>
      <c r="L4" s="4">
        <v>-13.9267</v>
      </c>
      <c r="M4" s="5">
        <v>6.26665E-2</v>
      </c>
      <c r="O4" s="2" t="s">
        <v>39</v>
      </c>
      <c r="P4" s="2" t="s">
        <v>40</v>
      </c>
      <c r="Q4" s="2" t="s">
        <v>41</v>
      </c>
      <c r="AC4" s="67" t="s">
        <v>58</v>
      </c>
      <c r="AD4" s="67" t="s">
        <v>109</v>
      </c>
      <c r="AE4" s="92" t="s">
        <v>56</v>
      </c>
      <c r="AF4" s="82" t="s">
        <v>57</v>
      </c>
      <c r="AG4" s="92" t="s">
        <v>213</v>
      </c>
      <c r="AH4" s="93" t="s">
        <v>214</v>
      </c>
      <c r="AI4" s="90" t="s">
        <v>215</v>
      </c>
      <c r="AJ4" s="70" t="s">
        <v>57</v>
      </c>
      <c r="AK4" s="90" t="s">
        <v>216</v>
      </c>
      <c r="AL4" s="70" t="s">
        <v>57</v>
      </c>
      <c r="AM4" s="90" t="s">
        <v>217</v>
      </c>
      <c r="AN4" s="70" t="s">
        <v>218</v>
      </c>
      <c r="AO4" s="90" t="s">
        <v>219</v>
      </c>
      <c r="AP4" s="70" t="s">
        <v>220</v>
      </c>
      <c r="AQ4" s="90" t="s">
        <v>221</v>
      </c>
      <c r="AR4" s="70" t="s">
        <v>222</v>
      </c>
      <c r="AT4" s="17" t="s">
        <v>232</v>
      </c>
      <c r="AU4" s="25" t="s">
        <v>233</v>
      </c>
      <c r="AV4" s="18" t="s">
        <v>234</v>
      </c>
      <c r="AW4" s="18" t="s">
        <v>57</v>
      </c>
      <c r="AX4" s="25" t="s">
        <v>235</v>
      </c>
      <c r="AY4" s="63" t="s">
        <v>246</v>
      </c>
      <c r="AZ4" s="65" t="s">
        <v>57</v>
      </c>
      <c r="BA4" s="64" t="s">
        <v>247</v>
      </c>
      <c r="BB4" s="64" t="s">
        <v>57</v>
      </c>
      <c r="BC4" s="63" t="s">
        <v>248</v>
      </c>
      <c r="BD4" s="65" t="s">
        <v>57</v>
      </c>
    </row>
    <row r="5" spans="1:57" ht="15" thickBot="1" x14ac:dyDescent="0.35">
      <c r="A5" s="20" t="s">
        <v>20</v>
      </c>
      <c r="B5" s="23">
        <v>1332.492</v>
      </c>
      <c r="C5" s="34">
        <v>11376.2</v>
      </c>
      <c r="D5" s="31">
        <v>0.34673999999999999</v>
      </c>
      <c r="E5" s="31">
        <f t="shared" si="0"/>
        <v>-0.26385879999907047</v>
      </c>
      <c r="G5" s="28">
        <f t="shared" si="1"/>
        <v>1332.492</v>
      </c>
      <c r="H5" s="28">
        <f t="shared" si="2"/>
        <v>11376.4638588</v>
      </c>
      <c r="K5" s="11" t="s">
        <v>64</v>
      </c>
      <c r="L5" s="6">
        <v>8.5457800000000006</v>
      </c>
      <c r="M5" s="7">
        <v>1.1467E-4</v>
      </c>
      <c r="O5" s="2" t="s">
        <v>30</v>
      </c>
      <c r="P5" s="2" t="s">
        <v>31</v>
      </c>
      <c r="Q5" s="2" t="s">
        <v>32</v>
      </c>
      <c r="AC5" s="4" t="s">
        <v>19</v>
      </c>
      <c r="AD5" s="39">
        <v>661.65700000000004</v>
      </c>
      <c r="AE5" s="91">
        <v>5630.89</v>
      </c>
      <c r="AF5" s="30">
        <v>2.83436E-2</v>
      </c>
      <c r="AG5" s="56">
        <v>18.171199999999999</v>
      </c>
      <c r="AH5" s="95">
        <v>6.7082199999999995E-2</v>
      </c>
      <c r="AI5" s="4">
        <f>(AE5-$AD$25)/$AD$26</f>
        <v>661.51157763005722</v>
      </c>
      <c r="AJ5" s="5">
        <f>SQRT((AF5/$AD$26)^2+(-$AE$25/$AD$26)^2+(-$AE$26*((AE5-$AD$25)/($AD$26^2)))^2)</f>
        <v>4.4753783444419597E-3</v>
      </c>
      <c r="AK5" s="4">
        <f>(AG5-$AD$25)/$AD$26</f>
        <v>3.8324937632775695</v>
      </c>
      <c r="AL5" s="5">
        <f>SQRT((AH5/$AD$26)^2+(-$AE$25/$AD$26)^2+(-$AE$26*((AG5-$AD$25)/($AD$26^2)))^2)</f>
        <v>7.9462645874677218E-3</v>
      </c>
      <c r="AM5" s="4">
        <f>AK5/AI5</f>
        <v>5.7935399664627608E-3</v>
      </c>
      <c r="AN5" s="5">
        <f>SQRT((AL5/AI5)^2+(-AJ5*(AK5/(AI5)^2))^2)</f>
        <v>1.2012347413783962E-5</v>
      </c>
      <c r="AO5" s="4">
        <f>LN(AI5)</f>
        <v>6.4945274854881045</v>
      </c>
      <c r="AP5" s="5">
        <f>AJ5/AI5</f>
        <v>6.7653817344747421E-6</v>
      </c>
      <c r="AQ5" s="4">
        <f>LN(AM5)</f>
        <v>-5.1510117810504319</v>
      </c>
      <c r="AR5" s="5">
        <f>AN5/AM5</f>
        <v>2.0734037364582274E-3</v>
      </c>
      <c r="AT5" s="21" t="s">
        <v>133</v>
      </c>
      <c r="AU5" s="20" t="s">
        <v>236</v>
      </c>
      <c r="AV5">
        <v>6240</v>
      </c>
      <c r="AW5">
        <v>120</v>
      </c>
      <c r="AX5" s="100">
        <v>41599</v>
      </c>
      <c r="AY5" s="4">
        <v>4.9890410999999997</v>
      </c>
      <c r="AZ5" s="5">
        <v>1.3698600000000001E-3</v>
      </c>
      <c r="BA5" s="45">
        <v>5.2747000000000002</v>
      </c>
      <c r="BB5" s="5">
        <v>4.0000000000000002E-4</v>
      </c>
      <c r="BC5" s="4">
        <f>AV5*EXP(-AY5*LN(2)/BA5)</f>
        <v>3239.3457350400886</v>
      </c>
      <c r="BD5" s="5">
        <f>SQRT((AW5*EXP(-AY5*LN(2)/BA5))^2+(BB5*(AV5*AY5*LN(2)/(BA5)^2)*EXP(-AY5*LN(2)/BA5))^2+(AZ5*(-AV5*LN(2)/BA5)*EXP(-AY5*LN(2)/BA5))^2)</f>
        <v>62.298047621866992</v>
      </c>
    </row>
    <row r="6" spans="1:57" ht="15" thickBot="1" x14ac:dyDescent="0.35">
      <c r="A6" s="20" t="s">
        <v>59</v>
      </c>
      <c r="B6" s="21">
        <v>276.39890000000003</v>
      </c>
      <c r="C6" s="34">
        <v>2348.39</v>
      </c>
      <c r="D6" s="31">
        <v>9.6970200000000006E-2</v>
      </c>
      <c r="E6" s="31">
        <f t="shared" si="0"/>
        <v>0.36044378999986293</v>
      </c>
      <c r="G6" s="28">
        <f t="shared" si="1"/>
        <v>276.39890000000003</v>
      </c>
      <c r="H6" s="28">
        <f t="shared" si="2"/>
        <v>2348.02955621</v>
      </c>
      <c r="O6" s="2" t="s">
        <v>33</v>
      </c>
      <c r="P6" s="2" t="s">
        <v>34</v>
      </c>
      <c r="Q6" s="2" t="s">
        <v>35</v>
      </c>
      <c r="AC6" s="21" t="s">
        <v>20</v>
      </c>
      <c r="AD6" s="37">
        <v>1173.2280000000001</v>
      </c>
      <c r="AE6" s="42">
        <v>9988.59</v>
      </c>
      <c r="AF6" s="42">
        <v>0.102496</v>
      </c>
      <c r="AG6" s="58">
        <v>18.967099999999999</v>
      </c>
      <c r="AH6" s="1">
        <v>0.67580799999999996</v>
      </c>
      <c r="AI6" s="21">
        <f t="shared" ref="AI6:AI20" si="3">(AE6-$AD$25)/$AD$26</f>
        <v>1172.131875188215</v>
      </c>
      <c r="AJ6" s="22">
        <f t="shared" ref="AJ6:AJ20" si="4">SQRT((AF6/$AD$26)^2+(-$AE$25/$AD$26)^2+(-$AE$26*((AE6-$AD$25)/($AD$26^2)))^2)</f>
        <v>1.3022829951435066E-2</v>
      </c>
      <c r="AK6" s="21">
        <f t="shared" ref="AK6:AK20" si="5">(AG6-$AD$25)/$AD$26</f>
        <v>3.9257545877552835</v>
      </c>
      <c r="AL6" s="22">
        <f t="shared" ref="AL6:AL20" si="6">SQRT((AH6/$AD$26)^2+(-$AE$25/$AD$26)^2+(-$AE$26*((AG6-$AD$25)/($AD$26^2)))^2)</f>
        <v>7.9197420087673567E-2</v>
      </c>
      <c r="AM6" s="21">
        <f t="shared" ref="AM6:AM20" si="7">AK6/AI6</f>
        <v>3.3492430935938037E-3</v>
      </c>
      <c r="AN6" s="22">
        <f t="shared" ref="AN6:AN20" si="8">SQRT((AL6/AI6)^2+(-AJ6*(AK6/(AI6)^2))^2)</f>
        <v>6.7566998027000869E-5</v>
      </c>
      <c r="AO6" s="21">
        <f t="shared" ref="AO6:AO20" si="9">LN(AI6)</f>
        <v>7.0665794852985409</v>
      </c>
      <c r="AP6" s="22">
        <f t="shared" ref="AP6:AP20" si="10">AJ6/AI6</f>
        <v>1.1110379494921529E-5</v>
      </c>
      <c r="AQ6" s="21">
        <f t="shared" ref="AQ6:AQ20" si="11">LN(AM6)</f>
        <v>-5.6990209008847534</v>
      </c>
      <c r="AR6" s="22">
        <f t="shared" ref="AR6:AR20" si="12">AN6/AM6</f>
        <v>2.0173811257904291E-2</v>
      </c>
      <c r="AT6" s="21" t="s">
        <v>59</v>
      </c>
      <c r="AU6" s="20" t="s">
        <v>237</v>
      </c>
      <c r="AV6">
        <v>45600</v>
      </c>
      <c r="AW6">
        <v>2190</v>
      </c>
      <c r="AX6" s="100">
        <v>41599</v>
      </c>
      <c r="AY6" s="21">
        <v>4.9890410999999997</v>
      </c>
      <c r="AZ6" s="22">
        <v>1.3698600000000001E-3</v>
      </c>
      <c r="BA6">
        <v>10.551</v>
      </c>
      <c r="BB6" s="22">
        <v>1.0999999999999999E-2</v>
      </c>
      <c r="BC6" s="21">
        <f t="shared" ref="BC6:BC9" si="13">AV6*EXP(-AY6*LN(2)/BA6)</f>
        <v>32856.612647464179</v>
      </c>
      <c r="BD6" s="22">
        <f t="shared" ref="BD6:BD9" si="14">SQRT((AW6*EXP(-AY6*LN(2)/BA6))^2+(BB6*(AV6*AY6*LN(2)/(BA6)^2)*EXP(-AY6*LN(2)/BA6))^2+(AZ6*(-AV6*LN(2)/BA6)*EXP(-AY6*LN(2)/BA6))^2)</f>
        <v>1578.0247646500334</v>
      </c>
    </row>
    <row r="7" spans="1:57" ht="15" thickBot="1" x14ac:dyDescent="0.35">
      <c r="A7" s="20" t="s">
        <v>59</v>
      </c>
      <c r="B7" s="21">
        <v>302.85079999999999</v>
      </c>
      <c r="C7" s="34">
        <v>2574.19</v>
      </c>
      <c r="D7" s="31">
        <v>6.1427900000000001E-2</v>
      </c>
      <c r="E7" s="31">
        <f t="shared" si="0"/>
        <v>2.5795880000259785E-2</v>
      </c>
      <c r="G7" s="28">
        <f t="shared" si="1"/>
        <v>302.85079999999999</v>
      </c>
      <c r="H7" s="28">
        <f t="shared" si="2"/>
        <v>2574.1642041199998</v>
      </c>
      <c r="K7" s="25" t="s">
        <v>58</v>
      </c>
      <c r="L7" s="18" t="s">
        <v>55</v>
      </c>
      <c r="M7" s="19" t="s">
        <v>56</v>
      </c>
      <c r="O7" s="2" t="s">
        <v>42</v>
      </c>
      <c r="P7" s="2" t="s">
        <v>43</v>
      </c>
      <c r="Q7" s="2" t="s">
        <v>44</v>
      </c>
      <c r="AC7" s="21" t="s">
        <v>20</v>
      </c>
      <c r="AD7" s="37">
        <v>1332.492</v>
      </c>
      <c r="AE7" s="42">
        <v>11346.9</v>
      </c>
      <c r="AF7" s="42">
        <v>0.111093</v>
      </c>
      <c r="AG7" s="58">
        <v>20.031199999999998</v>
      </c>
      <c r="AH7" s="1">
        <v>0.78501900000000002</v>
      </c>
      <c r="AI7" s="21">
        <f t="shared" si="3"/>
        <v>1331.2939690396092</v>
      </c>
      <c r="AJ7" s="22">
        <f t="shared" si="4"/>
        <v>1.420440057599668E-2</v>
      </c>
      <c r="AK7" s="21">
        <f t="shared" si="5"/>
        <v>4.0504421657509324</v>
      </c>
      <c r="AL7" s="22">
        <f t="shared" si="6"/>
        <v>9.1993198340050153E-2</v>
      </c>
      <c r="AM7" s="21">
        <f t="shared" si="7"/>
        <v>3.0424851760373459E-3</v>
      </c>
      <c r="AN7" s="22">
        <f t="shared" si="8"/>
        <v>6.9100597336593789E-5</v>
      </c>
      <c r="AO7" s="21">
        <f t="shared" si="9"/>
        <v>7.1939066572988715</v>
      </c>
      <c r="AP7" s="22">
        <f t="shared" si="10"/>
        <v>1.0669619863330173E-5</v>
      </c>
      <c r="AQ7" s="21">
        <f>LN(AM7)</f>
        <v>-5.795080605411143</v>
      </c>
      <c r="AR7" s="22">
        <f t="shared" si="12"/>
        <v>2.2711892856810287E-2</v>
      </c>
      <c r="AT7" s="21" t="s">
        <v>132</v>
      </c>
      <c r="AU7" s="20" t="s">
        <v>238</v>
      </c>
      <c r="AV7">
        <v>191000</v>
      </c>
      <c r="AW7">
        <v>7080</v>
      </c>
      <c r="AX7" s="100">
        <v>41599</v>
      </c>
      <c r="AY7" s="21">
        <v>4.9890410999999997</v>
      </c>
      <c r="AZ7" s="22">
        <v>1.3698600000000001E-3</v>
      </c>
      <c r="BA7">
        <v>30.08</v>
      </c>
      <c r="BB7" s="22">
        <v>0.09</v>
      </c>
      <c r="BC7" s="21">
        <f t="shared" si="13"/>
        <v>170256.93441573167</v>
      </c>
      <c r="BD7" s="22">
        <f t="shared" si="14"/>
        <v>6311.3687516620894</v>
      </c>
    </row>
    <row r="8" spans="1:57" x14ac:dyDescent="0.3">
      <c r="A8" s="20" t="s">
        <v>59</v>
      </c>
      <c r="B8" s="21">
        <v>356.0129</v>
      </c>
      <c r="C8" s="34">
        <v>3028.14</v>
      </c>
      <c r="D8" s="31">
        <v>3.7658700000000003E-2</v>
      </c>
      <c r="E8" s="31">
        <f t="shared" si="0"/>
        <v>-0.50168080999992526</v>
      </c>
      <c r="G8" s="28">
        <f t="shared" si="1"/>
        <v>356.0129</v>
      </c>
      <c r="H8" s="28">
        <f t="shared" si="2"/>
        <v>3028.6416808099998</v>
      </c>
      <c r="K8" s="8" t="s">
        <v>29</v>
      </c>
      <c r="L8" s="4">
        <v>121.7817</v>
      </c>
      <c r="M8" s="5">
        <f t="shared" ref="M8:M16" si="15">$L$5*L8+$L$4</f>
        <v>1026.792916226</v>
      </c>
      <c r="N8" s="36" t="s">
        <v>72</v>
      </c>
      <c r="O8" s="2" t="s">
        <v>45</v>
      </c>
      <c r="P8" s="2" t="s">
        <v>46</v>
      </c>
      <c r="Q8" s="2" t="s">
        <v>47</v>
      </c>
      <c r="S8" s="2" t="s">
        <v>55</v>
      </c>
      <c r="T8" s="2" t="s">
        <v>342</v>
      </c>
      <c r="U8" s="2" t="s">
        <v>57</v>
      </c>
      <c r="V8" s="2" t="s">
        <v>344</v>
      </c>
      <c r="W8" s="2" t="s">
        <v>343</v>
      </c>
      <c r="AC8" s="21" t="s">
        <v>59</v>
      </c>
      <c r="AD8" s="20">
        <v>276.39890000000003</v>
      </c>
      <c r="AE8" s="34">
        <v>2348.39</v>
      </c>
      <c r="AF8" s="31">
        <v>9.6970200000000006E-2</v>
      </c>
      <c r="AG8" s="21">
        <v>12.4053</v>
      </c>
      <c r="AH8">
        <v>7.4935600000000005E-2</v>
      </c>
      <c r="AI8" s="21">
        <f t="shared" si="3"/>
        <v>276.87951788875961</v>
      </c>
      <c r="AJ8" s="22">
        <f t="shared" si="4"/>
        <v>1.1480608483886755E-2</v>
      </c>
      <c r="AK8" s="21">
        <f t="shared" si="5"/>
        <v>3.1568654332661912</v>
      </c>
      <c r="AL8" s="22">
        <f t="shared" si="6"/>
        <v>8.8575845382021338E-3</v>
      </c>
      <c r="AM8" s="21">
        <f t="shared" si="7"/>
        <v>1.1401585271953948E-2</v>
      </c>
      <c r="AN8" s="22">
        <f t="shared" si="8"/>
        <v>3.1994246992559657E-5</v>
      </c>
      <c r="AO8" s="21">
        <f t="shared" si="9"/>
        <v>5.6235824580974585</v>
      </c>
      <c r="AP8" s="22">
        <f t="shared" si="10"/>
        <v>4.1464275044350727E-5</v>
      </c>
      <c r="AQ8" s="21">
        <f t="shared" si="11"/>
        <v>-4.4740028743061568</v>
      </c>
      <c r="AR8" s="22">
        <f t="shared" si="12"/>
        <v>2.8061226776297785E-3</v>
      </c>
      <c r="AT8" s="21" t="s">
        <v>239</v>
      </c>
      <c r="AU8" s="20" t="s">
        <v>240</v>
      </c>
      <c r="AV8">
        <v>83200</v>
      </c>
      <c r="AW8">
        <v>4160</v>
      </c>
      <c r="AX8" s="100">
        <v>41599</v>
      </c>
      <c r="AY8" s="21">
        <v>4.9890410999999997</v>
      </c>
      <c r="AZ8" s="22">
        <v>1.3698600000000001E-3</v>
      </c>
      <c r="BA8">
        <v>13.516999999999999</v>
      </c>
      <c r="BB8" s="22">
        <v>1.4E-2</v>
      </c>
      <c r="BC8" s="21">
        <f t="shared" si="13"/>
        <v>64419.153949293745</v>
      </c>
      <c r="BD8" s="22">
        <f t="shared" si="14"/>
        <v>3221.006106728079</v>
      </c>
    </row>
    <row r="9" spans="1:57" ht="15" thickBot="1" x14ac:dyDescent="0.35">
      <c r="A9" s="9" t="s">
        <v>59</v>
      </c>
      <c r="B9" s="6">
        <v>383.8485</v>
      </c>
      <c r="C9" s="35">
        <v>3265.6</v>
      </c>
      <c r="D9" s="32">
        <v>0.104586</v>
      </c>
      <c r="E9" s="32">
        <f t="shared" si="0"/>
        <v>-1.0054416500001935</v>
      </c>
      <c r="G9" s="28">
        <f t="shared" si="1"/>
        <v>383.8485</v>
      </c>
      <c r="H9" s="28">
        <f t="shared" si="2"/>
        <v>3266.6054416500001</v>
      </c>
      <c r="K9" s="20" t="s">
        <v>29</v>
      </c>
      <c r="L9" s="21">
        <v>244.69739999999999</v>
      </c>
      <c r="M9" s="22">
        <f t="shared" si="15"/>
        <v>2077.2034469720002</v>
      </c>
      <c r="N9" s="36" t="s">
        <v>72</v>
      </c>
      <c r="O9" s="2" t="s">
        <v>48</v>
      </c>
      <c r="P9" s="2" t="s">
        <v>49</v>
      </c>
      <c r="Q9" s="2" t="s">
        <v>50</v>
      </c>
      <c r="S9" s="38">
        <v>59.540900000000001</v>
      </c>
      <c r="T9" s="35">
        <v>492.44099999999997</v>
      </c>
      <c r="U9" s="32">
        <v>1.1724999999999999E-2</v>
      </c>
      <c r="V9">
        <f>(S9*$AD$26+$AD$25)</f>
        <v>493.59398091699995</v>
      </c>
      <c r="W9" s="42">
        <f>T9-V9</f>
        <v>-1.1529809169999794</v>
      </c>
      <c r="AC9" s="21" t="s">
        <v>59</v>
      </c>
      <c r="AD9" s="20">
        <v>302.85079999999999</v>
      </c>
      <c r="AE9" s="34">
        <v>2574.19</v>
      </c>
      <c r="AF9" s="31">
        <v>6.1427900000000001E-2</v>
      </c>
      <c r="AG9" s="21">
        <v>12.2898</v>
      </c>
      <c r="AH9">
        <v>0.21240800000000001</v>
      </c>
      <c r="AI9" s="21">
        <f t="shared" si="3"/>
        <v>303.33798524278404</v>
      </c>
      <c r="AJ9" s="22">
        <f t="shared" si="4"/>
        <v>7.4008737611814821E-3</v>
      </c>
      <c r="AK9" s="21">
        <f t="shared" si="5"/>
        <v>3.1433315405319586</v>
      </c>
      <c r="AL9" s="22">
        <f t="shared" si="6"/>
        <v>2.4916468315860234E-2</v>
      </c>
      <c r="AM9" s="21">
        <f t="shared" si="7"/>
        <v>1.0362472533784767E-2</v>
      </c>
      <c r="AN9" s="22">
        <f t="shared" si="8"/>
        <v>8.2141332617014157E-5</v>
      </c>
      <c r="AO9" s="21">
        <f t="shared" si="9"/>
        <v>5.714847646690413</v>
      </c>
      <c r="AP9" s="22">
        <f t="shared" si="10"/>
        <v>2.4398110758393843E-5</v>
      </c>
      <c r="AQ9" s="21">
        <f t="shared" si="11"/>
        <v>-4.5695644090637035</v>
      </c>
      <c r="AR9" s="22">
        <f t="shared" si="12"/>
        <v>7.9268082351204097E-3</v>
      </c>
      <c r="AT9" s="6" t="s">
        <v>131</v>
      </c>
      <c r="AU9" s="9" t="s">
        <v>241</v>
      </c>
      <c r="AV9" s="46">
        <v>415000</v>
      </c>
      <c r="AW9" s="46">
        <v>20700</v>
      </c>
      <c r="AX9" s="101">
        <v>41599</v>
      </c>
      <c r="AY9" s="6">
        <v>4.9890410999999997</v>
      </c>
      <c r="AZ9" s="7">
        <v>1.3698600000000001E-3</v>
      </c>
      <c r="BA9" s="46">
        <v>432.6</v>
      </c>
      <c r="BB9" s="7">
        <v>0.6</v>
      </c>
      <c r="BC9" s="6">
        <f t="shared" si="13"/>
        <v>411695.77632912609</v>
      </c>
      <c r="BD9" s="7">
        <f t="shared" si="14"/>
        <v>20535.187442876464</v>
      </c>
    </row>
    <row r="10" spans="1:57" ht="15" thickBot="1" x14ac:dyDescent="0.35">
      <c r="K10" s="20" t="s">
        <v>29</v>
      </c>
      <c r="L10" s="23">
        <v>344.27850000000001</v>
      </c>
      <c r="M10" s="22">
        <f t="shared" si="15"/>
        <v>2928.2016197300004</v>
      </c>
      <c r="N10" s="36" t="s">
        <v>72</v>
      </c>
      <c r="O10" s="2" t="s">
        <v>51</v>
      </c>
      <c r="P10" s="2" t="s">
        <v>52</v>
      </c>
      <c r="Q10" s="2" t="s">
        <v>53</v>
      </c>
      <c r="S10" s="20">
        <v>121.7817</v>
      </c>
      <c r="T10" s="34">
        <v>1027.48</v>
      </c>
      <c r="U10" s="31">
        <v>2.3732300000000001E-2</v>
      </c>
      <c r="V10">
        <f t="shared" ref="V10:V24" si="16">(S10*$AD$26+$AD$25)</f>
        <v>1024.7650594209997</v>
      </c>
      <c r="W10" s="42">
        <f t="shared" ref="W10:W24" si="17">T10-V10</f>
        <v>2.7149405790003129</v>
      </c>
      <c r="AC10" s="21" t="s">
        <v>59</v>
      </c>
      <c r="AD10" s="20">
        <v>356.0129</v>
      </c>
      <c r="AE10" s="34">
        <v>3028.14</v>
      </c>
      <c r="AF10" s="31">
        <v>3.7658700000000003E-2</v>
      </c>
      <c r="AG10" s="21">
        <v>11.367800000000001</v>
      </c>
      <c r="AH10">
        <v>0.19422300000000001</v>
      </c>
      <c r="AI10" s="21">
        <f t="shared" si="3"/>
        <v>356.53028486793619</v>
      </c>
      <c r="AJ10" s="22">
        <f t="shared" si="4"/>
        <v>4.8008447679984932E-3</v>
      </c>
      <c r="AK10" s="21">
        <f t="shared" si="5"/>
        <v>3.0352947517790336</v>
      </c>
      <c r="AL10" s="22">
        <f t="shared" si="6"/>
        <v>2.278815859930974E-2</v>
      </c>
      <c r="AM10" s="21">
        <f t="shared" si="7"/>
        <v>8.5134275561004561E-3</v>
      </c>
      <c r="AN10" s="22">
        <f t="shared" si="8"/>
        <v>6.3916576568911229E-5</v>
      </c>
      <c r="AO10" s="21">
        <f t="shared" si="9"/>
        <v>5.8764191867874533</v>
      </c>
      <c r="AP10" s="22">
        <f t="shared" si="10"/>
        <v>1.3465461341599055E-5</v>
      </c>
      <c r="AQ10" s="21">
        <f t="shared" si="11"/>
        <v>-4.7661106494367251</v>
      </c>
      <c r="AR10" s="22">
        <f t="shared" si="12"/>
        <v>7.5077371772677634E-3</v>
      </c>
    </row>
    <row r="11" spans="1:57" ht="15" thickBot="1" x14ac:dyDescent="0.35">
      <c r="D11" s="42">
        <v>0</v>
      </c>
      <c r="E11" s="42">
        <f>D11*L$5+L$4</f>
        <v>-13.9267</v>
      </c>
      <c r="K11" s="20" t="s">
        <v>29</v>
      </c>
      <c r="L11" s="23">
        <v>778.90449999999998</v>
      </c>
      <c r="M11" s="22">
        <f t="shared" si="15"/>
        <v>6642.4197980100007</v>
      </c>
      <c r="N11" s="36" t="s">
        <v>72</v>
      </c>
      <c r="S11" s="20">
        <v>244.69739999999999</v>
      </c>
      <c r="T11" s="34">
        <v>2076.84</v>
      </c>
      <c r="U11" s="31">
        <v>6.8874000000000005E-2</v>
      </c>
      <c r="V11">
        <f t="shared" si="16"/>
        <v>2073.7436222619995</v>
      </c>
      <c r="W11" s="42">
        <f t="shared" si="17"/>
        <v>3.0963777380006832</v>
      </c>
      <c r="AC11" s="21" t="s">
        <v>59</v>
      </c>
      <c r="AD11" s="20">
        <v>383.8485</v>
      </c>
      <c r="AE11" s="34">
        <v>3265.6</v>
      </c>
      <c r="AF11" s="31">
        <v>0.104586</v>
      </c>
      <c r="AG11" s="21">
        <v>11.7049</v>
      </c>
      <c r="AH11">
        <v>0.12252399999999999</v>
      </c>
      <c r="AI11" s="21">
        <f t="shared" si="3"/>
        <v>384.35503091703549</v>
      </c>
      <c r="AJ11" s="22">
        <f t="shared" si="4"/>
        <v>1.2414579444543366E-2</v>
      </c>
      <c r="AK11" s="21">
        <f t="shared" si="5"/>
        <v>3.0747949703133188</v>
      </c>
      <c r="AL11" s="22">
        <f t="shared" si="6"/>
        <v>1.4404094102448219E-2</v>
      </c>
      <c r="AM11" s="21">
        <f t="shared" si="7"/>
        <v>7.9998821999991594E-3</v>
      </c>
      <c r="AN11" s="22">
        <f t="shared" si="8"/>
        <v>3.7476903709133695E-5</v>
      </c>
      <c r="AO11" s="21">
        <f t="shared" si="9"/>
        <v>5.9515666851254645</v>
      </c>
      <c r="AP11" s="22">
        <f t="shared" si="10"/>
        <v>3.229977090432075E-5</v>
      </c>
      <c r="AQ11" s="21">
        <f t="shared" si="11"/>
        <v>-4.8283284624108198</v>
      </c>
      <c r="AR11" s="22">
        <f t="shared" si="12"/>
        <v>4.684681945583853E-3</v>
      </c>
      <c r="AT11" s="17" t="s">
        <v>58</v>
      </c>
      <c r="AU11" s="19" t="s">
        <v>109</v>
      </c>
      <c r="AV11" s="63" t="s">
        <v>15</v>
      </c>
      <c r="AW11" s="65" t="s">
        <v>57</v>
      </c>
      <c r="AX11" s="63" t="s">
        <v>250</v>
      </c>
      <c r="AY11" s="65" t="s">
        <v>57</v>
      </c>
      <c r="AZ11" s="63" t="s">
        <v>251</v>
      </c>
      <c r="BA11" s="65" t="s">
        <v>57</v>
      </c>
      <c r="BB11" s="63" t="s">
        <v>252</v>
      </c>
      <c r="BC11" s="65" t="s">
        <v>57</v>
      </c>
      <c r="BD11" s="63" t="s">
        <v>253</v>
      </c>
      <c r="BE11" s="65" t="s">
        <v>57</v>
      </c>
    </row>
    <row r="12" spans="1:57" x14ac:dyDescent="0.3">
      <c r="D12" s="42">
        <v>200</v>
      </c>
      <c r="E12" s="42">
        <f t="shared" ref="E12:E16" si="18">D12*L$5+L$4</f>
        <v>1695.2293000000002</v>
      </c>
      <c r="K12" s="20" t="s">
        <v>29</v>
      </c>
      <c r="L12" s="23">
        <v>964.05700000000002</v>
      </c>
      <c r="M12" s="22">
        <f t="shared" si="15"/>
        <v>8224.6923294600001</v>
      </c>
      <c r="N12" s="36" t="s">
        <v>72</v>
      </c>
      <c r="S12" s="20">
        <v>276.39890000000003</v>
      </c>
      <c r="T12" s="34">
        <v>2348.39</v>
      </c>
      <c r="U12" s="31">
        <v>9.6970200000000006E-2</v>
      </c>
      <c r="V12">
        <f t="shared" si="16"/>
        <v>2344.2883444569998</v>
      </c>
      <c r="W12" s="42">
        <f t="shared" si="17"/>
        <v>4.1016555430001063</v>
      </c>
      <c r="AC12" s="21" t="s">
        <v>29</v>
      </c>
      <c r="AD12" s="20">
        <v>121.7817</v>
      </c>
      <c r="AE12" s="34">
        <v>1027.48</v>
      </c>
      <c r="AF12" s="31">
        <v>2.3732300000000001E-2</v>
      </c>
      <c r="AG12" s="58">
        <v>9.98048</v>
      </c>
      <c r="AH12" s="1">
        <v>4.8246200000000003E-2</v>
      </c>
      <c r="AI12" s="21">
        <f t="shared" si="3"/>
        <v>122.09982739892645</v>
      </c>
      <c r="AJ12" s="22">
        <f t="shared" si="4"/>
        <v>3.0577143388186034E-3</v>
      </c>
      <c r="AK12" s="21">
        <f t="shared" si="5"/>
        <v>2.8727333659084175</v>
      </c>
      <c r="AL12" s="22">
        <f t="shared" si="6"/>
        <v>5.7720207665700783E-3</v>
      </c>
      <c r="AM12" s="21">
        <f t="shared" si="7"/>
        <v>2.3527743053416272E-2</v>
      </c>
      <c r="AN12" s="22">
        <f t="shared" si="8"/>
        <v>4.7276635854143169E-5</v>
      </c>
      <c r="AO12" s="21">
        <f t="shared" si="9"/>
        <v>4.8048389675114542</v>
      </c>
      <c r="AP12" s="22">
        <f t="shared" si="10"/>
        <v>2.5042740878153672E-5</v>
      </c>
      <c r="AQ12" s="21">
        <f t="shared" si="11"/>
        <v>-3.7495749986751381</v>
      </c>
      <c r="AR12" s="22">
        <f t="shared" si="12"/>
        <v>2.0093995308775917E-3</v>
      </c>
      <c r="AT12" s="4" t="s">
        <v>19</v>
      </c>
      <c r="AU12" s="50">
        <v>661.65700000000004</v>
      </c>
      <c r="AV12" s="56">
        <v>76421.3</v>
      </c>
      <c r="AW12" s="57">
        <v>276.98</v>
      </c>
      <c r="AX12" s="103">
        <f>AV12/$BB$3</f>
        <v>636.84416666666664</v>
      </c>
      <c r="AY12" s="104">
        <f>AW12/$BB$3</f>
        <v>2.3081666666666667</v>
      </c>
      <c r="AZ12" s="103">
        <v>0.85099999999999998</v>
      </c>
      <c r="BA12" s="104">
        <v>2E-3</v>
      </c>
      <c r="BB12" s="103">
        <f>(AX12*4*PI())/(BC7*AZ12*$AZ$3)</f>
        <v>5.6229319353978693E-2</v>
      </c>
      <c r="BC12" s="5">
        <f>SQRT((AY12*(4*PI()/($BC$7*$AZ$3*AZ12)))^2+($BD$7*(-AX12*4*PI()/(AZ12*$AZ$3*$BC$7^2)))^2+(BA12*(-AX12*4*PI()/($BC$7*$AZ$3*AZ12^2)))^2+($BA$3*(-AX12*4*PI()/($BC$7*AZ12*$AZ$3^2)))^2)</f>
        <v>2.5684623930952392E-3</v>
      </c>
      <c r="BD12" s="103">
        <f>BB12*100</f>
        <v>5.6229319353978697</v>
      </c>
      <c r="BE12" s="5">
        <f>BC12*100</f>
        <v>0.25684623930952394</v>
      </c>
    </row>
    <row r="13" spans="1:57" x14ac:dyDescent="0.3">
      <c r="D13" s="42">
        <v>500</v>
      </c>
      <c r="E13" s="42">
        <f t="shared" si="18"/>
        <v>4258.9633000000003</v>
      </c>
      <c r="K13" s="20" t="s">
        <v>29</v>
      </c>
      <c r="L13" s="23">
        <v>1085.837</v>
      </c>
      <c r="M13" s="22">
        <f t="shared" si="15"/>
        <v>9265.3974178600001</v>
      </c>
      <c r="N13" s="36" t="s">
        <v>72</v>
      </c>
      <c r="S13" s="20">
        <v>302.85079999999999</v>
      </c>
      <c r="T13" s="34">
        <v>2574.19</v>
      </c>
      <c r="U13" s="31">
        <v>6.1427900000000001E-2</v>
      </c>
      <c r="V13">
        <f t="shared" si="16"/>
        <v>2570.0322978039994</v>
      </c>
      <c r="W13" s="42">
        <f t="shared" si="17"/>
        <v>4.1577021960006277</v>
      </c>
      <c r="AC13" s="21" t="s">
        <v>29</v>
      </c>
      <c r="AD13" s="20">
        <v>244.69739999999999</v>
      </c>
      <c r="AE13" s="34">
        <v>2076.84</v>
      </c>
      <c r="AF13" s="31">
        <v>6.8874000000000005E-2</v>
      </c>
      <c r="AG13" s="58">
        <v>11.088200000000001</v>
      </c>
      <c r="AH13" s="1">
        <v>0.14946999999999999</v>
      </c>
      <c r="AI13" s="21">
        <f t="shared" si="3"/>
        <v>245.06022289325338</v>
      </c>
      <c r="AJ13" s="22">
        <f t="shared" si="4"/>
        <v>8.2180599404865079E-3</v>
      </c>
      <c r="AK13" s="21">
        <f t="shared" si="5"/>
        <v>3.0025321854717473</v>
      </c>
      <c r="AL13" s="22">
        <f t="shared" si="6"/>
        <v>1.7553053621736106E-2</v>
      </c>
      <c r="AM13" s="21">
        <f t="shared" si="7"/>
        <v>1.225222171931032E-2</v>
      </c>
      <c r="AN13" s="22">
        <f t="shared" si="8"/>
        <v>7.1628688672658314E-5</v>
      </c>
      <c r="AO13" s="21">
        <f t="shared" si="9"/>
        <v>5.5015039880665224</v>
      </c>
      <c r="AP13" s="22">
        <f t="shared" si="10"/>
        <v>3.3534858670500109E-5</v>
      </c>
      <c r="AQ13" s="21">
        <f t="shared" si="11"/>
        <v>-4.4020479935943566</v>
      </c>
      <c r="AR13" s="22">
        <f t="shared" si="12"/>
        <v>5.8461796002080759E-3</v>
      </c>
      <c r="AT13" s="21" t="s">
        <v>20</v>
      </c>
      <c r="AU13" s="51">
        <v>1173.2280000000001</v>
      </c>
      <c r="AV13" s="58">
        <v>795.8</v>
      </c>
      <c r="AW13" s="59">
        <v>30.142299999999999</v>
      </c>
      <c r="AX13" s="105">
        <f t="shared" ref="AX13:AY27" si="19">AV13/$BB$3</f>
        <v>6.6316666666666659</v>
      </c>
      <c r="AY13" s="106">
        <f t="shared" ref="AY13:AY17" si="20">AW13/$BB$3</f>
        <v>0.25118583333333333</v>
      </c>
      <c r="AZ13" s="105">
        <v>0.99850000000000005</v>
      </c>
      <c r="BA13" s="106">
        <v>2.9999999999999997E-4</v>
      </c>
      <c r="BB13" s="105">
        <f>(AX13*4*PI())/($BC$5*AZ13*$AZ$3)</f>
        <v>2.6228976118147961E-2</v>
      </c>
      <c r="BC13" s="22">
        <f>SQRT((AY13*(4*PI()/($BC$5*$AZ$3*AZ13)))^2+($BD$5*(-AX13*4*PI()/(AZ13*$AZ$3*$BC$5^2)))^2+(BA13*(-AX13*4*PI()/($BC$5*$AZ$3*AZ13^2)))^2+($BA$3*(-AX13*4*PI()/($BC$5*AZ13*$AZ$3^2)))^2)</f>
        <v>1.3109990346308236E-3</v>
      </c>
      <c r="BD13" s="105">
        <f t="shared" ref="BD13:BD17" si="21">BB13*100</f>
        <v>2.6228976118147962</v>
      </c>
      <c r="BE13" s="22">
        <f t="shared" ref="BE13:BE17" si="22">BC13*100</f>
        <v>0.13109990346308237</v>
      </c>
    </row>
    <row r="14" spans="1:57" x14ac:dyDescent="0.3">
      <c r="D14" s="42">
        <v>1000</v>
      </c>
      <c r="E14" s="42">
        <f t="shared" si="18"/>
        <v>8531.8533000000007</v>
      </c>
      <c r="K14" s="20" t="s">
        <v>29</v>
      </c>
      <c r="L14" s="23">
        <v>1112.076</v>
      </c>
      <c r="M14" s="22">
        <f t="shared" si="15"/>
        <v>9489.6301392800015</v>
      </c>
      <c r="N14" s="36" t="s">
        <v>72</v>
      </c>
      <c r="S14" s="37">
        <v>344.27850000000001</v>
      </c>
      <c r="T14" s="34">
        <v>2926.8</v>
      </c>
      <c r="U14" s="31">
        <v>4.4896400000000003E-2</v>
      </c>
      <c r="V14">
        <f t="shared" si="16"/>
        <v>2923.5816752049996</v>
      </c>
      <c r="W14" s="42">
        <f t="shared" si="17"/>
        <v>3.2183247950006262</v>
      </c>
      <c r="AC14" s="21" t="s">
        <v>29</v>
      </c>
      <c r="AD14" s="37">
        <v>344.27850000000001</v>
      </c>
      <c r="AE14" s="34">
        <v>2926.8</v>
      </c>
      <c r="AF14" s="31">
        <v>4.4896400000000003E-2</v>
      </c>
      <c r="AG14" s="58">
        <v>12.7888</v>
      </c>
      <c r="AH14" s="1">
        <v>9.3997399999999995E-2</v>
      </c>
      <c r="AI14" s="21">
        <f t="shared" si="3"/>
        <v>344.65561222995206</v>
      </c>
      <c r="AJ14" s="22">
        <f t="shared" si="4"/>
        <v>5.5773378745101482E-3</v>
      </c>
      <c r="AK14" s="21">
        <f t="shared" si="5"/>
        <v>3.2018026442062637</v>
      </c>
      <c r="AL14" s="22">
        <f t="shared" si="6"/>
        <v>1.1075685883358896E-2</v>
      </c>
      <c r="AM14" s="21">
        <f t="shared" si="7"/>
        <v>9.2898607496634672E-3</v>
      </c>
      <c r="AN14" s="22">
        <f t="shared" si="8"/>
        <v>3.2135867460284793E-5</v>
      </c>
      <c r="AO14" s="21">
        <f t="shared" si="9"/>
        <v>5.8425456930521253</v>
      </c>
      <c r="AP14" s="22">
        <f t="shared" si="10"/>
        <v>1.6182350371213405E-5</v>
      </c>
      <c r="AQ14" s="21">
        <f t="shared" si="11"/>
        <v>-4.6788317155406931</v>
      </c>
      <c r="AR14" s="22">
        <f t="shared" si="12"/>
        <v>3.4592410291455597E-3</v>
      </c>
      <c r="AT14" s="21" t="s">
        <v>20</v>
      </c>
      <c r="AU14" s="51">
        <v>1332.492</v>
      </c>
      <c r="AV14" s="58">
        <v>709.75599999999997</v>
      </c>
      <c r="AW14" s="59">
        <v>28.942499999999999</v>
      </c>
      <c r="AX14" s="105">
        <f t="shared" si="19"/>
        <v>5.9146333333333327</v>
      </c>
      <c r="AY14" s="106">
        <f t="shared" si="20"/>
        <v>0.2411875</v>
      </c>
      <c r="AZ14" s="105">
        <v>0.99982599999999999</v>
      </c>
      <c r="BA14" s="106">
        <v>6.0000000000000002E-6</v>
      </c>
      <c r="BB14" s="105">
        <f>(AX14*4*PI())/($BC$5*AZ14*$AZ$3)</f>
        <v>2.3362005318093047E-2</v>
      </c>
      <c r="BC14" s="22">
        <f>SQRT((AY14*(4*PI()/($BC$5*$AZ$3*AZ14)))^2+($BD$5*(-AX14*4*PI()/(AZ14*$AZ$3*$BC$5^2)))^2+(BA14*(-AX14*4*PI()/($BC$5*$AZ$3*AZ14^2)))^2+($BA$3*(-AX14*4*PI()/($BC$5*AZ14*$AZ$3^2)))^2)</f>
        <v>1.219846178046415E-3</v>
      </c>
      <c r="BD14" s="105">
        <f t="shared" si="21"/>
        <v>2.3362005318093049</v>
      </c>
      <c r="BE14" s="22">
        <f t="shared" si="22"/>
        <v>0.1219846178046415</v>
      </c>
    </row>
    <row r="15" spans="1:57" ht="15" thickBot="1" x14ac:dyDescent="0.35">
      <c r="D15" s="42">
        <v>1200</v>
      </c>
      <c r="E15" s="42">
        <f t="shared" si="18"/>
        <v>10241.009300000002</v>
      </c>
      <c r="K15" s="9" t="s">
        <v>29</v>
      </c>
      <c r="L15" s="24">
        <v>1408.0129999999999</v>
      </c>
      <c r="M15" s="7">
        <f t="shared" si="15"/>
        <v>12018.64263514</v>
      </c>
      <c r="N15" s="36" t="s">
        <v>72</v>
      </c>
      <c r="S15" s="20">
        <v>356.0129</v>
      </c>
      <c r="T15" s="34">
        <v>3028.14</v>
      </c>
      <c r="U15" s="31">
        <v>3.7658700000000003E-2</v>
      </c>
      <c r="V15">
        <f t="shared" si="16"/>
        <v>3023.7245702769997</v>
      </c>
      <c r="W15" s="42">
        <f t="shared" si="17"/>
        <v>4.4154297230002157</v>
      </c>
      <c r="AC15" s="21" t="s">
        <v>29</v>
      </c>
      <c r="AD15" s="37">
        <v>778.90449999999998</v>
      </c>
      <c r="AE15" s="34">
        <v>6636.27</v>
      </c>
      <c r="AF15" s="31">
        <v>0.14452799999999999</v>
      </c>
      <c r="AG15" s="58">
        <v>17.708300000000001</v>
      </c>
      <c r="AH15" s="1">
        <v>0.31739200000000001</v>
      </c>
      <c r="AI15" s="21">
        <f t="shared" si="3"/>
        <v>779.3185479949334</v>
      </c>
      <c r="AJ15" s="22">
        <f t="shared" si="4"/>
        <v>1.728488569933934E-2</v>
      </c>
      <c r="AK15" s="21">
        <f t="shared" si="5"/>
        <v>3.778252733436215</v>
      </c>
      <c r="AL15" s="22">
        <f t="shared" si="6"/>
        <v>3.720913216290285E-2</v>
      </c>
      <c r="AM15" s="21">
        <f t="shared" si="7"/>
        <v>4.8481493776287984E-3</v>
      </c>
      <c r="AN15" s="22">
        <f t="shared" si="8"/>
        <v>4.7745850040818195E-5</v>
      </c>
      <c r="AO15" s="21">
        <f t="shared" si="9"/>
        <v>6.6584198814066919</v>
      </c>
      <c r="AP15" s="22">
        <f t="shared" si="10"/>
        <v>2.2179487122192446E-5</v>
      </c>
      <c r="AQ15" s="21">
        <f t="shared" si="11"/>
        <v>-5.3291582184726494</v>
      </c>
      <c r="AR15" s="22">
        <f t="shared" si="12"/>
        <v>9.8482629807438837E-3</v>
      </c>
      <c r="AT15" s="21" t="s">
        <v>59</v>
      </c>
      <c r="AU15" s="22">
        <v>276.39890000000003</v>
      </c>
      <c r="AV15" s="21">
        <v>3039.29</v>
      </c>
      <c r="AW15" s="22">
        <v>57.174700000000001</v>
      </c>
      <c r="AX15" s="105">
        <f t="shared" si="19"/>
        <v>25.327416666666668</v>
      </c>
      <c r="AY15" s="106">
        <f t="shared" si="20"/>
        <v>0.47645583333333336</v>
      </c>
      <c r="AZ15" s="105">
        <v>7.1599999999999997E-2</v>
      </c>
      <c r="BA15" s="106">
        <v>5.0000000000000001E-4</v>
      </c>
      <c r="BB15" s="105">
        <f>(AX15*4*PI())/($BC$6*AZ15*$AZ$3)</f>
        <v>0.13772700573735822</v>
      </c>
      <c r="BC15" s="22">
        <f>SQRT((AY15*(4*PI()/($BC$6*$AZ$3*AZ15)))^2+($BD$6*(-AX15*4*PI()/(AZ15*$AZ$3*$BC$6^2)))^2+(BA15*(-AX15*4*PI()/($BC$6*$AZ$3*AZ15^2)))^2+($BA$3*(-AX15*4*PI()/($BC$6*AZ15*$AZ$3^2)))^2)</f>
        <v>8.0343317377205917E-3</v>
      </c>
      <c r="BD15" s="105">
        <f t="shared" si="21"/>
        <v>13.772700573735822</v>
      </c>
      <c r="BE15" s="22">
        <f t="shared" si="22"/>
        <v>0.80343317377205914</v>
      </c>
    </row>
    <row r="16" spans="1:57" ht="15" thickBot="1" x14ac:dyDescent="0.35">
      <c r="D16" s="42">
        <v>1400</v>
      </c>
      <c r="E16" s="42">
        <f t="shared" si="18"/>
        <v>11950.165300000001</v>
      </c>
      <c r="K16" s="27" t="s">
        <v>70</v>
      </c>
      <c r="L16" s="26">
        <v>59.540900000000001</v>
      </c>
      <c r="M16" s="16">
        <f t="shared" si="15"/>
        <v>494.89673240200005</v>
      </c>
      <c r="N16" s="36" t="s">
        <v>72</v>
      </c>
      <c r="S16" s="20">
        <v>383.8485</v>
      </c>
      <c r="T16" s="34">
        <v>3265.6</v>
      </c>
      <c r="U16" s="31">
        <v>0.104586</v>
      </c>
      <c r="V16">
        <f t="shared" si="16"/>
        <v>3261.2771993049996</v>
      </c>
      <c r="W16" s="42">
        <f t="shared" si="17"/>
        <v>4.3228006950002964</v>
      </c>
      <c r="AC16" s="21" t="s">
        <v>29</v>
      </c>
      <c r="AD16" s="37">
        <v>964.05700000000002</v>
      </c>
      <c r="AE16" s="34">
        <v>8215.1</v>
      </c>
      <c r="AF16" s="31">
        <v>0.16061700000000001</v>
      </c>
      <c r="AG16" s="58">
        <v>19.5596</v>
      </c>
      <c r="AH16" s="1">
        <v>0.36199900000000002</v>
      </c>
      <c r="AI16" s="21">
        <f t="shared" si="3"/>
        <v>964.32041696107285</v>
      </c>
      <c r="AJ16" s="22">
        <f t="shared" si="4"/>
        <v>1.9282371982636215E-2</v>
      </c>
      <c r="AK16" s="21">
        <f t="shared" si="5"/>
        <v>3.9951816998334921</v>
      </c>
      <c r="AL16" s="22">
        <f t="shared" si="6"/>
        <v>4.2433781961461463E-2</v>
      </c>
      <c r="AM16" s="21">
        <f t="shared" si="7"/>
        <v>4.1430022942206017E-3</v>
      </c>
      <c r="AN16" s="22">
        <f t="shared" si="8"/>
        <v>4.4003897888711697E-5</v>
      </c>
      <c r="AO16" s="21">
        <f t="shared" si="9"/>
        <v>6.8714236221233422</v>
      </c>
      <c r="AP16" s="22">
        <f t="shared" si="10"/>
        <v>1.9995814299361241E-5</v>
      </c>
      <c r="AQ16" s="21">
        <f t="shared" si="11"/>
        <v>-5.486334562128734</v>
      </c>
      <c r="AR16" s="22">
        <f t="shared" si="12"/>
        <v>1.0621258392759323E-2</v>
      </c>
      <c r="AT16" s="21" t="s">
        <v>59</v>
      </c>
      <c r="AU16" s="22">
        <v>302.85079999999999</v>
      </c>
      <c r="AV16" s="21">
        <v>7429.49</v>
      </c>
      <c r="AW16" s="22">
        <v>87.172499999999999</v>
      </c>
      <c r="AX16" s="105">
        <f t="shared" si="19"/>
        <v>61.912416666666665</v>
      </c>
      <c r="AY16" s="106">
        <f t="shared" si="20"/>
        <v>0.72643749999999996</v>
      </c>
      <c r="AZ16" s="105">
        <v>0.18340000000000001</v>
      </c>
      <c r="BA16" s="106">
        <v>1.2999999999999999E-3</v>
      </c>
      <c r="BB16" s="105">
        <f t="shared" ref="BB16:BB17" si="23">(AX16*4*PI())/($BC$6*AZ16*$AZ$3)</f>
        <v>0.13143761139369339</v>
      </c>
      <c r="BC16" s="22">
        <f t="shared" ref="BC16:BC18" si="24">SQRT((AY16*(4*PI()/($BC$6*$AZ$3*AZ16)))^2+($BD$6*(-AX16*4*PI()/(AZ16*$AZ$3*$BC$6^2)))^2+(BA16*(-AX16*4*PI()/($BC$6*$AZ$3*AZ16^2)))^2+($BA$3*(-AX16*4*PI()/($BC$6*AZ16*$AZ$3^2)))^2)</f>
        <v>7.4215804808070961E-3</v>
      </c>
      <c r="BD16" s="105">
        <f t="shared" si="21"/>
        <v>13.143761139369339</v>
      </c>
      <c r="BE16" s="22">
        <f t="shared" si="22"/>
        <v>0.74215804808070962</v>
      </c>
    </row>
    <row r="17" spans="10:81" x14ac:dyDescent="0.3">
      <c r="S17" s="39">
        <v>661.65700000000004</v>
      </c>
      <c r="T17" s="91">
        <v>5630.89</v>
      </c>
      <c r="U17" s="30">
        <v>2.83436E-2</v>
      </c>
      <c r="V17">
        <f t="shared" si="16"/>
        <v>5632.1310534100003</v>
      </c>
      <c r="W17" s="42">
        <f t="shared" si="17"/>
        <v>-1.2410534099999495</v>
      </c>
      <c r="AC17" s="21" t="s">
        <v>29</v>
      </c>
      <c r="AD17" s="37">
        <v>1085.837</v>
      </c>
      <c r="AE17" s="34">
        <v>9255.0499999999993</v>
      </c>
      <c r="AF17" s="31">
        <v>0.24263699999999999</v>
      </c>
      <c r="AG17" s="58">
        <v>21.745899999999999</v>
      </c>
      <c r="AH17" s="1">
        <v>0.59072499999999994</v>
      </c>
      <c r="AI17" s="21">
        <f t="shared" si="3"/>
        <v>1086.1781810213811</v>
      </c>
      <c r="AJ17" s="22">
        <f t="shared" si="4"/>
        <v>2.8814988191280092E-2</v>
      </c>
      <c r="AK17" s="21">
        <f t="shared" si="5"/>
        <v>4.2513648139880695</v>
      </c>
      <c r="AL17" s="22">
        <f t="shared" si="6"/>
        <v>6.9228920322995491E-2</v>
      </c>
      <c r="AM17" s="21">
        <f t="shared" si="7"/>
        <v>3.9140583821986961E-3</v>
      </c>
      <c r="AN17" s="22">
        <f t="shared" si="8"/>
        <v>6.3736331112711144E-5</v>
      </c>
      <c r="AO17" s="21">
        <f t="shared" si="9"/>
        <v>6.9904205579578012</v>
      </c>
      <c r="AP17" s="22">
        <f t="shared" si="10"/>
        <v>2.6528785695348891E-5</v>
      </c>
      <c r="AQ17" s="21">
        <f t="shared" si="11"/>
        <v>-5.5431804938704703</v>
      </c>
      <c r="AR17" s="22">
        <f t="shared" si="12"/>
        <v>1.6283950030634875E-2</v>
      </c>
      <c r="AT17" s="21" t="s">
        <v>59</v>
      </c>
      <c r="AU17" s="22">
        <v>356.0129</v>
      </c>
      <c r="AV17" s="21">
        <v>20791.099999999999</v>
      </c>
      <c r="AW17" s="22">
        <v>144.571</v>
      </c>
      <c r="AX17" s="105">
        <f t="shared" si="19"/>
        <v>173.25916666666666</v>
      </c>
      <c r="AY17" s="106">
        <f t="shared" si="20"/>
        <v>1.2047583333333334</v>
      </c>
      <c r="AZ17" s="105">
        <v>0.62050000000000005</v>
      </c>
      <c r="BA17" s="106">
        <v>0</v>
      </c>
      <c r="BB17" s="105">
        <f t="shared" si="23"/>
        <v>0.10871655157543579</v>
      </c>
      <c r="BC17" s="22">
        <f t="shared" si="24"/>
        <v>6.0027826487077758E-3</v>
      </c>
      <c r="BD17" s="105">
        <f t="shared" si="21"/>
        <v>10.871655157543579</v>
      </c>
      <c r="BE17" s="22">
        <f t="shared" si="22"/>
        <v>0.60027826487077762</v>
      </c>
    </row>
    <row r="18" spans="10:81" x14ac:dyDescent="0.3">
      <c r="S18" s="37">
        <v>778.90449999999998</v>
      </c>
      <c r="T18" s="34">
        <v>6636.27</v>
      </c>
      <c r="U18" s="31">
        <v>0.14452799999999999</v>
      </c>
      <c r="V18">
        <f t="shared" si="16"/>
        <v>6632.7364605849998</v>
      </c>
      <c r="W18" s="42">
        <f t="shared" si="17"/>
        <v>3.5335394150006323</v>
      </c>
      <c r="AC18" s="21" t="s">
        <v>29</v>
      </c>
      <c r="AD18" s="37">
        <v>1112.076</v>
      </c>
      <c r="AE18" s="34">
        <v>9479.0499999999993</v>
      </c>
      <c r="AF18" s="31">
        <v>0.19329299999999999</v>
      </c>
      <c r="AG18" s="58">
        <v>20.821400000000001</v>
      </c>
      <c r="AH18" s="1">
        <v>0.400978</v>
      </c>
      <c r="AI18" s="21">
        <f t="shared" si="3"/>
        <v>1112.4257305665603</v>
      </c>
      <c r="AJ18" s="22">
        <f t="shared" si="4"/>
        <v>2.3150904572839234E-2</v>
      </c>
      <c r="AK18" s="21">
        <f t="shared" si="5"/>
        <v>4.1430350838339702</v>
      </c>
      <c r="AL18" s="22">
        <f t="shared" si="6"/>
        <v>4.6999654012421122E-2</v>
      </c>
      <c r="AM18" s="21">
        <f t="shared" si="7"/>
        <v>3.7243251122247192E-3</v>
      </c>
      <c r="AN18" s="22">
        <f t="shared" si="8"/>
        <v>4.2249771655013713E-5</v>
      </c>
      <c r="AO18" s="21">
        <f t="shared" si="9"/>
        <v>7.014298252770617</v>
      </c>
      <c r="AP18" s="22">
        <f t="shared" si="10"/>
        <v>2.0811191198398871E-5</v>
      </c>
      <c r="AQ18" s="21">
        <f t="shared" si="11"/>
        <v>-5.592869621491567</v>
      </c>
      <c r="AR18" s="22">
        <f t="shared" si="12"/>
        <v>1.1344275910911517E-2</v>
      </c>
      <c r="AT18" s="21" t="s">
        <v>59</v>
      </c>
      <c r="AU18" s="22">
        <v>383.8485</v>
      </c>
      <c r="AV18" s="21">
        <v>2781.35</v>
      </c>
      <c r="AW18" s="22">
        <v>53.2911</v>
      </c>
      <c r="AX18" s="105">
        <f t="shared" si="19"/>
        <v>23.177916666666665</v>
      </c>
      <c r="AY18" s="106">
        <f>AW18/$BB$3</f>
        <v>0.4440925</v>
      </c>
      <c r="AZ18" s="105">
        <v>8.9399999999999993E-2</v>
      </c>
      <c r="BA18" s="106">
        <v>5.9999999999999995E-4</v>
      </c>
      <c r="BB18" s="105">
        <f>(AX18*4*PI())/($BC$6*AZ18*$AZ$3)</f>
        <v>0.10094344244690526</v>
      </c>
      <c r="BC18" s="22">
        <f t="shared" si="24"/>
        <v>5.896771551827989E-3</v>
      </c>
      <c r="BD18" s="105">
        <f>BB18*100</f>
        <v>10.094344244690525</v>
      </c>
      <c r="BE18" s="22">
        <f>BC18*100</f>
        <v>0.58967715518279895</v>
      </c>
    </row>
    <row r="19" spans="10:81" ht="15" thickBot="1" x14ac:dyDescent="0.35">
      <c r="J19" t="s">
        <v>84</v>
      </c>
      <c r="S19" s="37">
        <v>964.05700000000002</v>
      </c>
      <c r="T19" s="34">
        <v>8215.1</v>
      </c>
      <c r="U19" s="31">
        <v>0.16061700000000001</v>
      </c>
      <c r="V19">
        <f t="shared" si="16"/>
        <v>8212.85196541</v>
      </c>
      <c r="W19" s="42">
        <f t="shared" si="17"/>
        <v>2.2480345900003158</v>
      </c>
      <c r="AC19" s="21" t="s">
        <v>29</v>
      </c>
      <c r="AD19" s="37">
        <v>1408.0129999999999</v>
      </c>
      <c r="AE19" s="34">
        <v>12006</v>
      </c>
      <c r="AF19" s="31">
        <v>0.19156599999999999</v>
      </c>
      <c r="AG19" s="58">
        <v>23.2834</v>
      </c>
      <c r="AH19" s="1">
        <v>0.39614199999999999</v>
      </c>
      <c r="AI19" s="21">
        <f t="shared" si="3"/>
        <v>1408.5250400450896</v>
      </c>
      <c r="AJ19" s="22">
        <f t="shared" si="4"/>
        <v>2.3235214404898234E-2</v>
      </c>
      <c r="AK19" s="21">
        <f t="shared" si="5"/>
        <v>4.4315237757100023</v>
      </c>
      <c r="AL19" s="22">
        <f t="shared" si="6"/>
        <v>4.6433164747873741E-2</v>
      </c>
      <c r="AM19" s="21">
        <f t="shared" si="7"/>
        <v>3.1462158284159014E-3</v>
      </c>
      <c r="AN19" s="22">
        <f t="shared" si="8"/>
        <v>3.2965847942575571E-5</v>
      </c>
      <c r="AO19" s="21">
        <f t="shared" si="9"/>
        <v>7.2502983649681942</v>
      </c>
      <c r="AP19" s="22">
        <f t="shared" si="10"/>
        <v>1.6496131587518265E-5</v>
      </c>
      <c r="AQ19" s="21">
        <f t="shared" si="11"/>
        <v>-5.7615548726254895</v>
      </c>
      <c r="AR19" s="22">
        <f t="shared" si="12"/>
        <v>1.0477935952402113E-2</v>
      </c>
      <c r="AT19" s="21" t="s">
        <v>29</v>
      </c>
      <c r="AU19" s="22">
        <v>121.7817</v>
      </c>
      <c r="AV19" s="58">
        <v>36149.1</v>
      </c>
      <c r="AW19" s="59">
        <v>195.69300000000001</v>
      </c>
      <c r="AX19" s="105">
        <f t="shared" si="19"/>
        <v>301.24250000000001</v>
      </c>
      <c r="AY19" s="106">
        <f>AW19/$BB$3</f>
        <v>1.6307750000000001</v>
      </c>
      <c r="AZ19" s="105">
        <v>0.2853</v>
      </c>
      <c r="BA19" s="106">
        <v>1.6000000000000001E-3</v>
      </c>
      <c r="BB19" s="105">
        <f>(AX19*4*PI())/($BC$8*AZ19*$AZ$3)</f>
        <v>0.20968312264369304</v>
      </c>
      <c r="BC19" s="22">
        <f>SQRT((AY19*(4*PI()/($BC$8*$AZ$3*AZ19)))^2+($BD$8*(-AX19*4*PI()/(AZ19*$AZ$3*$BC$8^2)))^2+(BA19*(-AX19*4*PI()/($BC$8*$AZ$3*AZ19^2)))^2+($BA$3*(-AX19*4*PI()/($BC$8*AZ19*$AZ$3^2)))^2)</f>
        <v>1.1962093357099329E-2</v>
      </c>
      <c r="BD19" s="105">
        <f t="shared" ref="BD19:BE27" si="25">BB19*100</f>
        <v>20.968312264369303</v>
      </c>
      <c r="BE19" s="22">
        <f>BC19*100</f>
        <v>1.1962093357099328</v>
      </c>
    </row>
    <row r="20" spans="10:81" ht="15" thickBot="1" x14ac:dyDescent="0.35">
      <c r="J20" s="17" t="s">
        <v>58</v>
      </c>
      <c r="K20" s="33" t="s">
        <v>55</v>
      </c>
      <c r="L20" s="17" t="s">
        <v>56</v>
      </c>
      <c r="M20" s="19" t="s">
        <v>57</v>
      </c>
      <c r="N20" s="17" t="s">
        <v>60</v>
      </c>
      <c r="O20" s="19" t="s">
        <v>85</v>
      </c>
      <c r="P20" s="25" t="s">
        <v>66</v>
      </c>
      <c r="Q20" s="15" t="s">
        <v>86</v>
      </c>
      <c r="R20" s="16"/>
      <c r="S20" s="37">
        <v>1085.837</v>
      </c>
      <c r="T20" s="34">
        <v>9255.0499999999993</v>
      </c>
      <c r="U20" s="31">
        <v>0.24263699999999999</v>
      </c>
      <c r="V20">
        <f t="shared" si="16"/>
        <v>9252.1383168100001</v>
      </c>
      <c r="W20" s="42">
        <f t="shared" si="17"/>
        <v>2.9116831899991666</v>
      </c>
      <c r="AC20" s="6" t="s">
        <v>70</v>
      </c>
      <c r="AD20" s="38">
        <v>59.540900000000001</v>
      </c>
      <c r="AE20" s="35">
        <v>492.44099999999997</v>
      </c>
      <c r="AF20" s="32">
        <v>1.1724999999999999E-2</v>
      </c>
      <c r="AG20" s="60">
        <v>9.4036200000000001</v>
      </c>
      <c r="AH20" s="96">
        <v>2.25887E-2</v>
      </c>
      <c r="AI20" s="6">
        <f t="shared" si="3"/>
        <v>59.405797661858912</v>
      </c>
      <c r="AJ20" s="7">
        <f t="shared" si="4"/>
        <v>1.8180297950360429E-3</v>
      </c>
      <c r="AK20" s="6">
        <f t="shared" si="5"/>
        <v>2.8051388952359524</v>
      </c>
      <c r="AL20" s="7">
        <f t="shared" si="6"/>
        <v>2.8917205758114597E-3</v>
      </c>
      <c r="AM20" s="6">
        <f t="shared" si="7"/>
        <v>4.7219951682207148E-2</v>
      </c>
      <c r="AN20" s="7">
        <f t="shared" si="8"/>
        <v>4.8698859278957748E-5</v>
      </c>
      <c r="AO20" s="6">
        <f t="shared" si="9"/>
        <v>4.0843918253406635</v>
      </c>
      <c r="AP20" s="7">
        <f t="shared" si="10"/>
        <v>3.0603575182751842E-5</v>
      </c>
      <c r="AQ20" s="6">
        <f t="shared" si="11"/>
        <v>-3.0529387705737658</v>
      </c>
      <c r="AR20" s="7">
        <f t="shared" si="12"/>
        <v>1.0313195491326152E-3</v>
      </c>
      <c r="AT20" s="21" t="s">
        <v>29</v>
      </c>
      <c r="AU20" s="22">
        <v>244.69739999999999</v>
      </c>
      <c r="AV20" s="58">
        <v>6244.66</v>
      </c>
      <c r="AW20" s="59">
        <v>86.305199999999999</v>
      </c>
      <c r="AX20" s="105">
        <f t="shared" si="19"/>
        <v>52.038833333333329</v>
      </c>
      <c r="AY20" s="106">
        <f t="shared" si="19"/>
        <v>0.71921000000000002</v>
      </c>
      <c r="AZ20" s="105">
        <v>7.5499999999999998E-2</v>
      </c>
      <c r="BA20" s="106">
        <v>4.0000000000000002E-4</v>
      </c>
      <c r="BB20" s="105">
        <f t="shared" ref="BB20:BB26" si="26">(AX20*4*PI())/($BC$8*AZ20*$AZ$3)</f>
        <v>0.13687672453106653</v>
      </c>
      <c r="BC20" s="22">
        <f t="shared" ref="BC20:BC26" si="27">SQRT((AY20*(4*PI()/($BC$8*$AZ$3*AZ20)))^2+($BD$8*(-AX20*4*PI()/(AZ20*$AZ$3*$BC$8^2)))^2+(BA20*(-AX20*4*PI()/($BC$8*$AZ$3*AZ20^2)))^2+($BA$3*(-AX20*4*PI()/($BC$8*AZ20*$AZ$3^2)))^2)</f>
        <v>7.9962786832357257E-3</v>
      </c>
      <c r="BD20" s="105">
        <f t="shared" si="25"/>
        <v>13.687672453106654</v>
      </c>
      <c r="BE20" s="22">
        <f t="shared" si="25"/>
        <v>0.79962786832357258</v>
      </c>
    </row>
    <row r="21" spans="10:81" ht="15" thickBot="1" x14ac:dyDescent="0.35">
      <c r="J21" s="4" t="s">
        <v>19</v>
      </c>
      <c r="K21" s="39">
        <v>661.65700000000004</v>
      </c>
      <c r="L21" s="42">
        <v>5630.89</v>
      </c>
      <c r="M21" s="42">
        <v>2.83436E-2</v>
      </c>
      <c r="N21" s="4">
        <f>$AD$26*K21+$AD$25</f>
        <v>5632.1310534100003</v>
      </c>
      <c r="O21" s="5">
        <f>((L21-N21)/M21)^2</f>
        <v>1917.2154656508094</v>
      </c>
      <c r="P21" s="40">
        <f>L21-N21</f>
        <v>-1.2410534099999495</v>
      </c>
      <c r="Q21" s="5" t="s">
        <v>87</v>
      </c>
      <c r="R21" s="22">
        <v>8.5144662644865807</v>
      </c>
      <c r="S21" s="37">
        <v>1112.076</v>
      </c>
      <c r="T21" s="34">
        <v>9479.0499999999993</v>
      </c>
      <c r="U21" s="31">
        <v>0.19329299999999999</v>
      </c>
      <c r="V21">
        <f t="shared" si="16"/>
        <v>9476.0653538799997</v>
      </c>
      <c r="W21" s="42">
        <f t="shared" si="17"/>
        <v>2.9846461199995247</v>
      </c>
      <c r="AC21" s="21"/>
      <c r="AR21" s="22"/>
      <c r="AT21" s="21" t="s">
        <v>29</v>
      </c>
      <c r="AU21" s="51">
        <v>344.27850000000001</v>
      </c>
      <c r="AV21" s="58">
        <v>16498.5</v>
      </c>
      <c r="AW21" s="59">
        <v>131.65799999999999</v>
      </c>
      <c r="AX21" s="105">
        <f t="shared" si="19"/>
        <v>137.48750000000001</v>
      </c>
      <c r="AY21" s="106">
        <f t="shared" si="19"/>
        <v>1.0971499999999998</v>
      </c>
      <c r="AZ21" s="105">
        <v>0.26590000000000003</v>
      </c>
      <c r="BA21" s="106">
        <v>2E-3</v>
      </c>
      <c r="BB21" s="105">
        <f t="shared" si="26"/>
        <v>0.10268189661473795</v>
      </c>
      <c r="BC21" s="22">
        <f t="shared" si="27"/>
        <v>5.911144242760227E-3</v>
      </c>
      <c r="BD21" s="105">
        <f t="shared" si="25"/>
        <v>10.268189661473794</v>
      </c>
      <c r="BE21" s="22">
        <f t="shared" si="25"/>
        <v>0.59111442427602268</v>
      </c>
    </row>
    <row r="22" spans="10:81" ht="15" thickBot="1" x14ac:dyDescent="0.35">
      <c r="J22" s="21" t="s">
        <v>20</v>
      </c>
      <c r="K22" s="37">
        <v>1173.2280000000001</v>
      </c>
      <c r="L22" s="42">
        <v>9932.7800000000007</v>
      </c>
      <c r="M22" s="42">
        <v>8.6461999999999997E-2</v>
      </c>
      <c r="N22" s="21">
        <f t="shared" ref="N22:N36" si="28">$AD$26*K22+$AD$25</f>
        <v>9997.9444716399994</v>
      </c>
      <c r="O22" s="22">
        <f>((L22-N22)/M22)^2</f>
        <v>568029.90711274988</v>
      </c>
      <c r="P22" s="41">
        <f>L22-N22</f>
        <v>-65.164471639998737</v>
      </c>
      <c r="Q22" s="22" t="s">
        <v>88</v>
      </c>
      <c r="R22" s="22">
        <v>0</v>
      </c>
      <c r="S22" s="37">
        <v>1173.2280000000001</v>
      </c>
      <c r="T22" s="42">
        <v>9988.59</v>
      </c>
      <c r="U22" s="42">
        <v>0.102496</v>
      </c>
      <c r="V22">
        <f t="shared" si="16"/>
        <v>9997.9444716399994</v>
      </c>
      <c r="W22" s="42">
        <f t="shared" si="17"/>
        <v>-9.3544716399992467</v>
      </c>
      <c r="AC22" s="63" t="s">
        <v>98</v>
      </c>
      <c r="AD22" s="64"/>
      <c r="AE22" s="65"/>
      <c r="AI22" t="s">
        <v>225</v>
      </c>
      <c r="AK22" t="s">
        <v>226</v>
      </c>
      <c r="AR22" s="22"/>
      <c r="AT22" s="21" t="s">
        <v>29</v>
      </c>
      <c r="AU22" s="51">
        <v>778.90449999999998</v>
      </c>
      <c r="AV22" s="58">
        <v>3558.49</v>
      </c>
      <c r="AW22" s="59">
        <v>63.845300000000002</v>
      </c>
      <c r="AX22" s="105">
        <f t="shared" si="19"/>
        <v>29.654083333333332</v>
      </c>
      <c r="AY22" s="106">
        <f>AW22/$BB$3</f>
        <v>0.53204416666666665</v>
      </c>
      <c r="AZ22" s="105">
        <v>0.1293</v>
      </c>
      <c r="BA22" s="106">
        <v>8.0000000000000004E-4</v>
      </c>
      <c r="BB22" s="105">
        <f t="shared" si="26"/>
        <v>4.5544399772108717E-2</v>
      </c>
      <c r="BC22" s="22">
        <f t="shared" si="27"/>
        <v>2.7151306335292547E-3</v>
      </c>
      <c r="BD22" s="105">
        <f t="shared" si="25"/>
        <v>4.5544399772108717</v>
      </c>
      <c r="BE22" s="22">
        <f>BC22*100</f>
        <v>0.27151306335292547</v>
      </c>
    </row>
    <row r="23" spans="10:81" ht="15" thickBot="1" x14ac:dyDescent="0.35">
      <c r="J23" s="21" t="s">
        <v>20</v>
      </c>
      <c r="K23" s="37">
        <v>1332.492</v>
      </c>
      <c r="L23" s="42">
        <v>11283.6</v>
      </c>
      <c r="M23" s="42">
        <v>9.8456500000000002E-2</v>
      </c>
      <c r="N23" s="21">
        <f t="shared" si="28"/>
        <v>11357.124151959999</v>
      </c>
      <c r="O23" s="22">
        <f>((L23-N23)/M23)^2</f>
        <v>557662.26937235356</v>
      </c>
      <c r="P23" s="41">
        <f>L23-N23</f>
        <v>-73.524151959998562</v>
      </c>
      <c r="Q23" s="22" t="s">
        <v>91</v>
      </c>
      <c r="R23" s="22">
        <f>COUNT(K21:K36)-COUNT(R21:R22)</f>
        <v>14</v>
      </c>
      <c r="S23" s="37">
        <v>1332.492</v>
      </c>
      <c r="T23" s="42">
        <v>11346.9</v>
      </c>
      <c r="U23" s="42">
        <v>0.111093</v>
      </c>
      <c r="V23">
        <f t="shared" si="16"/>
        <v>11357.124151959999</v>
      </c>
      <c r="W23" s="42">
        <f t="shared" si="17"/>
        <v>-10.22415195999929</v>
      </c>
      <c r="AC23" s="21" t="s">
        <v>61</v>
      </c>
      <c r="AD23">
        <v>81567.7</v>
      </c>
      <c r="AE23" s="22">
        <f>AD23/AD24</f>
        <v>5826.2642857142855</v>
      </c>
      <c r="AI23" s="97" t="s">
        <v>224</v>
      </c>
      <c r="AJ23" s="98" t="s">
        <v>220</v>
      </c>
      <c r="AK23" s="97" t="s">
        <v>227</v>
      </c>
      <c r="AL23" s="98" t="s">
        <v>222</v>
      </c>
      <c r="AM23" s="36" t="s">
        <v>60</v>
      </c>
      <c r="AN23" s="36" t="s">
        <v>229</v>
      </c>
      <c r="AR23" s="22"/>
      <c r="AT23" s="21" t="s">
        <v>29</v>
      </c>
      <c r="AU23" s="51">
        <v>964.05700000000002</v>
      </c>
      <c r="AV23" s="58">
        <v>3212.76</v>
      </c>
      <c r="AW23" s="59">
        <v>58.655999999999999</v>
      </c>
      <c r="AX23" s="105">
        <f t="shared" si="19"/>
        <v>26.773000000000003</v>
      </c>
      <c r="AY23" s="106">
        <f t="shared" si="19"/>
        <v>0.48880000000000001</v>
      </c>
      <c r="AZ23" s="105">
        <v>0.14510000000000001</v>
      </c>
      <c r="BA23" s="106">
        <v>6.9999999999999999E-4</v>
      </c>
      <c r="BB23" s="105">
        <f t="shared" si="26"/>
        <v>3.6641954379229659E-2</v>
      </c>
      <c r="BC23" s="22">
        <f t="shared" si="27"/>
        <v>2.1833087279928094E-3</v>
      </c>
      <c r="BD23" s="105">
        <f t="shared" si="25"/>
        <v>3.6641954379229658</v>
      </c>
      <c r="BE23" s="22">
        <f t="shared" si="25"/>
        <v>0.21833087279928093</v>
      </c>
    </row>
    <row r="24" spans="10:81" x14ac:dyDescent="0.3">
      <c r="J24" s="21" t="s">
        <v>59</v>
      </c>
      <c r="K24" s="20">
        <v>276.39890000000003</v>
      </c>
      <c r="L24" s="34">
        <v>2348.39</v>
      </c>
      <c r="M24" s="42">
        <v>9.6970200000000006E-2</v>
      </c>
      <c r="N24" s="21">
        <f t="shared" si="28"/>
        <v>2344.2883444569998</v>
      </c>
      <c r="O24" s="22">
        <f t="shared" ref="O24:O36" si="29">((L24-N24)/M24)^2</f>
        <v>1789.1295483419883</v>
      </c>
      <c r="P24" s="41">
        <f t="shared" ref="P24:P36" si="30">L24-N24</f>
        <v>4.1016555430001063</v>
      </c>
      <c r="Q24" s="22" t="s">
        <v>89</v>
      </c>
      <c r="R24" s="22">
        <f>SUM(O21:O36)</f>
        <v>1181048.2005145012</v>
      </c>
      <c r="S24" s="37">
        <v>1408.0129999999999</v>
      </c>
      <c r="T24" s="34">
        <v>12006</v>
      </c>
      <c r="U24" s="31">
        <v>0.19156599999999999</v>
      </c>
      <c r="V24">
        <f t="shared" si="16"/>
        <v>12001.630183689998</v>
      </c>
      <c r="W24" s="42">
        <f t="shared" si="17"/>
        <v>4.3698163100016245</v>
      </c>
      <c r="AC24" s="21" t="s">
        <v>62</v>
      </c>
      <c r="AD24">
        <v>14</v>
      </c>
      <c r="AE24" s="22"/>
      <c r="AI24" s="4">
        <f>AO5</f>
        <v>6.4945274854881045</v>
      </c>
      <c r="AJ24" s="5">
        <f t="shared" ref="AJ24:AL24" si="31">AP5</f>
        <v>6.7653817344747421E-6</v>
      </c>
      <c r="AK24" s="4">
        <f t="shared" si="31"/>
        <v>-5.1510117810504319</v>
      </c>
      <c r="AL24" s="5">
        <f t="shared" si="31"/>
        <v>2.0734037364582274E-3</v>
      </c>
      <c r="AM24">
        <f>$AD$34*AI24+$AD$33</f>
        <v>-5.2067757602946774</v>
      </c>
      <c r="AN24">
        <f>AK24-AM24</f>
        <v>5.5763979244245476E-2</v>
      </c>
      <c r="AR24" s="22"/>
      <c r="AT24" s="21" t="s">
        <v>29</v>
      </c>
      <c r="AU24" s="51">
        <v>1085.837</v>
      </c>
      <c r="AV24" s="58">
        <v>2020.67</v>
      </c>
      <c r="AW24" s="59">
        <v>48.434399999999997</v>
      </c>
      <c r="AX24" s="105">
        <f t="shared" si="19"/>
        <v>16.838916666666666</v>
      </c>
      <c r="AY24" s="106">
        <f t="shared" si="19"/>
        <v>0.40361999999999998</v>
      </c>
      <c r="AZ24" s="105">
        <v>0.1011</v>
      </c>
      <c r="BA24" s="106">
        <v>5.0000000000000001E-4</v>
      </c>
      <c r="BB24" s="105">
        <f t="shared" si="26"/>
        <v>3.3075924825610545E-2</v>
      </c>
      <c r="BC24" s="22">
        <f t="shared" si="27"/>
        <v>2.0369939845764351E-3</v>
      </c>
      <c r="BD24" s="105">
        <f t="shared" si="25"/>
        <v>3.3075924825610543</v>
      </c>
      <c r="BE24" s="22">
        <f t="shared" si="25"/>
        <v>0.20369939845764351</v>
      </c>
    </row>
    <row r="25" spans="10:81" ht="15" thickBot="1" x14ac:dyDescent="0.35">
      <c r="J25" s="21" t="s">
        <v>59</v>
      </c>
      <c r="K25" s="20">
        <v>302.85079999999999</v>
      </c>
      <c r="L25" s="34">
        <v>2574.19</v>
      </c>
      <c r="M25" s="42">
        <v>6.1427900000000001E-2</v>
      </c>
      <c r="N25" s="21">
        <f t="shared" si="28"/>
        <v>2570.0322978039994</v>
      </c>
      <c r="O25" s="22">
        <f t="shared" si="29"/>
        <v>4581.1595831618761</v>
      </c>
      <c r="P25" s="41">
        <f t="shared" si="30"/>
        <v>4.1577021960006277</v>
      </c>
      <c r="Q25" s="7" t="s">
        <v>90</v>
      </c>
      <c r="R25" s="7">
        <f>R24/R23</f>
        <v>84360.585751035804</v>
      </c>
      <c r="U25" t="s">
        <v>345</v>
      </c>
      <c r="V25" s="2" t="s">
        <v>60</v>
      </c>
      <c r="AC25" s="21" t="s">
        <v>63</v>
      </c>
      <c r="AD25">
        <v>-14.5358</v>
      </c>
      <c r="AE25" s="22">
        <v>9.93781E-3</v>
      </c>
      <c r="AI25" s="21">
        <f>AO6</f>
        <v>7.0665794852985409</v>
      </c>
      <c r="AJ25" s="22">
        <f t="shared" ref="AJ25:AJ26" si="32">AP6</f>
        <v>1.1110379494921529E-5</v>
      </c>
      <c r="AK25" s="21">
        <f t="shared" ref="AK25:AK26" si="33">AQ6</f>
        <v>-5.6990209008847534</v>
      </c>
      <c r="AL25" s="22">
        <f t="shared" ref="AL25:AL26" si="34">AR6</f>
        <v>2.0173811257904291E-2</v>
      </c>
      <c r="AM25">
        <f t="shared" ref="AM25:AM39" si="35">$AD$34*AI25+$AD$33</f>
        <v>-5.7145119537664257</v>
      </c>
      <c r="AN25">
        <f t="shared" ref="AN25:AN39" si="36">AK25-AM25</f>
        <v>1.5491052881672296E-2</v>
      </c>
      <c r="AR25" s="22"/>
      <c r="AT25" s="21" t="s">
        <v>29</v>
      </c>
      <c r="AU25" s="51">
        <v>1112.076</v>
      </c>
      <c r="AV25" s="58">
        <v>2708.18</v>
      </c>
      <c r="AW25" s="59">
        <v>54.011000000000003</v>
      </c>
      <c r="AX25" s="105">
        <f t="shared" si="19"/>
        <v>22.568166666666666</v>
      </c>
      <c r="AY25" s="106">
        <f t="shared" si="19"/>
        <v>0.45009166666666667</v>
      </c>
      <c r="AZ25" s="21">
        <v>0.13669999999999999</v>
      </c>
      <c r="BA25" s="106">
        <v>8.0000000000000004E-4</v>
      </c>
      <c r="BB25" s="105">
        <f t="shared" si="26"/>
        <v>3.2785119423985883E-2</v>
      </c>
      <c r="BC25" s="22">
        <f t="shared" si="27"/>
        <v>1.9741336860626653E-3</v>
      </c>
      <c r="BD25" s="105">
        <f t="shared" si="25"/>
        <v>3.2785119423985885</v>
      </c>
      <c r="BE25" s="22">
        <f t="shared" si="25"/>
        <v>0.19741336860626654</v>
      </c>
    </row>
    <row r="26" spans="10:81" ht="15" thickBot="1" x14ac:dyDescent="0.35">
      <c r="J26" s="21" t="s">
        <v>59</v>
      </c>
      <c r="K26" s="20">
        <v>356.0129</v>
      </c>
      <c r="L26" s="34">
        <v>3028.14</v>
      </c>
      <c r="M26" s="42">
        <v>3.7658700000000003E-2</v>
      </c>
      <c r="N26" s="21">
        <f t="shared" si="28"/>
        <v>3023.7245702769997</v>
      </c>
      <c r="O26" s="22">
        <f t="shared" si="29"/>
        <v>13747.233393584364</v>
      </c>
      <c r="P26" s="41">
        <f t="shared" si="30"/>
        <v>4.4154297230002157</v>
      </c>
      <c r="U26" s="42">
        <v>0</v>
      </c>
      <c r="V26">
        <f>(U26*$AD$26+$AD$25)</f>
        <v>-14.5358</v>
      </c>
      <c r="AC26" s="6" t="s">
        <v>64</v>
      </c>
      <c r="AD26" s="46">
        <v>8.5341299999999993</v>
      </c>
      <c r="AE26" s="47">
        <v>3.5664999999999998E-5</v>
      </c>
      <c r="AI26" s="21">
        <f t="shared" ref="AI26:AI30" si="37">AO7</f>
        <v>7.1939066572988715</v>
      </c>
      <c r="AJ26" s="22">
        <f t="shared" si="32"/>
        <v>1.0669619863330173E-5</v>
      </c>
      <c r="AK26" s="21">
        <f t="shared" si="33"/>
        <v>-5.795080605411143</v>
      </c>
      <c r="AL26" s="22">
        <f t="shared" si="34"/>
        <v>2.2711892856810287E-2</v>
      </c>
      <c r="AM26">
        <f t="shared" si="35"/>
        <v>-5.8275237318187596</v>
      </c>
      <c r="AN26">
        <f t="shared" si="36"/>
        <v>3.2443126407616596E-2</v>
      </c>
      <c r="AR26" s="22"/>
      <c r="AT26" s="21" t="s">
        <v>29</v>
      </c>
      <c r="AU26" s="51">
        <v>1408.0129999999999</v>
      </c>
      <c r="AV26" s="58">
        <v>3157.9</v>
      </c>
      <c r="AW26" s="59">
        <v>57.103700000000003</v>
      </c>
      <c r="AX26" s="105">
        <f t="shared" si="19"/>
        <v>26.315833333333334</v>
      </c>
      <c r="AY26" s="106">
        <f t="shared" si="19"/>
        <v>0.4758641666666667</v>
      </c>
      <c r="AZ26" s="105">
        <v>0.2087</v>
      </c>
      <c r="BA26" s="106">
        <v>8.9999999999999998E-4</v>
      </c>
      <c r="BB26" s="105">
        <f t="shared" si="26"/>
        <v>2.504053954082457E-2</v>
      </c>
      <c r="BC26" s="22">
        <f t="shared" si="27"/>
        <v>1.4897229914706555E-3</v>
      </c>
      <c r="BD26" s="105">
        <f t="shared" si="25"/>
        <v>2.5040539540824569</v>
      </c>
      <c r="BE26" s="22">
        <f t="shared" si="25"/>
        <v>0.14897229914706556</v>
      </c>
    </row>
    <row r="27" spans="10:81" ht="15" thickBot="1" x14ac:dyDescent="0.35">
      <c r="J27" s="21" t="s">
        <v>59</v>
      </c>
      <c r="K27" s="20">
        <v>383.8485</v>
      </c>
      <c r="L27" s="34">
        <v>3265.6</v>
      </c>
      <c r="M27" s="42">
        <v>0.104586</v>
      </c>
      <c r="N27" s="21">
        <f t="shared" si="28"/>
        <v>3261.2771993049996</v>
      </c>
      <c r="O27" s="22">
        <f t="shared" si="29"/>
        <v>1708.3754376899126</v>
      </c>
      <c r="P27" s="41">
        <f t="shared" si="30"/>
        <v>4.3228006950002964</v>
      </c>
      <c r="Q27" t="s">
        <v>94</v>
      </c>
      <c r="U27" s="42">
        <v>100</v>
      </c>
      <c r="V27">
        <f t="shared" ref="V27:V42" si="38">(U27*$AD$26+$AD$25)</f>
        <v>838.8771999999999</v>
      </c>
      <c r="AC27" s="21"/>
      <c r="AI27" s="21">
        <f t="shared" si="37"/>
        <v>5.6235824580974585</v>
      </c>
      <c r="AJ27" s="22">
        <f t="shared" ref="AJ27:AJ36" si="39">AP8</f>
        <v>4.1464275044350727E-5</v>
      </c>
      <c r="AK27" s="21">
        <f t="shared" ref="AK27:AK36" si="40">AQ8</f>
        <v>-4.4740028743061568</v>
      </c>
      <c r="AL27" s="22">
        <f t="shared" ref="AL27:AL36" si="41">AR8</f>
        <v>2.8061226776297785E-3</v>
      </c>
      <c r="AM27">
        <f t="shared" si="35"/>
        <v>-4.4337510823335613</v>
      </c>
      <c r="AN27">
        <f t="shared" si="36"/>
        <v>-4.0251791972595541E-2</v>
      </c>
      <c r="AR27" s="22"/>
      <c r="AT27" s="6" t="s">
        <v>70</v>
      </c>
      <c r="AU27" s="52">
        <v>59.540900000000001</v>
      </c>
      <c r="AV27" s="60">
        <v>119804</v>
      </c>
      <c r="AW27" s="47">
        <v>346.84500000000003</v>
      </c>
      <c r="AX27" s="107">
        <f t="shared" si="19"/>
        <v>998.36666666666667</v>
      </c>
      <c r="AY27" s="108">
        <f t="shared" si="19"/>
        <v>2.8903750000000001</v>
      </c>
      <c r="AZ27" s="107">
        <v>0.35899999999999999</v>
      </c>
      <c r="BA27" s="108">
        <v>4.0000000000000001E-3</v>
      </c>
      <c r="BB27" s="107">
        <f>(AX27*4*PI())/($BC$9*AZ27*$AZ$3)</f>
        <v>8.6413825811486308E-2</v>
      </c>
      <c r="BC27" s="7">
        <f>SQRT((AY27*(4*PI()/($BC$9*$AZ$3*AZ27)))^2+($BD$9*(-AX27*4*PI()/(AZ27*$AZ$3*$BC$9^2)))^2+(BA27*(-AX27*4*PI()/($BC$9*$AZ$3*AZ27^2)))^2+($BA$3*(-AX27*4*PI()/($BC$9*AZ27*$AZ$3^2)))^2)</f>
        <v>4.9747539418246436E-3</v>
      </c>
      <c r="BD27" s="107">
        <f t="shared" si="25"/>
        <v>8.6413825811486316</v>
      </c>
      <c r="BE27" s="7">
        <f t="shared" si="25"/>
        <v>0.49747539418246434</v>
      </c>
    </row>
    <row r="28" spans="10:81" x14ac:dyDescent="0.3">
      <c r="J28" s="21" t="s">
        <v>29</v>
      </c>
      <c r="K28" s="20">
        <v>121.7817</v>
      </c>
      <c r="L28" s="34">
        <v>1027.48</v>
      </c>
      <c r="M28" s="42">
        <v>2.3732300000000001E-2</v>
      </c>
      <c r="N28" s="21">
        <f t="shared" si="28"/>
        <v>1024.7650594209997</v>
      </c>
      <c r="O28" s="22">
        <f t="shared" si="29"/>
        <v>13087.02699685846</v>
      </c>
      <c r="P28" s="41">
        <f t="shared" si="30"/>
        <v>2.7149405790003129</v>
      </c>
      <c r="U28" s="42">
        <v>200</v>
      </c>
      <c r="V28">
        <f t="shared" si="38"/>
        <v>1692.2901999999997</v>
      </c>
      <c r="AC28" s="21"/>
      <c r="AD28" t="s">
        <v>223</v>
      </c>
      <c r="AI28" s="21">
        <f t="shared" si="37"/>
        <v>5.714847646690413</v>
      </c>
      <c r="AJ28" s="22">
        <f t="shared" si="39"/>
        <v>2.4398110758393843E-5</v>
      </c>
      <c r="AK28" s="21">
        <f t="shared" si="40"/>
        <v>-4.5695644090637035</v>
      </c>
      <c r="AL28" s="22">
        <f t="shared" si="41"/>
        <v>7.9268082351204097E-3</v>
      </c>
      <c r="AM28">
        <f t="shared" si="35"/>
        <v>-4.5147553257730095</v>
      </c>
      <c r="AN28">
        <f t="shared" si="36"/>
        <v>-5.4809083290694005E-2</v>
      </c>
      <c r="AR28" s="22"/>
    </row>
    <row r="29" spans="10:81" ht="15" thickBot="1" x14ac:dyDescent="0.35">
      <c r="J29" s="21" t="s">
        <v>29</v>
      </c>
      <c r="K29" s="20">
        <v>244.69739999999999</v>
      </c>
      <c r="L29" s="34">
        <v>2076.84</v>
      </c>
      <c r="M29" s="42">
        <v>6.8874000000000005E-2</v>
      </c>
      <c r="N29" s="21">
        <f t="shared" si="28"/>
        <v>2073.7436222619995</v>
      </c>
      <c r="O29" s="22">
        <f t="shared" si="29"/>
        <v>2021.1440161429359</v>
      </c>
      <c r="P29" s="41">
        <f t="shared" si="30"/>
        <v>3.0963777380006832</v>
      </c>
      <c r="U29" s="42">
        <v>300</v>
      </c>
      <c r="V29">
        <f t="shared" si="38"/>
        <v>2545.7031999999995</v>
      </c>
      <c r="AC29" s="21"/>
      <c r="AI29" s="21">
        <f t="shared" si="37"/>
        <v>5.8764191867874533</v>
      </c>
      <c r="AJ29" s="22">
        <f t="shared" si="39"/>
        <v>1.3465461341599055E-5</v>
      </c>
      <c r="AK29" s="21">
        <f t="shared" si="40"/>
        <v>-4.7661106494367251</v>
      </c>
      <c r="AL29" s="22">
        <f t="shared" si="41"/>
        <v>7.5077371772677634E-3</v>
      </c>
      <c r="AM29">
        <f t="shared" si="35"/>
        <v>-4.6581613776169402</v>
      </c>
      <c r="AN29">
        <f t="shared" si="36"/>
        <v>-0.10794927181978498</v>
      </c>
      <c r="AR29" s="22"/>
      <c r="AY29" t="s">
        <v>225</v>
      </c>
      <c r="AZ29" t="s">
        <v>226</v>
      </c>
      <c r="BA29" t="s">
        <v>258</v>
      </c>
    </row>
    <row r="30" spans="10:81" ht="15" thickBot="1" x14ac:dyDescent="0.35">
      <c r="J30" s="21" t="s">
        <v>29</v>
      </c>
      <c r="K30" s="37">
        <v>344.27850000000001</v>
      </c>
      <c r="L30" s="34">
        <v>2926.8</v>
      </c>
      <c r="M30" s="42">
        <v>4.4896400000000003E-2</v>
      </c>
      <c r="N30" s="21">
        <f t="shared" si="28"/>
        <v>2923.5816752049996</v>
      </c>
      <c r="O30" s="22">
        <f t="shared" si="29"/>
        <v>5138.5040724586443</v>
      </c>
      <c r="P30" s="41">
        <f t="shared" si="30"/>
        <v>3.2183247950006262</v>
      </c>
      <c r="U30" s="42">
        <v>400</v>
      </c>
      <c r="V30">
        <f t="shared" si="38"/>
        <v>3399.1161999999995</v>
      </c>
      <c r="AC30" s="97" t="s">
        <v>228</v>
      </c>
      <c r="AD30" s="99"/>
      <c r="AE30" s="98"/>
      <c r="AI30" s="21">
        <f t="shared" si="37"/>
        <v>5.9515666851254645</v>
      </c>
      <c r="AJ30" s="22">
        <f t="shared" si="39"/>
        <v>3.229977090432075E-5</v>
      </c>
      <c r="AK30" s="21">
        <f t="shared" si="40"/>
        <v>-4.8283284624108198</v>
      </c>
      <c r="AL30" s="22">
        <f t="shared" si="41"/>
        <v>4.684681945583853E-3</v>
      </c>
      <c r="AM30">
        <f t="shared" si="35"/>
        <v>-4.7248600427168093</v>
      </c>
      <c r="AN30">
        <f t="shared" si="36"/>
        <v>-0.10346841969401055</v>
      </c>
      <c r="AR30" s="22"/>
      <c r="AX30" s="13" t="s">
        <v>58</v>
      </c>
      <c r="AY30" s="109" t="s">
        <v>109</v>
      </c>
      <c r="AZ30" s="110" t="s">
        <v>253</v>
      </c>
      <c r="BA30" s="111" t="s">
        <v>57</v>
      </c>
      <c r="BB30" s="97" t="s">
        <v>60</v>
      </c>
      <c r="BC30" s="98" t="s">
        <v>229</v>
      </c>
      <c r="BD30" s="53" t="s">
        <v>260</v>
      </c>
      <c r="BE30" s="55" t="s">
        <v>229</v>
      </c>
      <c r="BF30" s="97" t="s">
        <v>254</v>
      </c>
      <c r="BG30" s="99"/>
      <c r="BH30" s="98"/>
      <c r="CA30" s="53" t="s">
        <v>259</v>
      </c>
      <c r="CB30" s="54"/>
      <c r="CC30" s="55"/>
    </row>
    <row r="31" spans="10:81" ht="15" thickBot="1" x14ac:dyDescent="0.35">
      <c r="J31" s="21" t="s">
        <v>29</v>
      </c>
      <c r="K31" s="37">
        <v>778.90449999999998</v>
      </c>
      <c r="L31" s="34">
        <v>6636.27</v>
      </c>
      <c r="M31" s="42">
        <v>0.14452799999999999</v>
      </c>
      <c r="N31" s="21">
        <f t="shared" si="28"/>
        <v>6632.7364605849998</v>
      </c>
      <c r="O31" s="22">
        <f t="shared" si="29"/>
        <v>597.74492052700941</v>
      </c>
      <c r="P31" s="41">
        <f t="shared" si="30"/>
        <v>3.5335394150006323</v>
      </c>
      <c r="U31" s="42">
        <v>500</v>
      </c>
      <c r="V31">
        <f t="shared" si="38"/>
        <v>4252.5291999999999</v>
      </c>
      <c r="AC31" s="21" t="s">
        <v>61</v>
      </c>
      <c r="AD31">
        <v>2950.77</v>
      </c>
      <c r="AE31" s="22">
        <f>AD31/AD32</f>
        <v>210.7692857142857</v>
      </c>
      <c r="AI31" s="21">
        <f t="shared" ref="AI31:AL34" si="42">AO12</f>
        <v>4.8048389675114542</v>
      </c>
      <c r="AJ31" s="22">
        <f t="shared" si="42"/>
        <v>2.5042740878153672E-5</v>
      </c>
      <c r="AK31" s="21">
        <f t="shared" si="42"/>
        <v>-3.7495749986751381</v>
      </c>
      <c r="AL31" s="22">
        <f t="shared" si="42"/>
        <v>2.0093995308775917E-3</v>
      </c>
      <c r="AM31">
        <f t="shared" si="35"/>
        <v>-3.707058922394141</v>
      </c>
      <c r="AN31">
        <f t="shared" si="36"/>
        <v>-4.2516076280997073E-2</v>
      </c>
      <c r="AR31" s="22"/>
      <c r="AV31">
        <v>0</v>
      </c>
      <c r="AX31" s="8" t="s">
        <v>70</v>
      </c>
      <c r="AY31" s="39">
        <v>59.540900000000001</v>
      </c>
      <c r="AZ31" s="103">
        <f>BD27</f>
        <v>8.6413825811486316</v>
      </c>
      <c r="BA31" s="104">
        <f>BE27</f>
        <v>0.49747539418246434</v>
      </c>
      <c r="BB31" s="56">
        <f t="shared" ref="BB31:BB46" si="43">$BG$33*AY31^($BG$34)</f>
        <v>13.818225203368367</v>
      </c>
      <c r="BC31" s="57">
        <f t="shared" ref="BC31:BC46" si="44">AZ31-BB31</f>
        <v>-5.1768426222197359</v>
      </c>
      <c r="BD31" s="56">
        <f t="shared" ref="BD31:BD46" si="45">$BG$38*AY31^$BG$39</f>
        <v>53.064388219011335</v>
      </c>
      <c r="BE31" s="57">
        <f t="shared" ref="BE31:BE46" si="46">AZ31-BD31</f>
        <v>-44.423005637862701</v>
      </c>
      <c r="BF31" s="21" t="s">
        <v>61</v>
      </c>
      <c r="BG31" s="62">
        <v>717</v>
      </c>
      <c r="BH31" s="22">
        <f>BG31/BG32</f>
        <v>51.214285714285715</v>
      </c>
      <c r="CA31" s="21" t="s">
        <v>61</v>
      </c>
      <c r="CB31">
        <v>454.3</v>
      </c>
      <c r="CC31" s="22">
        <f>CB31/CB32</f>
        <v>37.858333333333334</v>
      </c>
    </row>
    <row r="32" spans="10:81" ht="15" thickBot="1" x14ac:dyDescent="0.35">
      <c r="J32" s="21" t="s">
        <v>29</v>
      </c>
      <c r="K32" s="37">
        <v>964.05700000000002</v>
      </c>
      <c r="L32" s="34">
        <v>8215.1</v>
      </c>
      <c r="M32" s="42">
        <v>0.16061700000000001</v>
      </c>
      <c r="N32" s="21">
        <f t="shared" si="28"/>
        <v>8212.85196541</v>
      </c>
      <c r="O32" s="22">
        <f t="shared" si="29"/>
        <v>195.89482300699649</v>
      </c>
      <c r="P32" s="41">
        <f t="shared" si="30"/>
        <v>2.2480345900003158</v>
      </c>
      <c r="U32" s="42">
        <v>600</v>
      </c>
      <c r="V32">
        <f t="shared" si="38"/>
        <v>5105.9421999999995</v>
      </c>
      <c r="AC32" s="21" t="s">
        <v>62</v>
      </c>
      <c r="AD32">
        <v>14</v>
      </c>
      <c r="AE32" s="22"/>
      <c r="AI32" s="21">
        <f t="shared" si="42"/>
        <v>5.5015039880665224</v>
      </c>
      <c r="AJ32" s="22">
        <f t="shared" si="42"/>
        <v>3.3534858670500109E-5</v>
      </c>
      <c r="AK32" s="21">
        <f t="shared" si="42"/>
        <v>-4.4020479935943566</v>
      </c>
      <c r="AL32" s="22">
        <f t="shared" si="42"/>
        <v>5.8461796002080759E-3</v>
      </c>
      <c r="AM32">
        <f t="shared" si="35"/>
        <v>-4.3253978946882032</v>
      </c>
      <c r="AN32">
        <f t="shared" si="36"/>
        <v>-7.6650098906153374E-2</v>
      </c>
      <c r="AP32" s="114" t="s">
        <v>311</v>
      </c>
      <c r="AQ32" s="115"/>
      <c r="AR32" s="115"/>
      <c r="AX32" s="20" t="s">
        <v>29</v>
      </c>
      <c r="AY32" s="20">
        <v>121.7817</v>
      </c>
      <c r="AZ32" s="105">
        <f>BD19</f>
        <v>20.968312264369303</v>
      </c>
      <c r="BA32" s="106">
        <f>BE19</f>
        <v>1.1962093357099328</v>
      </c>
      <c r="BB32" s="58">
        <f t="shared" si="43"/>
        <v>9.7811494359219502</v>
      </c>
      <c r="BC32" s="59">
        <f t="shared" si="44"/>
        <v>11.187162828447352</v>
      </c>
      <c r="BD32" s="58">
        <f t="shared" si="45"/>
        <v>26.601619282510573</v>
      </c>
      <c r="BE32" s="59">
        <f t="shared" si="46"/>
        <v>-5.6333070181412701</v>
      </c>
      <c r="BF32" s="21" t="s">
        <v>257</v>
      </c>
      <c r="BG32" s="62">
        <v>14</v>
      </c>
      <c r="BH32" s="22"/>
      <c r="CA32" s="21" t="s">
        <v>257</v>
      </c>
      <c r="CB32">
        <v>12</v>
      </c>
      <c r="CC32" s="22"/>
    </row>
    <row r="33" spans="10:81" ht="15" thickBot="1" x14ac:dyDescent="0.35">
      <c r="J33" s="21" t="s">
        <v>29</v>
      </c>
      <c r="K33" s="37">
        <v>1085.837</v>
      </c>
      <c r="L33" s="34">
        <v>9255.0499999999993</v>
      </c>
      <c r="M33" s="42">
        <v>0.24263699999999999</v>
      </c>
      <c r="N33" s="21">
        <f t="shared" si="28"/>
        <v>9252.1383168100001</v>
      </c>
      <c r="O33" s="22">
        <f t="shared" si="29"/>
        <v>144.00387643397278</v>
      </c>
      <c r="P33" s="41">
        <f t="shared" si="30"/>
        <v>2.9116831899991666</v>
      </c>
      <c r="U33" s="42">
        <v>700</v>
      </c>
      <c r="V33">
        <f t="shared" si="38"/>
        <v>5959.3552</v>
      </c>
      <c r="AC33" s="21" t="s">
        <v>63</v>
      </c>
      <c r="AD33">
        <v>0.55757199999999996</v>
      </c>
      <c r="AE33" s="22">
        <v>3.8772099999999999E-3</v>
      </c>
      <c r="AI33" s="21">
        <f t="shared" si="42"/>
        <v>5.8425456930521253</v>
      </c>
      <c r="AJ33" s="22">
        <f t="shared" si="42"/>
        <v>1.6182350371213405E-5</v>
      </c>
      <c r="AK33" s="21">
        <f t="shared" si="42"/>
        <v>-4.6788317155406931</v>
      </c>
      <c r="AL33" s="22">
        <f t="shared" si="42"/>
        <v>3.4592410291455597E-3</v>
      </c>
      <c r="AM33">
        <f t="shared" si="35"/>
        <v>-4.628096280782275</v>
      </c>
      <c r="AN33">
        <f t="shared" si="36"/>
        <v>-5.073543475841813E-2</v>
      </c>
      <c r="AP33" s="4" t="s">
        <v>61</v>
      </c>
      <c r="AQ33" s="45">
        <v>20.745699999999999</v>
      </c>
      <c r="AR33" s="5">
        <f>AQ33/AQ34</f>
        <v>5.1864249999999998</v>
      </c>
      <c r="AX33" s="20" t="s">
        <v>29</v>
      </c>
      <c r="AY33" s="20">
        <v>244.69739999999999</v>
      </c>
      <c r="AZ33" s="105">
        <f>BD20</f>
        <v>13.687672453106654</v>
      </c>
      <c r="BA33" s="106">
        <f>BE20</f>
        <v>0.79962786832357258</v>
      </c>
      <c r="BB33" s="58">
        <f t="shared" si="43"/>
        <v>6.9832084990536067</v>
      </c>
      <c r="BC33" s="59">
        <f t="shared" si="44"/>
        <v>6.7044639540530468</v>
      </c>
      <c r="BD33" s="58">
        <f t="shared" si="45"/>
        <v>13.566326204245604</v>
      </c>
      <c r="BE33" s="59">
        <f t="shared" si="46"/>
        <v>0.12134624886104994</v>
      </c>
      <c r="BF33" s="21" t="s">
        <v>255</v>
      </c>
      <c r="BG33" s="1">
        <v>99.419499999999999</v>
      </c>
      <c r="BH33" s="59">
        <v>7.69794</v>
      </c>
      <c r="CA33" s="21" t="s">
        <v>255</v>
      </c>
      <c r="CB33" s="42">
        <v>5693.15</v>
      </c>
      <c r="CC33" s="31">
        <v>785.5</v>
      </c>
    </row>
    <row r="34" spans="10:81" ht="15" thickBot="1" x14ac:dyDescent="0.35">
      <c r="J34" s="21" t="s">
        <v>29</v>
      </c>
      <c r="K34" s="37">
        <v>1112.076</v>
      </c>
      <c r="L34" s="34">
        <v>9479.0499999999993</v>
      </c>
      <c r="M34" s="42">
        <v>0.19329299999999999</v>
      </c>
      <c r="N34" s="21">
        <f t="shared" si="28"/>
        <v>9476.0653538799997</v>
      </c>
      <c r="O34" s="22">
        <f t="shared" si="29"/>
        <v>238.42590405396345</v>
      </c>
      <c r="P34" s="41">
        <f t="shared" si="30"/>
        <v>2.9846461199995247</v>
      </c>
      <c r="U34" s="42">
        <v>800</v>
      </c>
      <c r="V34">
        <f t="shared" si="38"/>
        <v>6812.7681999999995</v>
      </c>
      <c r="AC34" s="6" t="s">
        <v>64</v>
      </c>
      <c r="AD34" s="46">
        <v>-0.88756999999999997</v>
      </c>
      <c r="AE34" s="7">
        <v>7.8191600000000001E-4</v>
      </c>
      <c r="AI34" s="21">
        <f t="shared" si="42"/>
        <v>6.6584198814066919</v>
      </c>
      <c r="AJ34" s="22">
        <f t="shared" si="42"/>
        <v>2.2179487122192446E-5</v>
      </c>
      <c r="AK34" s="21">
        <f t="shared" si="42"/>
        <v>-5.3291582184726494</v>
      </c>
      <c r="AL34" s="22">
        <f t="shared" si="42"/>
        <v>9.8482629807438837E-3</v>
      </c>
      <c r="AM34">
        <f t="shared" si="35"/>
        <v>-5.3522417341401383</v>
      </c>
      <c r="AN34">
        <f t="shared" si="36"/>
        <v>2.3083515667488896E-2</v>
      </c>
      <c r="AP34" s="21" t="s">
        <v>62</v>
      </c>
      <c r="AQ34">
        <v>4</v>
      </c>
      <c r="AR34" s="22"/>
      <c r="AX34" s="20" t="s">
        <v>59</v>
      </c>
      <c r="AY34" s="20">
        <v>276.39890000000003</v>
      </c>
      <c r="AZ34" s="105">
        <f>BD15</f>
        <v>13.772700573735822</v>
      </c>
      <c r="BA34" s="106">
        <f>BE15</f>
        <v>0.80343317377205914</v>
      </c>
      <c r="BB34" s="58">
        <f t="shared" si="43"/>
        <v>6.5842665523613118</v>
      </c>
      <c r="BC34" s="59">
        <f t="shared" si="44"/>
        <v>7.1884340213745102</v>
      </c>
      <c r="BD34" s="58">
        <f t="shared" si="45"/>
        <v>12.061633945271355</v>
      </c>
      <c r="BE34" s="59">
        <f t="shared" si="46"/>
        <v>1.7110666284644669</v>
      </c>
      <c r="BF34" s="6" t="s">
        <v>256</v>
      </c>
      <c r="BG34" s="96">
        <v>-0.48287799999999997</v>
      </c>
      <c r="BH34" s="47">
        <v>1.20252E-2</v>
      </c>
      <c r="BI34" s="92"/>
      <c r="BJ34" s="93"/>
      <c r="BK34" s="82"/>
      <c r="CA34" s="6" t="s">
        <v>256</v>
      </c>
      <c r="CB34" s="94">
        <v>-1.0966199999999999</v>
      </c>
      <c r="CC34" s="32">
        <v>2.18222E-2</v>
      </c>
    </row>
    <row r="35" spans="10:81" ht="15" thickBot="1" x14ac:dyDescent="0.35">
      <c r="J35" s="21" t="s">
        <v>29</v>
      </c>
      <c r="K35" s="37">
        <v>1408.0129999999999</v>
      </c>
      <c r="L35" s="34">
        <v>12006</v>
      </c>
      <c r="M35" s="42">
        <v>0.19156599999999999</v>
      </c>
      <c r="N35" s="21">
        <f t="shared" si="28"/>
        <v>12001.630183689998</v>
      </c>
      <c r="O35" s="22">
        <f t="shared" si="29"/>
        <v>520.34274124794547</v>
      </c>
      <c r="P35" s="41">
        <f t="shared" si="30"/>
        <v>4.3698163100016245</v>
      </c>
      <c r="U35" s="42">
        <v>900</v>
      </c>
      <c r="V35">
        <f t="shared" si="38"/>
        <v>7666.1812</v>
      </c>
      <c r="AC35" s="21"/>
      <c r="AI35" s="21">
        <f>AO16</f>
        <v>6.8714236221233422</v>
      </c>
      <c r="AJ35" s="22">
        <f t="shared" si="39"/>
        <v>1.9995814299361241E-5</v>
      </c>
      <c r="AK35" s="21">
        <f t="shared" si="40"/>
        <v>-5.486334562128734</v>
      </c>
      <c r="AL35" s="22">
        <f t="shared" si="41"/>
        <v>1.0621258392759323E-2</v>
      </c>
      <c r="AM35">
        <f t="shared" si="35"/>
        <v>-5.5412974642880144</v>
      </c>
      <c r="AN35">
        <f t="shared" si="36"/>
        <v>5.4962902159280347E-2</v>
      </c>
      <c r="AP35" s="21" t="s">
        <v>88</v>
      </c>
      <c r="AQ35">
        <v>2.7370200000000002E-3</v>
      </c>
      <c r="AR35" s="22">
        <v>1.56973E-4</v>
      </c>
      <c r="AX35" s="20" t="s">
        <v>59</v>
      </c>
      <c r="AY35" s="20">
        <v>302.85079999999999</v>
      </c>
      <c r="AZ35" s="105">
        <f>BD16</f>
        <v>13.143761139369339</v>
      </c>
      <c r="BA35" s="106">
        <f>BE16</f>
        <v>0.74215804808070962</v>
      </c>
      <c r="BB35" s="58">
        <f t="shared" si="43"/>
        <v>6.3000037836430325</v>
      </c>
      <c r="BC35" s="59">
        <f t="shared" si="44"/>
        <v>6.8437573557263063</v>
      </c>
      <c r="BD35" s="58">
        <f t="shared" si="45"/>
        <v>11.0433869300012</v>
      </c>
      <c r="BE35" s="59">
        <f t="shared" si="46"/>
        <v>2.1003742093681392</v>
      </c>
      <c r="BF35" s="53" t="s">
        <v>259</v>
      </c>
      <c r="BG35" s="54"/>
      <c r="BH35" s="55"/>
      <c r="BI35" s="21"/>
      <c r="BK35" s="22"/>
      <c r="CA35" s="53" t="s">
        <v>337</v>
      </c>
      <c r="CB35" s="54"/>
      <c r="CC35" s="55"/>
    </row>
    <row r="36" spans="10:81" ht="15" thickBot="1" x14ac:dyDescent="0.35">
      <c r="J36" s="6" t="s">
        <v>70</v>
      </c>
      <c r="K36" s="38">
        <v>59.540900000000001</v>
      </c>
      <c r="L36" s="35">
        <v>492.44099999999997</v>
      </c>
      <c r="M36" s="94">
        <v>1.1724999999999999E-2</v>
      </c>
      <c r="N36" s="6">
        <f t="shared" si="28"/>
        <v>493.59398091699995</v>
      </c>
      <c r="O36" s="7">
        <f t="shared" si="29"/>
        <v>9669.8232502388219</v>
      </c>
      <c r="P36" s="43">
        <f t="shared" si="30"/>
        <v>-1.1529809169999794</v>
      </c>
      <c r="U36" s="42">
        <v>1000</v>
      </c>
      <c r="V36">
        <f t="shared" si="38"/>
        <v>8519.5941999999995</v>
      </c>
      <c r="AC36" s="49" t="s">
        <v>280</v>
      </c>
      <c r="AD36" s="16">
        <f>-0.5/AD34</f>
        <v>0.56333584956679472</v>
      </c>
      <c r="AE36" t="s">
        <v>281</v>
      </c>
      <c r="AI36" s="21">
        <f t="shared" ref="AI36" si="47">AO17</f>
        <v>6.9904205579578012</v>
      </c>
      <c r="AJ36" s="22">
        <f t="shared" si="39"/>
        <v>2.6528785695348891E-5</v>
      </c>
      <c r="AK36" s="21">
        <f t="shared" si="40"/>
        <v>-5.5431804938704703</v>
      </c>
      <c r="AL36" s="22">
        <f t="shared" si="41"/>
        <v>1.6283950030634875E-2</v>
      </c>
      <c r="AM36">
        <f t="shared" si="35"/>
        <v>-5.6469155746266058</v>
      </c>
      <c r="AN36">
        <f t="shared" si="36"/>
        <v>0.10373508075613547</v>
      </c>
      <c r="AP36" s="21" t="s">
        <v>316</v>
      </c>
      <c r="AQ36">
        <v>-3.7688499999999998E-4</v>
      </c>
      <c r="AR36" s="22">
        <v>6.8120799999999999E-4</v>
      </c>
      <c r="AX36" s="20" t="s">
        <v>29</v>
      </c>
      <c r="AY36" s="37">
        <v>344.27850000000001</v>
      </c>
      <c r="AZ36" s="105">
        <f>BD21</f>
        <v>10.268189661473794</v>
      </c>
      <c r="BA36" s="106">
        <f>BE21</f>
        <v>0.59111442427602268</v>
      </c>
      <c r="BB36" s="58">
        <f t="shared" si="43"/>
        <v>5.9217980814815352</v>
      </c>
      <c r="BC36" s="59">
        <f t="shared" si="44"/>
        <v>4.3463915799922592</v>
      </c>
      <c r="BD36" s="58">
        <f t="shared" si="45"/>
        <v>9.7581840842572358</v>
      </c>
      <c r="BE36" s="59">
        <f t="shared" si="46"/>
        <v>0.51000557721655859</v>
      </c>
      <c r="BF36" s="21" t="s">
        <v>61</v>
      </c>
      <c r="BG36">
        <v>63.82</v>
      </c>
      <c r="BH36" s="22">
        <f>BG36/BG37</f>
        <v>4.9092307692307688</v>
      </c>
      <c r="BI36" s="21"/>
      <c r="BK36" s="22"/>
      <c r="CA36" s="4" t="s">
        <v>338</v>
      </c>
      <c r="CB36" s="45" t="s">
        <v>341</v>
      </c>
      <c r="CC36" s="5">
        <f>373.9/12</f>
        <v>31.158333333333331</v>
      </c>
    </row>
    <row r="37" spans="10:81" ht="15" thickBot="1" x14ac:dyDescent="0.35">
      <c r="U37" s="42">
        <v>1100</v>
      </c>
      <c r="V37">
        <f t="shared" si="38"/>
        <v>9373.0072</v>
      </c>
      <c r="AC37" s="21"/>
      <c r="AI37" s="21">
        <f t="shared" ref="AI37:AI39" si="48">AO18</f>
        <v>7.014298252770617</v>
      </c>
      <c r="AJ37" s="22">
        <f t="shared" ref="AJ37:AJ39" si="49">AP18</f>
        <v>2.0811191198398871E-5</v>
      </c>
      <c r="AK37" s="21">
        <f t="shared" ref="AK37:AK39" si="50">AQ18</f>
        <v>-5.592869621491567</v>
      </c>
      <c r="AL37" s="22">
        <f t="shared" ref="AL37:AL39" si="51">AR18</f>
        <v>1.1344275910911517E-2</v>
      </c>
      <c r="AM37">
        <f t="shared" si="35"/>
        <v>-5.6681087002116168</v>
      </c>
      <c r="AN37">
        <f t="shared" si="36"/>
        <v>7.5239078720049868E-2</v>
      </c>
      <c r="AP37" s="6" t="s">
        <v>87</v>
      </c>
      <c r="AQ37" s="46">
        <v>6.2493100000000001E-3</v>
      </c>
      <c r="AR37" s="7">
        <v>7.0829699999999998E-4</v>
      </c>
      <c r="AW37" s="1"/>
      <c r="AX37" s="20" t="s">
        <v>59</v>
      </c>
      <c r="AY37" s="20">
        <v>356.0129</v>
      </c>
      <c r="AZ37" s="105">
        <f>BD17</f>
        <v>10.871655157543579</v>
      </c>
      <c r="BA37" s="106">
        <f>BE17</f>
        <v>0.60027826487077762</v>
      </c>
      <c r="BB37" s="58">
        <f t="shared" si="43"/>
        <v>5.826730126663878</v>
      </c>
      <c r="BC37" s="59">
        <f t="shared" si="44"/>
        <v>5.0449250308797007</v>
      </c>
      <c r="BD37" s="58">
        <f t="shared" si="45"/>
        <v>9.4476192128687639</v>
      </c>
      <c r="BE37" s="59">
        <f t="shared" si="46"/>
        <v>1.4240359446748148</v>
      </c>
      <c r="BF37" s="21" t="s">
        <v>257</v>
      </c>
      <c r="BG37">
        <v>13</v>
      </c>
      <c r="BH37" s="22"/>
      <c r="BI37" s="21"/>
      <c r="BJ37" s="1"/>
      <c r="BK37" s="59"/>
      <c r="CA37" s="21" t="s">
        <v>255</v>
      </c>
      <c r="CB37" s="42">
        <v>5772.34</v>
      </c>
      <c r="CC37" s="42">
        <v>575.17499999999995</v>
      </c>
    </row>
    <row r="38" spans="10:81" ht="15" thickBot="1" x14ac:dyDescent="0.35">
      <c r="U38" s="42">
        <v>1200</v>
      </c>
      <c r="V38">
        <f t="shared" si="38"/>
        <v>10226.420199999999</v>
      </c>
      <c r="AC38" s="21"/>
      <c r="AI38" s="21">
        <f t="shared" si="48"/>
        <v>7.2502983649681942</v>
      </c>
      <c r="AJ38" s="22">
        <f t="shared" si="49"/>
        <v>1.6496131587518265E-5</v>
      </c>
      <c r="AK38" s="21">
        <f t="shared" si="50"/>
        <v>-5.7615548726254895</v>
      </c>
      <c r="AL38" s="22">
        <f t="shared" si="51"/>
        <v>1.0477935952402113E-2</v>
      </c>
      <c r="AM38">
        <f t="shared" si="35"/>
        <v>-5.8775753197948202</v>
      </c>
      <c r="AN38">
        <f t="shared" si="36"/>
        <v>0.11602044716933069</v>
      </c>
      <c r="AW38" s="1"/>
      <c r="AX38" s="20" t="s">
        <v>59</v>
      </c>
      <c r="AY38" s="20">
        <v>383.8485</v>
      </c>
      <c r="AZ38" s="105">
        <f>BD18</f>
        <v>10.094344244690525</v>
      </c>
      <c r="BA38" s="106">
        <f>BE18</f>
        <v>0.58967715518279895</v>
      </c>
      <c r="BB38" s="58">
        <f t="shared" si="43"/>
        <v>5.6187231749740674</v>
      </c>
      <c r="BC38" s="59">
        <f t="shared" si="44"/>
        <v>4.4756210697164578</v>
      </c>
      <c r="BD38" s="58">
        <f t="shared" si="45"/>
        <v>8.7856117214660205</v>
      </c>
      <c r="BE38" s="59">
        <f t="shared" si="46"/>
        <v>1.3087325232245046</v>
      </c>
      <c r="BF38" s="21" t="s">
        <v>255</v>
      </c>
      <c r="BG38" s="42">
        <v>2738.61</v>
      </c>
      <c r="BH38" s="31">
        <v>313.51799999999997</v>
      </c>
      <c r="BI38" s="6"/>
      <c r="BJ38" s="96"/>
      <c r="BK38" s="47"/>
      <c r="CA38" s="6" t="s">
        <v>256</v>
      </c>
      <c r="CB38" s="42">
        <v>-1.0799000000000001</v>
      </c>
      <c r="CC38" s="42">
        <v>1.51842E-2</v>
      </c>
    </row>
    <row r="39" spans="10:81" ht="16.2" thickBot="1" x14ac:dyDescent="0.4">
      <c r="U39" s="42">
        <v>1300</v>
      </c>
      <c r="V39">
        <f t="shared" si="38"/>
        <v>11079.833199999999</v>
      </c>
      <c r="AC39" s="21"/>
      <c r="AI39" s="6">
        <f t="shared" si="48"/>
        <v>4.0843918253406635</v>
      </c>
      <c r="AJ39" s="7">
        <f t="shared" si="49"/>
        <v>3.0603575182751842E-5</v>
      </c>
      <c r="AK39" s="6">
        <f t="shared" si="50"/>
        <v>-3.0529387705737658</v>
      </c>
      <c r="AL39" s="7">
        <f t="shared" si="51"/>
        <v>1.0313195491326152E-3</v>
      </c>
      <c r="AM39">
        <f t="shared" si="35"/>
        <v>-3.0676116524176127</v>
      </c>
      <c r="AN39">
        <f t="shared" si="36"/>
        <v>1.4672881843846852E-2</v>
      </c>
      <c r="AR39" s="22"/>
      <c r="AS39" s="117" t="s">
        <v>327</v>
      </c>
      <c r="AT39" s="16">
        <f>(0.002737)^2</f>
        <v>7.4911689999999989E-6</v>
      </c>
      <c r="AX39" s="20" t="s">
        <v>19</v>
      </c>
      <c r="AY39" s="37">
        <v>661.65700000000004</v>
      </c>
      <c r="AZ39" s="105">
        <f>BD12</f>
        <v>5.6229319353978697</v>
      </c>
      <c r="BA39" s="106">
        <f>BE12</f>
        <v>0.25684623930952394</v>
      </c>
      <c r="BB39" s="58">
        <f t="shared" si="43"/>
        <v>4.3196642843423332</v>
      </c>
      <c r="BC39" s="59">
        <f t="shared" si="44"/>
        <v>1.3032676510555365</v>
      </c>
      <c r="BD39" s="58">
        <f t="shared" si="45"/>
        <v>5.1948316674771453</v>
      </c>
      <c r="BE39" s="59">
        <f t="shared" si="46"/>
        <v>0.42810026792072442</v>
      </c>
      <c r="BF39" s="6" t="s">
        <v>256</v>
      </c>
      <c r="BG39" s="94">
        <v>-0.96501700000000001</v>
      </c>
      <c r="BH39" s="32">
        <v>1.7892600000000002E-2</v>
      </c>
    </row>
    <row r="40" spans="10:81" ht="16.2" thickBot="1" x14ac:dyDescent="0.4">
      <c r="J40" t="s">
        <v>95</v>
      </c>
      <c r="U40" s="42">
        <v>1400</v>
      </c>
      <c r="V40">
        <f t="shared" si="38"/>
        <v>11933.2462</v>
      </c>
      <c r="AC40" s="21"/>
      <c r="AQ40" s="116" t="s">
        <v>323</v>
      </c>
      <c r="AR40" s="16">
        <v>2.96</v>
      </c>
      <c r="AS40" s="117" t="s">
        <v>325</v>
      </c>
      <c r="AT40" s="27">
        <f>$AQ$37*(3)^2+$AQ$36*3+$AQ$35</f>
        <v>5.7850155E-2</v>
      </c>
      <c r="AX40" s="20" t="s">
        <v>29</v>
      </c>
      <c r="AY40" s="37">
        <v>778.90449999999998</v>
      </c>
      <c r="AZ40" s="105">
        <f t="shared" ref="AZ40:BA43" si="52">BD22</f>
        <v>4.5544399772108717</v>
      </c>
      <c r="BA40" s="106">
        <f t="shared" si="52"/>
        <v>0.27151306335292547</v>
      </c>
      <c r="BB40" s="58">
        <f t="shared" si="43"/>
        <v>3.9924313842633161</v>
      </c>
      <c r="BC40" s="59">
        <f t="shared" si="44"/>
        <v>0.56200859294755556</v>
      </c>
      <c r="BD40" s="58">
        <f t="shared" si="45"/>
        <v>4.438117222778315</v>
      </c>
      <c r="BE40" s="59">
        <f t="shared" si="46"/>
        <v>0.11632275443255669</v>
      </c>
      <c r="BI40" s="90"/>
      <c r="BJ40" s="71"/>
      <c r="BK40" s="112"/>
    </row>
    <row r="41" spans="10:81" ht="16.2" thickBot="1" x14ac:dyDescent="0.4"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U41" s="42">
        <v>1500</v>
      </c>
      <c r="V41">
        <f t="shared" si="38"/>
        <v>12786.6592</v>
      </c>
      <c r="AC41" s="21"/>
      <c r="AO41" s="15" t="s">
        <v>320</v>
      </c>
      <c r="AP41" s="87" t="s">
        <v>321</v>
      </c>
      <c r="AQ41" s="49" t="s">
        <v>319</v>
      </c>
      <c r="AR41" s="55" t="s">
        <v>57</v>
      </c>
      <c r="AS41" s="67" t="s">
        <v>322</v>
      </c>
      <c r="AT41" s="67" t="s">
        <v>57</v>
      </c>
      <c r="AU41" s="67" t="s">
        <v>324</v>
      </c>
      <c r="AV41" s="61" t="s">
        <v>326</v>
      </c>
      <c r="AW41" s="1"/>
      <c r="AX41" s="20" t="s">
        <v>29</v>
      </c>
      <c r="AY41" s="37">
        <v>964.05700000000002</v>
      </c>
      <c r="AZ41" s="105">
        <f t="shared" si="52"/>
        <v>3.6641954379229658</v>
      </c>
      <c r="BA41" s="106">
        <f t="shared" si="52"/>
        <v>0.21833087279928093</v>
      </c>
      <c r="BB41" s="58">
        <f t="shared" si="43"/>
        <v>3.6017538171202834</v>
      </c>
      <c r="BC41" s="59">
        <f t="shared" si="44"/>
        <v>6.244162080268234E-2</v>
      </c>
      <c r="BD41" s="58">
        <f t="shared" si="45"/>
        <v>3.6126038668488678</v>
      </c>
      <c r="BE41" s="59">
        <f t="shared" si="46"/>
        <v>5.1591571074097953E-2</v>
      </c>
      <c r="BI41" s="4"/>
      <c r="BJ41" s="45"/>
      <c r="BK41" s="30"/>
    </row>
    <row r="42" spans="10:81" x14ac:dyDescent="0.3">
      <c r="J42">
        <v>1</v>
      </c>
      <c r="K42" t="s">
        <v>14</v>
      </c>
      <c r="L42" s="1">
        <v>9988.59</v>
      </c>
      <c r="M42" s="1">
        <v>0.102496</v>
      </c>
      <c r="N42" s="1">
        <v>5.51291E-6</v>
      </c>
      <c r="O42" s="1">
        <v>0.21606600000000001</v>
      </c>
      <c r="U42" s="42">
        <v>1600</v>
      </c>
      <c r="V42">
        <f t="shared" si="38"/>
        <v>13640.072199999999</v>
      </c>
      <c r="AC42" s="21"/>
      <c r="AO42" s="23">
        <v>661.65700000000004</v>
      </c>
      <c r="AP42" s="20">
        <v>661.51157763005722</v>
      </c>
      <c r="AQ42" s="8">
        <f>(AP42)^($AD$34+0.5)</f>
        <v>8.0694567955585619E-2</v>
      </c>
      <c r="AR42" s="5">
        <f>SQRT((AJ5*($AD$34+0.5)*AP42^($AD$34-0.5))^2+($AE$34*($AD$34+0.5)*AP42^($AD$34-0.5))^2)</f>
        <v>2.1479101015060613E-7</v>
      </c>
      <c r="AS42" s="8">
        <f>2.35*(AQ42*AP42*$AR$40*0.000001)^(0.5)</f>
        <v>2.9539598825583702E-2</v>
      </c>
      <c r="AT42" s="8">
        <f>SQRT((AR42*2.35*((AQ42^(-0.5))/2)*SQRT($AR$40*AP42))^2+(AJ5*2.35*((AP42)^(-0.5))*SQRT($AR$40*AQ42))^2)</f>
        <v>2.0367688403746307E-4</v>
      </c>
      <c r="AU42" s="4">
        <f t="shared" ref="AU42:AU57" si="53">AS42^2</f>
        <v>8.7258789877642609E-4</v>
      </c>
      <c r="AV42" s="8">
        <f t="shared" ref="AV42:AV57" si="54">$AT$40-AU42</f>
        <v>5.6977567101223571E-2</v>
      </c>
      <c r="AW42" s="1"/>
      <c r="AX42" s="20" t="s">
        <v>29</v>
      </c>
      <c r="AY42" s="37">
        <v>1085.837</v>
      </c>
      <c r="AZ42" s="105">
        <f t="shared" si="52"/>
        <v>3.3075924825610543</v>
      </c>
      <c r="BA42" s="106">
        <f t="shared" si="52"/>
        <v>0.20369939845764351</v>
      </c>
      <c r="BB42" s="58">
        <f t="shared" si="43"/>
        <v>3.4006944971907189</v>
      </c>
      <c r="BC42" s="59">
        <f t="shared" si="44"/>
        <v>-9.3102014629664609E-2</v>
      </c>
      <c r="BD42" s="58">
        <f t="shared" si="45"/>
        <v>3.2208144628170277</v>
      </c>
      <c r="BE42" s="59">
        <f t="shared" si="46"/>
        <v>8.6778019744026658E-2</v>
      </c>
      <c r="BI42" s="21"/>
      <c r="BK42" s="22"/>
    </row>
    <row r="43" spans="10:81" x14ac:dyDescent="0.3">
      <c r="J43">
        <v>2</v>
      </c>
      <c r="K43" t="s">
        <v>3</v>
      </c>
      <c r="L43" s="1">
        <v>21.802399999999999</v>
      </c>
      <c r="M43" s="1">
        <v>0.22206100000000001</v>
      </c>
      <c r="N43" s="1">
        <v>3.3761099999999998E-5</v>
      </c>
      <c r="O43" s="1">
        <v>-8.9435100000000003E-2</v>
      </c>
      <c r="AC43" s="21"/>
      <c r="AO43" s="23">
        <v>1173.2280000000001</v>
      </c>
      <c r="AP43" s="20">
        <v>1165.5922513484095</v>
      </c>
      <c r="AQ43" s="20">
        <f t="shared" ref="AQ43:AQ57" si="55">(AP43)^($AD$34+0.5)</f>
        <v>6.4788587875513587E-2</v>
      </c>
      <c r="AR43" s="22">
        <f t="shared" ref="AR43:AR57" si="56">SQRT((AJ6*($AD$34+0.5)*AP43^($AD$34-0.5))^2+($AE$34*($AD$34+0.5)*AP43^($AD$34-0.5))^2)</f>
        <v>2.8105337244813199E-7</v>
      </c>
      <c r="AS43" s="20">
        <f>2.35*(AQ43*AP43*$AR$40*0.000001)^(0.5)</f>
        <v>3.5134704134215801E-2</v>
      </c>
      <c r="AT43" s="20">
        <f t="shared" ref="AT43:AT57" si="57">SQRT((AR43*2.35*((AQ43^(-0.5))/2)*SQRT($AR$40*AP43))^2+(AJ6*2.35*((AP43)^(-0.5))*SQRT($AR$40*AQ43))^2)</f>
        <v>3.9987883394335507E-4</v>
      </c>
      <c r="AU43" s="21">
        <f t="shared" si="53"/>
        <v>1.2344474345988808E-3</v>
      </c>
      <c r="AV43" s="20">
        <f t="shared" si="54"/>
        <v>5.6615707565401116E-2</v>
      </c>
      <c r="AX43" s="20" t="s">
        <v>29</v>
      </c>
      <c r="AY43" s="37">
        <v>1112.076</v>
      </c>
      <c r="AZ43" s="105">
        <f t="shared" si="52"/>
        <v>3.2785119423985885</v>
      </c>
      <c r="BA43" s="106">
        <f t="shared" si="52"/>
        <v>0.19741336860626654</v>
      </c>
      <c r="BB43" s="58">
        <f t="shared" si="43"/>
        <v>3.3617100686707126</v>
      </c>
      <c r="BC43" s="59">
        <f t="shared" si="44"/>
        <v>-8.3198126272124195E-2</v>
      </c>
      <c r="BD43" s="58">
        <f t="shared" si="45"/>
        <v>3.1474485783121993</v>
      </c>
      <c r="BE43" s="59">
        <f t="shared" si="46"/>
        <v>0.13106336408638919</v>
      </c>
      <c r="BI43" s="21"/>
      <c r="BJ43" s="1"/>
      <c r="BK43" s="59"/>
    </row>
    <row r="44" spans="10:81" ht="15" thickBot="1" x14ac:dyDescent="0.35">
      <c r="J44">
        <v>3</v>
      </c>
      <c r="K44" t="s">
        <v>15</v>
      </c>
      <c r="L44" s="1">
        <v>9693.7900000000009</v>
      </c>
      <c r="M44" s="1">
        <v>99.946200000000005</v>
      </c>
      <c r="N44" s="1">
        <v>2.7665799999999999E-4</v>
      </c>
      <c r="O44" s="1">
        <v>2.6212700000000002E-3</v>
      </c>
      <c r="AC44" s="21"/>
      <c r="AO44" s="23">
        <v>1332.492</v>
      </c>
      <c r="AP44" s="20">
        <v>1323.8766927618867</v>
      </c>
      <c r="AQ44" s="20">
        <f t="shared" si="55"/>
        <v>6.1668807479153161E-2</v>
      </c>
      <c r="AR44" s="22">
        <f t="shared" si="56"/>
        <v>2.5683138129682569E-7</v>
      </c>
      <c r="AS44" s="20">
        <f t="shared" ref="AS44:AS57" si="58">2.35*(AQ44*AP44*$AR$40*0.000001)^(0.5)</f>
        <v>3.6531731846928969E-2</v>
      </c>
      <c r="AT44" s="20">
        <f t="shared" si="57"/>
        <v>3.9927720543644923E-4</v>
      </c>
      <c r="AU44" s="21">
        <f t="shared" si="53"/>
        <v>1.3345674317359242E-3</v>
      </c>
      <c r="AV44" s="20">
        <f t="shared" si="54"/>
        <v>5.6515587568264074E-2</v>
      </c>
      <c r="AX44" s="20" t="s">
        <v>20</v>
      </c>
      <c r="AY44" s="37">
        <v>1173.2280000000001</v>
      </c>
      <c r="AZ44" s="105">
        <f>BD13</f>
        <v>2.6228976118147962</v>
      </c>
      <c r="BA44" s="106">
        <f>BE13</f>
        <v>0.13109990346308237</v>
      </c>
      <c r="BB44" s="58">
        <f t="shared" si="43"/>
        <v>3.2759278701439354</v>
      </c>
      <c r="BC44" s="59">
        <f t="shared" si="44"/>
        <v>-0.65303025832913919</v>
      </c>
      <c r="BD44" s="58">
        <f t="shared" si="45"/>
        <v>2.988986652031203</v>
      </c>
      <c r="BE44" s="59">
        <f t="shared" si="46"/>
        <v>-0.36608904021640676</v>
      </c>
      <c r="BI44" s="6"/>
      <c r="BJ44" s="96"/>
      <c r="BK44" s="47"/>
    </row>
    <row r="45" spans="10:81" x14ac:dyDescent="0.3">
      <c r="J45">
        <v>4</v>
      </c>
      <c r="K45" t="s">
        <v>16</v>
      </c>
      <c r="L45" s="1">
        <v>93.447299999999998</v>
      </c>
      <c r="M45" s="1">
        <v>4.0269199999999996</v>
      </c>
      <c r="N45" s="1">
        <v>1.5854899999999999E-3</v>
      </c>
      <c r="O45" s="1">
        <v>2.4677700000000002E-3</v>
      </c>
      <c r="AC45" s="21"/>
      <c r="AO45" s="21">
        <v>276.39890000000003</v>
      </c>
      <c r="AP45" s="20">
        <v>276.87951788875961</v>
      </c>
      <c r="AQ45" s="20">
        <f t="shared" si="55"/>
        <v>0.11309446305079703</v>
      </c>
      <c r="AR45" s="22">
        <f t="shared" si="56"/>
        <v>1.8216733748563717E-6</v>
      </c>
      <c r="AS45" s="20">
        <f t="shared" si="58"/>
        <v>2.262454241726878E-2</v>
      </c>
      <c r="AT45" s="20">
        <f t="shared" si="57"/>
        <v>9.5564238042148916E-4</v>
      </c>
      <c r="AU45" s="21">
        <f t="shared" si="53"/>
        <v>5.1186991959079422E-4</v>
      </c>
      <c r="AV45" s="20">
        <f t="shared" si="54"/>
        <v>5.7338285080409203E-2</v>
      </c>
      <c r="AX45" s="20" t="s">
        <v>20</v>
      </c>
      <c r="AY45" s="37">
        <v>1332.492</v>
      </c>
      <c r="AZ45" s="105">
        <f>BD14</f>
        <v>2.3362005318093049</v>
      </c>
      <c r="BA45" s="106">
        <f>BE14</f>
        <v>0.1219846178046415</v>
      </c>
      <c r="BB45" s="58">
        <f t="shared" si="43"/>
        <v>3.0806316782216614</v>
      </c>
      <c r="BC45" s="59">
        <f t="shared" si="44"/>
        <v>-0.74443114641235653</v>
      </c>
      <c r="BD45" s="58">
        <f t="shared" si="45"/>
        <v>2.6434781279144519</v>
      </c>
      <c r="BE45" s="59">
        <f t="shared" si="46"/>
        <v>-0.30727759610514704</v>
      </c>
    </row>
    <row r="46" spans="10:81" ht="15" thickBot="1" x14ac:dyDescent="0.35">
      <c r="J46">
        <v>5</v>
      </c>
      <c r="K46" t="s">
        <v>17</v>
      </c>
      <c r="L46" s="1">
        <v>-8.85472E-3</v>
      </c>
      <c r="M46" s="1">
        <v>3.9967799999999999E-4</v>
      </c>
      <c r="N46" s="1">
        <v>1.5737000000000001E-7</v>
      </c>
      <c r="O46" s="1">
        <v>24.8489</v>
      </c>
      <c r="AC46" s="21"/>
      <c r="AO46" s="21">
        <v>302.85079999999999</v>
      </c>
      <c r="AP46" s="20">
        <v>303.33798524278404</v>
      </c>
      <c r="AQ46" s="20">
        <f t="shared" si="55"/>
        <v>0.10916404780580896</v>
      </c>
      <c r="AR46" s="22">
        <f t="shared" si="56"/>
        <v>1.0379977683643811E-6</v>
      </c>
      <c r="AS46" s="20">
        <f t="shared" si="58"/>
        <v>2.3265743309052199E-2</v>
      </c>
      <c r="AT46" s="20">
        <f t="shared" si="57"/>
        <v>5.7831693242346564E-4</v>
      </c>
      <c r="AU46" s="21">
        <f t="shared" si="53"/>
        <v>5.4129481172270717E-4</v>
      </c>
      <c r="AV46" s="20">
        <f t="shared" si="54"/>
        <v>5.7308860188277293E-2</v>
      </c>
      <c r="AX46" s="9" t="s">
        <v>29</v>
      </c>
      <c r="AY46" s="38">
        <v>1408.0129999999999</v>
      </c>
      <c r="AZ46" s="107">
        <f>BD26</f>
        <v>2.5040539540824569</v>
      </c>
      <c r="BA46" s="108">
        <f>BE26</f>
        <v>0.14897229914706556</v>
      </c>
      <c r="BB46" s="60">
        <f t="shared" si="43"/>
        <v>2.9997059577927918</v>
      </c>
      <c r="BC46" s="47">
        <f t="shared" si="44"/>
        <v>-0.49565200371033491</v>
      </c>
      <c r="BD46" s="60">
        <f t="shared" si="45"/>
        <v>2.5065203330282011</v>
      </c>
      <c r="BE46" s="47">
        <f t="shared" si="46"/>
        <v>-2.4663789457441965E-3</v>
      </c>
    </row>
    <row r="47" spans="10:81" x14ac:dyDescent="0.3">
      <c r="J47" t="s">
        <v>96</v>
      </c>
      <c r="AC47" s="21"/>
      <c r="AO47" s="21">
        <v>356.0129</v>
      </c>
      <c r="AP47" s="20">
        <v>356.53028486793619</v>
      </c>
      <c r="AQ47" s="20">
        <f t="shared" si="55"/>
        <v>0.10253779832611833</v>
      </c>
      <c r="AR47" s="22">
        <f t="shared" si="56"/>
        <v>5.4217629403564013E-7</v>
      </c>
      <c r="AS47" s="20">
        <f t="shared" si="58"/>
        <v>2.4445781459875266E-2</v>
      </c>
      <c r="AT47" s="20">
        <f t="shared" si="57"/>
        <v>3.3545835403123088E-4</v>
      </c>
      <c r="AU47" s="21">
        <f t="shared" si="53"/>
        <v>5.9759623118398129E-4</v>
      </c>
      <c r="AV47" s="20">
        <f t="shared" si="54"/>
        <v>5.725255876881602E-2</v>
      </c>
    </row>
    <row r="48" spans="10:81" x14ac:dyDescent="0.3"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13</v>
      </c>
      <c r="AC48" s="21"/>
      <c r="AO48" s="21">
        <v>383.8485</v>
      </c>
      <c r="AP48" s="20">
        <v>384.35503091703549</v>
      </c>
      <c r="AQ48" s="20">
        <f t="shared" si="55"/>
        <v>9.9594463811923883E-2</v>
      </c>
      <c r="AR48" s="22">
        <f t="shared" si="56"/>
        <v>1.2492360252375709E-6</v>
      </c>
      <c r="AS48" s="20">
        <f t="shared" si="58"/>
        <v>2.5014832646947305E-2</v>
      </c>
      <c r="AT48" s="20">
        <f t="shared" si="57"/>
        <v>8.2306339248287104E-4</v>
      </c>
      <c r="AU48" s="21">
        <f t="shared" si="53"/>
        <v>6.2574185235478069E-4</v>
      </c>
      <c r="AV48" s="20">
        <f t="shared" si="54"/>
        <v>5.7224413147645217E-2</v>
      </c>
    </row>
    <row r="49" spans="2:84" x14ac:dyDescent="0.3">
      <c r="J49">
        <v>1</v>
      </c>
      <c r="K49" t="s">
        <v>14</v>
      </c>
      <c r="L49" s="1">
        <v>11346.9</v>
      </c>
      <c r="M49" s="1">
        <v>0.111093</v>
      </c>
      <c r="N49" s="1">
        <v>4.1855099999999998E-6</v>
      </c>
      <c r="O49" s="1">
        <v>0.33923700000000001</v>
      </c>
      <c r="AC49" s="21"/>
      <c r="AO49" s="21">
        <v>121.7817</v>
      </c>
      <c r="AP49" s="20">
        <v>122.09982739892645</v>
      </c>
      <c r="AQ49" s="20">
        <f t="shared" si="55"/>
        <v>0.15532875027326654</v>
      </c>
      <c r="AR49" s="22">
        <f t="shared" si="56"/>
        <v>1.5561040409683817E-6</v>
      </c>
      <c r="AS49" s="20">
        <f t="shared" si="58"/>
        <v>1.7607478503423875E-2</v>
      </c>
      <c r="AT49" s="20">
        <f t="shared" si="57"/>
        <v>4.4967363456909019E-4</v>
      </c>
      <c r="AU49" s="21">
        <f t="shared" si="53"/>
        <v>3.1002329924853387E-4</v>
      </c>
      <c r="AV49" s="20">
        <f t="shared" si="54"/>
        <v>5.7540131700751465E-2</v>
      </c>
      <c r="AX49" s="1"/>
      <c r="AY49" s="1"/>
    </row>
    <row r="50" spans="2:84" x14ac:dyDescent="0.3">
      <c r="J50">
        <v>2</v>
      </c>
      <c r="K50" t="s">
        <v>3</v>
      </c>
      <c r="L50" s="1">
        <v>22.907599999999999</v>
      </c>
      <c r="M50" s="1">
        <v>0.24510999999999999</v>
      </c>
      <c r="N50" s="1">
        <v>2.6941299999999999E-5</v>
      </c>
      <c r="O50" s="1">
        <v>2.8821099999999999E-2</v>
      </c>
      <c r="AC50" s="21"/>
      <c r="AO50" s="21">
        <v>244.69739999999999</v>
      </c>
      <c r="AP50" s="20">
        <v>245.06022289325338</v>
      </c>
      <c r="AQ50" s="20">
        <f t="shared" si="55"/>
        <v>0.11857401660985074</v>
      </c>
      <c r="AR50" s="22">
        <f t="shared" si="56"/>
        <v>1.5480789480358519E-6</v>
      </c>
      <c r="AS50" s="20">
        <f t="shared" si="58"/>
        <v>2.1794398909588078E-2</v>
      </c>
      <c r="AT50" s="20">
        <f t="shared" si="57"/>
        <v>7.4459065270071254E-4</v>
      </c>
      <c r="AU50" s="21">
        <f t="shared" si="53"/>
        <v>4.7499582383025399E-4</v>
      </c>
      <c r="AV50" s="20">
        <f t="shared" si="54"/>
        <v>5.7375159176169747E-2</v>
      </c>
      <c r="AX50" s="1"/>
      <c r="AY50" s="1"/>
    </row>
    <row r="51" spans="2:84" x14ac:dyDescent="0.3">
      <c r="J51">
        <v>3</v>
      </c>
      <c r="K51" t="s">
        <v>15</v>
      </c>
      <c r="L51" s="1">
        <v>8710.68</v>
      </c>
      <c r="M51" s="1">
        <v>93.920599999999993</v>
      </c>
      <c r="N51" s="1">
        <v>3.5553599999999999E-4</v>
      </c>
      <c r="O51" s="1">
        <v>-2.7855900000000001E-3</v>
      </c>
      <c r="AC51" s="21"/>
      <c r="AO51" s="23">
        <v>344.27850000000001</v>
      </c>
      <c r="AP51" s="20">
        <v>344.65561222995206</v>
      </c>
      <c r="AQ51" s="20">
        <f t="shared" si="55"/>
        <v>0.10389282560160629</v>
      </c>
      <c r="AR51" s="22">
        <f t="shared" si="56"/>
        <v>6.5796663665575468E-7</v>
      </c>
      <c r="AS51" s="20">
        <f t="shared" si="58"/>
        <v>2.4193526363158385E-2</v>
      </c>
      <c r="AT51" s="20">
        <f t="shared" si="57"/>
        <v>3.989332716944938E-4</v>
      </c>
      <c r="AU51" s="21">
        <f t="shared" si="53"/>
        <v>5.8532671788483984E-4</v>
      </c>
      <c r="AV51" s="20">
        <f t="shared" si="54"/>
        <v>5.7264828282115161E-2</v>
      </c>
    </row>
    <row r="52" spans="2:84" x14ac:dyDescent="0.3">
      <c r="J52">
        <v>4</v>
      </c>
      <c r="K52" t="s">
        <v>16</v>
      </c>
      <c r="L52" s="1">
        <v>9.0560600000000004</v>
      </c>
      <c r="M52" s="1">
        <v>3.1620499999999998</v>
      </c>
      <c r="N52" s="1">
        <v>9.4820199999999999E-4</v>
      </c>
      <c r="O52" s="1">
        <v>1.33008E-5</v>
      </c>
      <c r="AC52" s="21"/>
      <c r="AO52" s="23">
        <v>778.90449999999998</v>
      </c>
      <c r="AP52" s="20">
        <v>779.3185479949334</v>
      </c>
      <c r="AQ52" s="20">
        <f t="shared" si="55"/>
        <v>7.5728265986089838E-2</v>
      </c>
      <c r="AR52" s="22">
        <f t="shared" si="56"/>
        <v>6.5163376177147994E-7</v>
      </c>
      <c r="AS52" s="20">
        <f t="shared" si="58"/>
        <v>3.1059912677680365E-2</v>
      </c>
      <c r="AT52" s="20">
        <f t="shared" si="57"/>
        <v>7.0173458183634644E-4</v>
      </c>
      <c r="AU52" s="21">
        <f t="shared" si="53"/>
        <v>9.6471817554512947E-4</v>
      </c>
      <c r="AV52" s="20">
        <f t="shared" si="54"/>
        <v>5.688543682445487E-2</v>
      </c>
    </row>
    <row r="53" spans="2:84" x14ac:dyDescent="0.3">
      <c r="J53">
        <v>5</v>
      </c>
      <c r="K53" t="s">
        <v>17</v>
      </c>
      <c r="L53" s="1">
        <v>-6.4794799999999997E-4</v>
      </c>
      <c r="M53" s="1">
        <v>2.8001099999999999E-4</v>
      </c>
      <c r="N53" s="1">
        <v>8.3964100000000002E-8</v>
      </c>
      <c r="O53" s="1">
        <v>0.14635699999999999</v>
      </c>
      <c r="AC53" s="21"/>
      <c r="AO53" s="23">
        <v>964.05700000000002</v>
      </c>
      <c r="AP53" s="20">
        <v>964.32041696107285</v>
      </c>
      <c r="AQ53" s="20">
        <f t="shared" si="55"/>
        <v>6.9727697868783189E-2</v>
      </c>
      <c r="AR53" s="22">
        <f t="shared" si="56"/>
        <v>5.4081826613553708E-7</v>
      </c>
      <c r="AS53" s="20">
        <f t="shared" si="58"/>
        <v>3.3153322795682894E-2</v>
      </c>
      <c r="AT53" s="20">
        <f t="shared" si="57"/>
        <v>6.7528040415002454E-4</v>
      </c>
      <c r="AU53" s="21">
        <f t="shared" si="53"/>
        <v>1.099142812394747E-3</v>
      </c>
      <c r="AV53" s="20">
        <f t="shared" si="54"/>
        <v>5.6751012187605254E-2</v>
      </c>
      <c r="BJ53" s="1"/>
      <c r="BK53" s="1"/>
      <c r="BL53" s="1"/>
      <c r="BM53" s="1"/>
    </row>
    <row r="54" spans="2:84" x14ac:dyDescent="0.3">
      <c r="B54" s="2"/>
      <c r="J54" t="s">
        <v>97</v>
      </c>
      <c r="AC54" s="21"/>
      <c r="AO54" s="23">
        <v>1085.837</v>
      </c>
      <c r="AP54" s="20">
        <v>1086.1781810213811</v>
      </c>
      <c r="AQ54" s="20">
        <f t="shared" si="55"/>
        <v>6.6584910535143982E-2</v>
      </c>
      <c r="AR54" s="22">
        <f t="shared" si="56"/>
        <v>6.848621771480762E-7</v>
      </c>
      <c r="AS54" s="20">
        <f t="shared" si="58"/>
        <v>3.4383664880691577E-2</v>
      </c>
      <c r="AT54" s="20">
        <f t="shared" si="57"/>
        <v>9.2913836073801794E-4</v>
      </c>
      <c r="AU54" s="21">
        <f t="shared" si="53"/>
        <v>1.1822364106277032E-3</v>
      </c>
      <c r="AV54" s="20">
        <f t="shared" si="54"/>
        <v>5.6667918589372299E-2</v>
      </c>
      <c r="BI54" s="1"/>
      <c r="BJ54" s="1"/>
      <c r="BK54" s="1"/>
      <c r="BL54" s="1"/>
      <c r="BM54" s="1"/>
    </row>
    <row r="55" spans="2:84" ht="15" thickBot="1" x14ac:dyDescent="0.35">
      <c r="B55" s="2"/>
      <c r="J55" s="42">
        <v>9992.94</v>
      </c>
      <c r="K55" s="42">
        <v>0.327513</v>
      </c>
      <c r="O55" s="42">
        <v>9988.59</v>
      </c>
      <c r="P55" s="42">
        <v>0.102496</v>
      </c>
      <c r="Q55" s="42">
        <v>9932.7800000000007</v>
      </c>
      <c r="R55" s="42">
        <v>8.6461999999999997E-2</v>
      </c>
      <c r="AC55" s="21"/>
      <c r="AO55" s="23">
        <v>1112.076</v>
      </c>
      <c r="AP55" s="20">
        <v>1112.4257305665603</v>
      </c>
      <c r="AQ55" s="20">
        <f t="shared" si="55"/>
        <v>6.5971557696821684E-2</v>
      </c>
      <c r="AR55" s="22">
        <f t="shared" si="56"/>
        <v>5.3241636594590789E-7</v>
      </c>
      <c r="AS55" s="20">
        <f t="shared" si="58"/>
        <v>3.4635989547225722E-2</v>
      </c>
      <c r="AT55" s="20">
        <f t="shared" si="57"/>
        <v>7.3424089770610307E-4</v>
      </c>
      <c r="AU55" s="21">
        <f t="shared" si="53"/>
        <v>1.1996517719155295E-3</v>
      </c>
      <c r="AV55" s="20">
        <f t="shared" si="54"/>
        <v>5.6650503228084473E-2</v>
      </c>
      <c r="BI55" s="1"/>
      <c r="BJ55" s="1"/>
      <c r="BK55" s="1"/>
      <c r="BL55" s="1"/>
    </row>
    <row r="56" spans="2:84" ht="15" thickBot="1" x14ac:dyDescent="0.35">
      <c r="B56" s="2"/>
      <c r="J56" s="42">
        <v>11350.3</v>
      </c>
      <c r="K56" s="42">
        <v>0.37146200000000001</v>
      </c>
      <c r="O56" s="42">
        <v>11346.9</v>
      </c>
      <c r="P56" s="42">
        <v>0.111093</v>
      </c>
      <c r="Q56" s="42">
        <v>11283.6</v>
      </c>
      <c r="R56" s="42">
        <v>9.8456500000000002E-2</v>
      </c>
      <c r="AC56" s="21"/>
      <c r="AO56" s="23">
        <v>1408.0129999999999</v>
      </c>
      <c r="AP56" s="20">
        <v>1408.5250400450896</v>
      </c>
      <c r="AQ56" s="20">
        <f t="shared" si="55"/>
        <v>6.0205104535671745E-2</v>
      </c>
      <c r="AR56" s="22">
        <f t="shared" si="56"/>
        <v>3.8513355078399212E-7</v>
      </c>
      <c r="AS56" s="20">
        <f t="shared" si="58"/>
        <v>3.7231682397235698E-2</v>
      </c>
      <c r="AT56" s="20">
        <f t="shared" si="57"/>
        <v>6.256172872228723E-4</v>
      </c>
      <c r="AU56" s="21">
        <f t="shared" si="53"/>
        <v>1.3861981741286305E-3</v>
      </c>
      <c r="AV56" s="20">
        <f t="shared" si="54"/>
        <v>5.6463956825871367E-2</v>
      </c>
      <c r="BN56" s="87" t="s">
        <v>230</v>
      </c>
      <c r="BT56" s="87" t="s">
        <v>244</v>
      </c>
      <c r="BU56" s="87" t="s">
        <v>57</v>
      </c>
      <c r="BV56" s="87" t="s">
        <v>245</v>
      </c>
      <c r="BW56" s="114" t="s">
        <v>242</v>
      </c>
      <c r="BX56" s="15">
        <v>0</v>
      </c>
      <c r="BY56" s="16">
        <v>0.05</v>
      </c>
    </row>
    <row r="57" spans="2:84" ht="15" thickBot="1" x14ac:dyDescent="0.35">
      <c r="B57" s="2"/>
      <c r="AC57" s="21"/>
      <c r="AO57" s="24">
        <v>59.540900000000001</v>
      </c>
      <c r="AP57" s="9">
        <v>59.405797661858912</v>
      </c>
      <c r="AQ57" s="9">
        <f t="shared" si="55"/>
        <v>0.20536061662964175</v>
      </c>
      <c r="AR57" s="7">
        <f t="shared" si="56"/>
        <v>2.6515173607248567E-6</v>
      </c>
      <c r="AS57" s="9">
        <f t="shared" si="58"/>
        <v>1.4121691296829612E-2</v>
      </c>
      <c r="AT57" s="9">
        <f t="shared" si="57"/>
        <v>4.4168524740304259E-4</v>
      </c>
      <c r="AU57" s="6">
        <f t="shared" si="53"/>
        <v>1.9942216508295321E-4</v>
      </c>
      <c r="AV57" s="9">
        <f t="shared" si="54"/>
        <v>5.7650732834917048E-2</v>
      </c>
      <c r="BN57" s="118" t="s">
        <v>231</v>
      </c>
      <c r="BS57" s="87" t="s">
        <v>249</v>
      </c>
      <c r="BT57" s="27">
        <f>2*PI()*(1-(BX56/SQRT(BX56^2+BX57^2)))</f>
        <v>6.2831853071795862</v>
      </c>
      <c r="BU57" s="27">
        <f>SQRT((BY56*((-2*PI()/(SQRT(BX56^2+BX57^2)))+(2*PI()*BX56^2/(BX56^2+BX57^2)^(3/2))))^2+(BY57*2*BX56*BX57*PI()/(BX56^2+BX57^2)^(3/2))^2)</f>
        <v>8.9759790102565518E-2</v>
      </c>
      <c r="BV57" s="27">
        <v>120</v>
      </c>
      <c r="BW57" s="114" t="s">
        <v>243</v>
      </c>
      <c r="BX57" s="15">
        <f>7/2</f>
        <v>3.5</v>
      </c>
      <c r="BY57" s="16">
        <v>0.05</v>
      </c>
    </row>
    <row r="58" spans="2:84" ht="15" thickBot="1" x14ac:dyDescent="0.35">
      <c r="B58" s="2"/>
      <c r="J58" t="s">
        <v>99</v>
      </c>
      <c r="AC58" s="21"/>
      <c r="AR58" s="22"/>
      <c r="BN58" s="87" t="s">
        <v>232</v>
      </c>
      <c r="BO58" s="87" t="s">
        <v>233</v>
      </c>
      <c r="BP58" s="87" t="s">
        <v>234</v>
      </c>
      <c r="BQ58" s="87" t="s">
        <v>57</v>
      </c>
      <c r="BR58" s="87" t="s">
        <v>235</v>
      </c>
      <c r="BS58" s="87" t="s">
        <v>246</v>
      </c>
      <c r="BT58" s="87" t="s">
        <v>57</v>
      </c>
      <c r="BU58" s="87" t="s">
        <v>247</v>
      </c>
      <c r="BV58" s="87" t="s">
        <v>57</v>
      </c>
      <c r="BW58" s="87" t="s">
        <v>248</v>
      </c>
      <c r="BX58" s="119" t="s">
        <v>57</v>
      </c>
    </row>
    <row r="59" spans="2:84" ht="15" thickBot="1" x14ac:dyDescent="0.35">
      <c r="B59" s="2"/>
      <c r="C59" s="3"/>
      <c r="I59" t="s">
        <v>100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  <c r="O59" t="s">
        <v>13</v>
      </c>
      <c r="AC59" s="21"/>
      <c r="AR59" s="22"/>
      <c r="BN59" s="20" t="s">
        <v>133</v>
      </c>
      <c r="BO59" s="20" t="s">
        <v>236</v>
      </c>
      <c r="BP59" s="20">
        <v>6240</v>
      </c>
      <c r="BQ59" s="20">
        <v>120</v>
      </c>
      <c r="BR59" s="20">
        <v>41599</v>
      </c>
      <c r="BS59" s="20">
        <v>4.9890410999999997</v>
      </c>
      <c r="BT59" s="20">
        <v>1.3698600000000001E-3</v>
      </c>
      <c r="BU59" s="20">
        <v>5.2747000000000002</v>
      </c>
      <c r="BV59" s="20">
        <v>4.0000000000000002E-4</v>
      </c>
      <c r="BW59" s="20">
        <f>BP59*EXP(-BS59*LN(2)/BU59)</f>
        <v>3239.3457350400886</v>
      </c>
      <c r="BX59" s="20">
        <f>SQRT((BQ59*EXP(-BS59*LN(2)/BU59))^2+(BV59*(BP59*BS59*LN(2)/(BU59)^2)*EXP(-BS59*LN(2)/BU59))^2+(BT59*(-BP59*LN(2)/BU59)*EXP(-BS59*LN(2)/BU59))^2)</f>
        <v>62.298047621866992</v>
      </c>
    </row>
    <row r="60" spans="2:84" ht="15" thickBot="1" x14ac:dyDescent="0.35">
      <c r="B60" s="2"/>
      <c r="J60">
        <v>1</v>
      </c>
      <c r="K60" t="s">
        <v>14</v>
      </c>
      <c r="L60" s="1">
        <v>9932.7800000000007</v>
      </c>
      <c r="M60" s="1">
        <v>8.6461999999999997E-2</v>
      </c>
      <c r="N60" s="1">
        <v>6.4804800000000006E-8</v>
      </c>
      <c r="O60" s="1">
        <v>1.77848E-3</v>
      </c>
      <c r="AC60" s="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7"/>
      <c r="AZ60" s="66" t="s">
        <v>328</v>
      </c>
      <c r="BN60" s="20" t="s">
        <v>59</v>
      </c>
      <c r="BO60" s="20" t="s">
        <v>237</v>
      </c>
      <c r="BP60" s="20">
        <v>45600</v>
      </c>
      <c r="BQ60" s="20">
        <v>2190</v>
      </c>
      <c r="BR60" s="20">
        <v>41599</v>
      </c>
      <c r="BS60" s="20">
        <v>4.9890410999999997</v>
      </c>
      <c r="BT60" s="20">
        <v>1.3698600000000001E-3</v>
      </c>
      <c r="BU60" s="20">
        <v>10.551</v>
      </c>
      <c r="BV60" s="20">
        <v>1.0999999999999999E-2</v>
      </c>
      <c r="BW60" s="20">
        <f t="shared" ref="BW60:BW63" si="59">BP60*EXP(-BS60*LN(2)/BU60)</f>
        <v>32856.612647464179</v>
      </c>
      <c r="BX60" s="20">
        <f t="shared" ref="BX60:BX63" si="60">SQRT((BQ60*EXP(-BS60*LN(2)/BU60))^2+(BV60*(BP60*BS60*LN(2)/(BU60)^2)*EXP(-BS60*LN(2)/BU60))^2+(BT60*(-BP60*LN(2)/BU60)*EXP(-BS60*LN(2)/BU60))^2)</f>
        <v>1578.0247646500334</v>
      </c>
    </row>
    <row r="61" spans="2:84" ht="15" thickBot="1" x14ac:dyDescent="0.35">
      <c r="B61" s="2"/>
      <c r="J61">
        <v>2</v>
      </c>
      <c r="K61" t="s">
        <v>3</v>
      </c>
      <c r="L61" s="1">
        <v>28.5947</v>
      </c>
      <c r="M61" s="1">
        <v>0.20355100000000001</v>
      </c>
      <c r="N61" s="1">
        <v>-1.25189E-6</v>
      </c>
      <c r="O61" s="1">
        <v>-8.5007099999999999E-4</v>
      </c>
      <c r="AO61" s="24">
        <v>59.540900000000001</v>
      </c>
      <c r="AP61" s="9">
        <v>0.20536061662964175</v>
      </c>
      <c r="AQ61" s="7">
        <v>2.6515173607248567E-6</v>
      </c>
      <c r="AS61" s="25" t="s">
        <v>332</v>
      </c>
      <c r="AZ61" s="25" t="s">
        <v>70</v>
      </c>
      <c r="BN61" s="20" t="s">
        <v>132</v>
      </c>
      <c r="BO61" s="20" t="s">
        <v>238</v>
      </c>
      <c r="BP61" s="20">
        <v>191000</v>
      </c>
      <c r="BQ61" s="20">
        <v>7080</v>
      </c>
      <c r="BR61" s="20">
        <v>41599</v>
      </c>
      <c r="BS61" s="20">
        <v>4.9890410999999997</v>
      </c>
      <c r="BT61" s="20">
        <v>1.3698600000000001E-3</v>
      </c>
      <c r="BU61" s="20">
        <v>30.08</v>
      </c>
      <c r="BV61" s="20">
        <v>0.09</v>
      </c>
      <c r="BW61" s="20">
        <f t="shared" si="59"/>
        <v>170256.93441573167</v>
      </c>
      <c r="BX61" s="20">
        <f t="shared" si="60"/>
        <v>6311.3687516620894</v>
      </c>
      <c r="CC61" s="1"/>
      <c r="CD61" s="1"/>
      <c r="CE61" s="1"/>
      <c r="CF61" s="1"/>
    </row>
    <row r="62" spans="2:84" x14ac:dyDescent="0.3">
      <c r="B62" s="2"/>
      <c r="J62">
        <v>3</v>
      </c>
      <c r="K62" t="s">
        <v>15</v>
      </c>
      <c r="L62" s="1">
        <v>22348.9</v>
      </c>
      <c r="M62" s="1">
        <v>153.51900000000001</v>
      </c>
      <c r="N62" s="1">
        <v>-1.36933E-5</v>
      </c>
      <c r="O62" s="1">
        <v>-1.96245E-4</v>
      </c>
      <c r="AO62" s="21">
        <v>121.7817</v>
      </c>
      <c r="AP62" s="20">
        <v>0.15532875027326654</v>
      </c>
      <c r="AQ62" s="22">
        <v>1.5561040409683817E-6</v>
      </c>
      <c r="AS62" t="s">
        <v>8</v>
      </c>
      <c r="AT62" t="s">
        <v>9</v>
      </c>
      <c r="AU62" t="s">
        <v>10</v>
      </c>
      <c r="AV62" t="s">
        <v>11</v>
      </c>
      <c r="AW62" t="s">
        <v>12</v>
      </c>
      <c r="AX62" t="s">
        <v>13</v>
      </c>
      <c r="AZ62" t="s">
        <v>8</v>
      </c>
      <c r="BA62" t="s">
        <v>9</v>
      </c>
      <c r="BB62" t="s">
        <v>10</v>
      </c>
      <c r="BC62" t="s">
        <v>11</v>
      </c>
      <c r="BD62" t="s">
        <v>12</v>
      </c>
      <c r="BE62" t="s">
        <v>13</v>
      </c>
      <c r="BN62" s="20" t="s">
        <v>239</v>
      </c>
      <c r="BO62" s="20" t="s">
        <v>240</v>
      </c>
      <c r="BP62" s="20">
        <v>83200</v>
      </c>
      <c r="BQ62" s="20">
        <v>4160</v>
      </c>
      <c r="BR62" s="20">
        <v>41599</v>
      </c>
      <c r="BS62" s="20">
        <v>4.9890410999999997</v>
      </c>
      <c r="BT62" s="20">
        <v>1.3698600000000001E-3</v>
      </c>
      <c r="BU62" s="20">
        <v>13.516999999999999</v>
      </c>
      <c r="BV62" s="20">
        <v>1.4E-2</v>
      </c>
      <c r="BW62" s="20">
        <f t="shared" si="59"/>
        <v>64419.153949293745</v>
      </c>
      <c r="BX62" s="20">
        <f t="shared" si="60"/>
        <v>3221.006106728079</v>
      </c>
      <c r="CC62" s="1"/>
      <c r="CD62" s="1"/>
      <c r="CE62" s="1"/>
      <c r="CF62" s="1"/>
    </row>
    <row r="63" spans="2:84" ht="15" thickBot="1" x14ac:dyDescent="0.35">
      <c r="B63" s="2"/>
      <c r="J63">
        <v>4</v>
      </c>
      <c r="K63" t="s">
        <v>16</v>
      </c>
      <c r="L63" s="1">
        <v>320.94299999999998</v>
      </c>
      <c r="M63" s="1">
        <v>9.05349</v>
      </c>
      <c r="N63" s="1">
        <v>8.9624599999999999E-2</v>
      </c>
      <c r="O63" s="1">
        <v>9.7961300000000003E-8</v>
      </c>
      <c r="AO63" s="21">
        <v>244.69739999999999</v>
      </c>
      <c r="AP63" s="20">
        <v>0.11857401660985074</v>
      </c>
      <c r="AQ63" s="22">
        <v>1.5480789480358519E-6</v>
      </c>
      <c r="AS63">
        <v>1</v>
      </c>
      <c r="AT63" t="s">
        <v>14</v>
      </c>
      <c r="AU63" s="1">
        <v>1027.06</v>
      </c>
      <c r="AV63" s="1">
        <v>2.3732E-2</v>
      </c>
      <c r="AW63" s="1">
        <v>1.05529E-5</v>
      </c>
      <c r="AX63" s="1">
        <v>1.2573700000000001</v>
      </c>
      <c r="AZ63">
        <v>1</v>
      </c>
      <c r="BA63" t="s">
        <v>14</v>
      </c>
      <c r="BB63" s="1">
        <v>453.22500000000002</v>
      </c>
      <c r="BC63" s="1">
        <v>5.1662000000000001E-3</v>
      </c>
      <c r="BD63" s="1">
        <v>6.0272399999999999E-6</v>
      </c>
      <c r="BE63" s="1">
        <v>0.198407</v>
      </c>
      <c r="BN63" s="9" t="s">
        <v>131</v>
      </c>
      <c r="BO63" s="9" t="s">
        <v>241</v>
      </c>
      <c r="BP63" s="9">
        <v>415000</v>
      </c>
      <c r="BQ63" s="9">
        <v>20700</v>
      </c>
      <c r="BR63" s="9">
        <v>41599</v>
      </c>
      <c r="BS63" s="9">
        <v>4.9890410999999997</v>
      </c>
      <c r="BT63" s="9">
        <v>1.3698600000000001E-3</v>
      </c>
      <c r="BU63" s="9">
        <v>432.6</v>
      </c>
      <c r="BV63" s="9">
        <v>0.6</v>
      </c>
      <c r="BW63" s="9">
        <f t="shared" si="59"/>
        <v>411695.77632912609</v>
      </c>
      <c r="BX63" s="9">
        <f t="shared" si="60"/>
        <v>20535.187442876464</v>
      </c>
    </row>
    <row r="64" spans="2:84" ht="15" thickBot="1" x14ac:dyDescent="0.35">
      <c r="B64" s="2"/>
      <c r="J64">
        <v>5</v>
      </c>
      <c r="K64" t="s">
        <v>17</v>
      </c>
      <c r="L64" s="1">
        <v>-3.0821100000000001E-2</v>
      </c>
      <c r="M64" s="1">
        <v>8.9868000000000001E-4</v>
      </c>
      <c r="N64" s="1">
        <v>-8.8970499999999998E-6</v>
      </c>
      <c r="O64" s="1">
        <v>1.4888499999999999E-4</v>
      </c>
      <c r="AO64" s="21">
        <v>276.39890000000003</v>
      </c>
      <c r="AP64" s="20">
        <v>0.11309446305079703</v>
      </c>
      <c r="AQ64" s="22">
        <v>1.8216733748563717E-6</v>
      </c>
      <c r="AS64">
        <v>2</v>
      </c>
      <c r="AT64" t="s">
        <v>3</v>
      </c>
      <c r="AU64" s="1">
        <v>21.079899999999999</v>
      </c>
      <c r="AV64" s="1">
        <v>7.2602100000000003E-2</v>
      </c>
      <c r="AW64" s="1">
        <v>7.3754899999999994E-5</v>
      </c>
      <c r="AX64" s="1">
        <v>0.12341299999999999</v>
      </c>
      <c r="AZ64">
        <v>2</v>
      </c>
      <c r="BA64" t="s">
        <v>3</v>
      </c>
      <c r="BB64" s="1">
        <v>9.2841000000000005</v>
      </c>
      <c r="BC64" s="1">
        <v>1.09307E-2</v>
      </c>
      <c r="BD64" s="1">
        <v>1.5850099999999999E-5</v>
      </c>
      <c r="BE64" s="1">
        <v>3.7468500000000002E-2</v>
      </c>
      <c r="CC64" s="1"/>
      <c r="CD64" s="1"/>
      <c r="CE64" s="1"/>
      <c r="CF64" s="1"/>
    </row>
    <row r="65" spans="2:84" ht="15" thickBot="1" x14ac:dyDescent="0.35">
      <c r="B65" s="2"/>
      <c r="AO65" s="21">
        <v>302.85079999999999</v>
      </c>
      <c r="AP65" s="20">
        <v>0.10916404780580896</v>
      </c>
      <c r="AQ65" s="22">
        <v>1.0379977683643811E-6</v>
      </c>
      <c r="AS65">
        <v>3</v>
      </c>
      <c r="AT65" t="s">
        <v>15</v>
      </c>
      <c r="AU65" s="1">
        <v>203196</v>
      </c>
      <c r="AV65" s="1">
        <v>478.488</v>
      </c>
      <c r="AW65" s="1">
        <v>2.3477599999999999E-4</v>
      </c>
      <c r="AX65" s="1">
        <v>1.2253100000000001E-3</v>
      </c>
      <c r="AZ65">
        <v>3</v>
      </c>
      <c r="BA65" t="s">
        <v>15</v>
      </c>
      <c r="BB65" s="1">
        <v>716221</v>
      </c>
      <c r="BC65" s="1">
        <v>922.351</v>
      </c>
      <c r="BD65" s="1">
        <v>1.03354E-4</v>
      </c>
      <c r="BE65" s="1">
        <v>-1.5854E-3</v>
      </c>
      <c r="BN65" s="87" t="s">
        <v>58</v>
      </c>
      <c r="BO65" s="87" t="s">
        <v>109</v>
      </c>
      <c r="BP65" s="87" t="s">
        <v>15</v>
      </c>
      <c r="BQ65" s="87" t="s">
        <v>57</v>
      </c>
      <c r="BR65" s="87" t="s">
        <v>250</v>
      </c>
      <c r="BS65" s="87" t="s">
        <v>57</v>
      </c>
      <c r="BT65" s="87" t="s">
        <v>251</v>
      </c>
      <c r="BU65" s="87" t="s">
        <v>57</v>
      </c>
      <c r="BV65" s="87" t="s">
        <v>252</v>
      </c>
      <c r="BW65" s="87" t="s">
        <v>57</v>
      </c>
      <c r="BX65" s="87" t="s">
        <v>253</v>
      </c>
      <c r="BY65" s="87" t="s">
        <v>57</v>
      </c>
      <c r="CC65" s="1"/>
      <c r="CD65" s="1"/>
      <c r="CE65" s="1"/>
      <c r="CF65" s="1"/>
    </row>
    <row r="66" spans="2:84" ht="15" thickBot="1" x14ac:dyDescent="0.35">
      <c r="B66" s="2"/>
      <c r="I66" t="s">
        <v>101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AO66" s="23">
        <v>344.27850000000001</v>
      </c>
      <c r="AP66" s="20">
        <v>0.10389282560160629</v>
      </c>
      <c r="AQ66" s="22">
        <v>6.5796663665575468E-7</v>
      </c>
      <c r="AS66">
        <v>4</v>
      </c>
      <c r="AT66" t="s">
        <v>16</v>
      </c>
      <c r="AU66" s="1">
        <v>859.49800000000005</v>
      </c>
      <c r="AV66" s="1">
        <v>7.4617699999999996</v>
      </c>
      <c r="AW66" s="1">
        <v>0.10419100000000001</v>
      </c>
      <c r="AX66" s="1">
        <v>4.5358000000000002E-5</v>
      </c>
      <c r="AZ66">
        <v>4</v>
      </c>
      <c r="BA66" t="s">
        <v>16</v>
      </c>
      <c r="BB66" s="1">
        <v>20034.400000000001</v>
      </c>
      <c r="BC66" s="1">
        <v>147.24600000000001</v>
      </c>
      <c r="BD66" s="1">
        <v>0.19292200000000001</v>
      </c>
      <c r="BE66" s="1">
        <v>5.8422499999999998E-6</v>
      </c>
      <c r="BN66" s="21" t="s">
        <v>19</v>
      </c>
      <c r="BO66" s="8">
        <v>661.65700000000004</v>
      </c>
      <c r="BP66" s="8" t="s">
        <v>335</v>
      </c>
      <c r="BQ66" t="s">
        <v>335</v>
      </c>
      <c r="BR66" s="8" t="s">
        <v>335</v>
      </c>
      <c r="BS66" s="8" t="s">
        <v>335</v>
      </c>
      <c r="BT66" s="20">
        <v>0.85099999999999998</v>
      </c>
      <c r="BU66" s="20">
        <v>2E-3</v>
      </c>
      <c r="BV66" s="20" t="s">
        <v>335</v>
      </c>
      <c r="BW66" s="20" t="s">
        <v>335</v>
      </c>
      <c r="BX66" s="20" t="s">
        <v>335</v>
      </c>
      <c r="BY66" s="20" t="s">
        <v>335</v>
      </c>
      <c r="CA66" s="114" t="s">
        <v>336</v>
      </c>
      <c r="CB66" s="115"/>
      <c r="CC66" s="122"/>
    </row>
    <row r="67" spans="2:84" ht="15" thickBot="1" x14ac:dyDescent="0.35">
      <c r="B67" s="2"/>
      <c r="J67">
        <v>1</v>
      </c>
      <c r="K67" t="s">
        <v>14</v>
      </c>
      <c r="L67" s="1">
        <v>11283.6</v>
      </c>
      <c r="M67" s="1">
        <v>9.8456500000000002E-2</v>
      </c>
      <c r="N67" s="1">
        <v>6.1606099999999998E-6</v>
      </c>
      <c r="O67" s="1">
        <v>2.40341</v>
      </c>
      <c r="AO67" s="21">
        <v>356.0129</v>
      </c>
      <c r="AP67" s="20">
        <v>0.10253779832611833</v>
      </c>
      <c r="AQ67" s="22">
        <v>5.4217629403564013E-7</v>
      </c>
      <c r="AS67">
        <v>5</v>
      </c>
      <c r="AT67" t="s">
        <v>17</v>
      </c>
      <c r="AU67" s="1">
        <v>-0.43146000000000001</v>
      </c>
      <c r="AV67" s="1">
        <v>6.73494E-3</v>
      </c>
      <c r="AW67" s="1">
        <v>9.4245699999999998E-5</v>
      </c>
      <c r="AX67" s="1">
        <v>4.7302799999999999E-2</v>
      </c>
      <c r="AZ67">
        <v>5</v>
      </c>
      <c r="BA67" t="s">
        <v>17</v>
      </c>
      <c r="BB67" s="1">
        <v>-38.569299999999998</v>
      </c>
      <c r="BC67" s="1">
        <v>0.30254799999999998</v>
      </c>
      <c r="BD67" s="1">
        <v>3.97623E-4</v>
      </c>
      <c r="BE67" s="1">
        <v>2.9826200000000001E-3</v>
      </c>
      <c r="BN67" s="21" t="s">
        <v>20</v>
      </c>
      <c r="BO67" s="37">
        <v>1173.2280000000001</v>
      </c>
      <c r="BP67" s="120">
        <v>6652.04</v>
      </c>
      <c r="BQ67" s="120">
        <v>83.631200000000007</v>
      </c>
      <c r="BR67" s="120">
        <f t="shared" ref="BR67:BR81" si="61">BP67/$BV$57</f>
        <v>55.433666666666667</v>
      </c>
      <c r="BS67" s="120">
        <f>BQ67/$BB$3</f>
        <v>0.69692666666666669</v>
      </c>
      <c r="BT67" s="20">
        <v>0.99850000000000005</v>
      </c>
      <c r="BU67" s="20">
        <v>2.9999999999999997E-4</v>
      </c>
      <c r="BV67" s="20">
        <f>(BR67*4*PI())/($BW$59*BT67*$BT$57)</f>
        <v>3.4276638939313028E-2</v>
      </c>
      <c r="BW67" s="20">
        <f>SQRT((BS67*(4*PI()/($BC$5*$BT$57*BT67)))^2+($BD$5*(-BR67*4*PI()/(BT67*$BT$57*$BC$5^2)))^2+(BU67*(-BR67*4*PI()/($BC$5*$BT$57*BT67^2)))^2+($BU$57*(-BR67*4*PI()/($BC$5*BT67*$BT$57^2)))^2)</f>
        <v>9.274292440987112E-4</v>
      </c>
      <c r="BX67" s="20">
        <f t="shared" ref="BX67:BX71" si="62">BV67*100</f>
        <v>3.4276638939313027</v>
      </c>
      <c r="BY67" s="20">
        <f t="shared" ref="BY67:BY71" si="63">BW67*100</f>
        <v>9.2742924409871114E-2</v>
      </c>
      <c r="CA67" s="4" t="s">
        <v>338</v>
      </c>
      <c r="CB67" s="45" t="s">
        <v>371</v>
      </c>
      <c r="CC67" s="5">
        <f>925.3/13</f>
        <v>71.176923076923075</v>
      </c>
    </row>
    <row r="68" spans="2:84" ht="15" thickBot="1" x14ac:dyDescent="0.35">
      <c r="B68" s="2"/>
      <c r="J68">
        <v>2</v>
      </c>
      <c r="K68" t="s">
        <v>3</v>
      </c>
      <c r="L68" s="1">
        <v>32.061100000000003</v>
      </c>
      <c r="M68" s="1">
        <v>0.23316600000000001</v>
      </c>
      <c r="N68" s="1">
        <v>3.48625E-5</v>
      </c>
      <c r="O68" s="1">
        <v>-5.1491200000000001E-3</v>
      </c>
      <c r="AO68" s="21">
        <v>383.8485</v>
      </c>
      <c r="AP68" s="20">
        <v>9.9594463811923883E-2</v>
      </c>
      <c r="AQ68" s="22">
        <v>1.2492360252375709E-6</v>
      </c>
      <c r="AS68" s="25" t="s">
        <v>333</v>
      </c>
      <c r="AZ68" s="25" t="s">
        <v>329</v>
      </c>
      <c r="BN68" s="21" t="s">
        <v>20</v>
      </c>
      <c r="BO68" s="37">
        <v>1332.492</v>
      </c>
      <c r="BP68" s="120">
        <v>5738.76</v>
      </c>
      <c r="BQ68" s="120">
        <v>76.876599999999996</v>
      </c>
      <c r="BR68" s="120">
        <f t="shared" si="61"/>
        <v>47.823</v>
      </c>
      <c r="BS68" s="120">
        <f t="shared" ref="BS68:BS81" si="64">BQ68/$BB$3</f>
        <v>0.64063833333333331</v>
      </c>
      <c r="BT68" s="20">
        <v>0.99982599999999999</v>
      </c>
      <c r="BU68" s="20">
        <v>6.0000000000000002E-6</v>
      </c>
      <c r="BV68" s="20">
        <f>(BR68*4*PI())/($BW$59*BT68*$BT$57)</f>
        <v>2.9531471205897192E-2</v>
      </c>
      <c r="BW68" s="20">
        <f>SQRT((BS68*(4*PI()/($BC$5*$BT$57*BT68)))^2+($BD$5*(-BR68*4*PI()/(BT68*$BT$57*$BC$5^2)))^2+(BU68*(-BR68*4*PI()/($BC$5*$BT$57*BT68^2)))^2+($BU$57*(-BR68*4*PI()/($BC$5*BT68*$BT$57^2)))^2)</f>
        <v>8.1057978985432807E-4</v>
      </c>
      <c r="BX68" s="20">
        <f t="shared" si="62"/>
        <v>2.9531471205897191</v>
      </c>
      <c r="BY68" s="20">
        <f t="shared" si="63"/>
        <v>8.1057978985432808E-2</v>
      </c>
      <c r="CA68" s="21" t="s">
        <v>255</v>
      </c>
      <c r="CB68" s="1">
        <v>74.477400000000003</v>
      </c>
      <c r="CC68" s="1">
        <v>5.3448900000000004</v>
      </c>
    </row>
    <row r="69" spans="2:84" ht="15" thickBot="1" x14ac:dyDescent="0.35">
      <c r="B69" s="2"/>
      <c r="J69">
        <v>3</v>
      </c>
      <c r="K69" t="s">
        <v>15</v>
      </c>
      <c r="L69" s="1">
        <v>20268.7</v>
      </c>
      <c r="M69" s="1">
        <v>143.32599999999999</v>
      </c>
      <c r="N69" s="1">
        <v>3.6296499999999998E-4</v>
      </c>
      <c r="O69" s="1">
        <v>-4.3337399999999998E-2</v>
      </c>
      <c r="AO69" s="23">
        <v>661.65700000000004</v>
      </c>
      <c r="AP69" s="8">
        <v>8.0694567955585619E-2</v>
      </c>
      <c r="AQ69" s="5">
        <v>2.1479101015060613E-7</v>
      </c>
      <c r="AS69" t="s">
        <v>8</v>
      </c>
      <c r="AT69" t="s">
        <v>9</v>
      </c>
      <c r="AU69" t="s">
        <v>10</v>
      </c>
      <c r="AV69" t="s">
        <v>11</v>
      </c>
      <c r="AW69" t="s">
        <v>12</v>
      </c>
      <c r="AX69" t="s">
        <v>13</v>
      </c>
      <c r="AZ69" t="s">
        <v>8</v>
      </c>
      <c r="BA69" t="s">
        <v>9</v>
      </c>
      <c r="BB69" t="s">
        <v>10</v>
      </c>
      <c r="BC69" t="s">
        <v>11</v>
      </c>
      <c r="BD69" t="s">
        <v>12</v>
      </c>
      <c r="BE69" t="s">
        <v>13</v>
      </c>
      <c r="BN69" s="21" t="s">
        <v>59</v>
      </c>
      <c r="BO69" s="20">
        <v>276.39890000000003</v>
      </c>
      <c r="BP69" s="120">
        <v>22978.3</v>
      </c>
      <c r="BQ69" s="120">
        <v>163.33699999999999</v>
      </c>
      <c r="BR69" s="120">
        <f t="shared" si="61"/>
        <v>191.48583333333332</v>
      </c>
      <c r="BS69" s="120">
        <f t="shared" si="64"/>
        <v>1.3611416666666665</v>
      </c>
      <c r="BT69" s="20">
        <v>7.1599999999999997E-2</v>
      </c>
      <c r="BU69" s="20">
        <v>5.0000000000000001E-4</v>
      </c>
      <c r="BV69" s="20">
        <f>(BR69*4*PI())/($BW$60*BT69*$BT$57)</f>
        <v>0.16279116632067051</v>
      </c>
      <c r="BW69" s="20">
        <f>SQRT((BS69*(4*PI()/($BC$6*$BT$57*BT69)))^2+($BD$6*(-BR69*4*PI()/(BT69*$BT$57*$BC$6^2)))^2+(BU69*(-BR69*4*PI()/($BC$6*$BT$57*BT69^2)))^2+($BU$57*(-BR69*4*PI()/($BC$6*BT69*$BT$57^2)))^2)</f>
        <v>8.316744483573689E-3</v>
      </c>
      <c r="BX69" s="20">
        <f t="shared" si="62"/>
        <v>16.279116632067051</v>
      </c>
      <c r="BY69" s="20">
        <f t="shared" si="63"/>
        <v>0.83167444835736892</v>
      </c>
      <c r="CA69" s="6" t="s">
        <v>256</v>
      </c>
      <c r="CB69" s="1">
        <v>-0.43386200000000003</v>
      </c>
      <c r="CC69" s="1">
        <v>1.0810699999999999E-2</v>
      </c>
    </row>
    <row r="70" spans="2:84" ht="15" thickBot="1" x14ac:dyDescent="0.35">
      <c r="B70" s="2"/>
      <c r="J70">
        <v>4</v>
      </c>
      <c r="K70" t="s">
        <v>16</v>
      </c>
      <c r="L70" s="1">
        <v>62.012500000000003</v>
      </c>
      <c r="M70" s="1">
        <v>3.4807899999999998</v>
      </c>
      <c r="N70" s="1">
        <v>1.52856E-3</v>
      </c>
      <c r="O70" s="1">
        <v>-2.89676E-3</v>
      </c>
      <c r="AO70" s="23">
        <v>778.90449999999998</v>
      </c>
      <c r="AP70" s="20">
        <v>7.5728265986089838E-2</v>
      </c>
      <c r="AQ70" s="22">
        <v>6.5163376177147994E-7</v>
      </c>
      <c r="AS70">
        <v>1</v>
      </c>
      <c r="AT70" t="s">
        <v>14</v>
      </c>
      <c r="AU70" s="1">
        <v>2076.84</v>
      </c>
      <c r="AV70" s="1">
        <v>7.0198499999999997E-2</v>
      </c>
      <c r="AW70" s="1">
        <v>1.20106E-5</v>
      </c>
      <c r="AX70" s="1">
        <v>1.54653</v>
      </c>
      <c r="AZ70">
        <v>1</v>
      </c>
      <c r="BA70" t="s">
        <v>14</v>
      </c>
      <c r="BB70" s="1">
        <v>10009.299999999999</v>
      </c>
      <c r="BC70" s="1">
        <v>0.11833200000000001</v>
      </c>
      <c r="BD70" s="1">
        <v>9.9956800000000002E-6</v>
      </c>
      <c r="BE70" s="1">
        <v>1.5121600000000001E-2</v>
      </c>
      <c r="BN70" s="21" t="s">
        <v>59</v>
      </c>
      <c r="BO70" s="20">
        <v>302.85079999999999</v>
      </c>
      <c r="BP70" s="120">
        <v>59111.7</v>
      </c>
      <c r="BQ70" s="120">
        <v>249.298</v>
      </c>
      <c r="BR70" s="120">
        <f t="shared" si="61"/>
        <v>492.59749999999997</v>
      </c>
      <c r="BS70" s="120">
        <f t="shared" si="64"/>
        <v>2.0774833333333333</v>
      </c>
      <c r="BT70" s="20">
        <v>0.18340000000000001</v>
      </c>
      <c r="BU70" s="20">
        <v>1.2999999999999999E-3</v>
      </c>
      <c r="BV70" s="20">
        <f t="shared" ref="BV70:BV72" si="65">(BR70*4*PI())/($BW$60*BT70*$BT$57)</f>
        <v>0.163493345198687</v>
      </c>
      <c r="BW70" s="20">
        <f t="shared" ref="BW70:BW72" si="66">SQRT((BS70*(4*PI()/($BC$6*$BT$57*BT70)))^2+($BD$6*(-BR70*4*PI()/(BT70*$BT$57*$BC$6^2)))^2+(BU70*(-BR70*4*PI()/($BC$6*$BT$57*BT70^2)))^2+($BU$57*(-BR70*4*PI()/($BC$6*BT70*$BT$57^2)))^2)</f>
        <v>8.3024432806899449E-3</v>
      </c>
      <c r="BX70" s="20">
        <f t="shared" si="62"/>
        <v>16.349334519868698</v>
      </c>
      <c r="BY70" s="20">
        <f t="shared" si="63"/>
        <v>0.83024432806899451</v>
      </c>
      <c r="CA70" s="53" t="s">
        <v>337</v>
      </c>
      <c r="CB70" s="54"/>
      <c r="CC70" s="55"/>
    </row>
    <row r="71" spans="2:84" x14ac:dyDescent="0.3">
      <c r="B71" s="2"/>
      <c r="J71">
        <v>5</v>
      </c>
      <c r="K71" t="s">
        <v>17</v>
      </c>
      <c r="L71" s="1">
        <v>-5.2220799999999996E-3</v>
      </c>
      <c r="M71" s="1">
        <v>3.0498100000000001E-4</v>
      </c>
      <c r="N71" s="1">
        <v>1.3393599999999999E-7</v>
      </c>
      <c r="O71" s="1">
        <v>-32.993299999999998</v>
      </c>
      <c r="AO71" s="23">
        <v>964.05700000000002</v>
      </c>
      <c r="AP71" s="20">
        <v>6.9727697868783189E-2</v>
      </c>
      <c r="AQ71" s="22">
        <v>5.4081826613553708E-7</v>
      </c>
      <c r="AS71">
        <v>2</v>
      </c>
      <c r="AT71" t="s">
        <v>3</v>
      </c>
      <c r="AU71" s="1">
        <v>21.967199999999998</v>
      </c>
      <c r="AV71" s="1">
        <v>0.20743700000000001</v>
      </c>
      <c r="AW71" s="1">
        <v>7.0140899999999998E-5</v>
      </c>
      <c r="AX71" s="1">
        <v>-0.50912500000000005</v>
      </c>
      <c r="AZ71">
        <v>2</v>
      </c>
      <c r="BA71" t="s">
        <v>3</v>
      </c>
      <c r="BB71" s="1">
        <v>20.831499999999998</v>
      </c>
      <c r="BC71" s="1">
        <v>0.24778600000000001</v>
      </c>
      <c r="BD71" s="1">
        <v>3.9993999999999997E-5</v>
      </c>
      <c r="BE71" s="1">
        <v>6.6144400000000001E-3</v>
      </c>
      <c r="BN71" s="21" t="s">
        <v>59</v>
      </c>
      <c r="BO71" s="20">
        <v>356.0129</v>
      </c>
      <c r="BP71" s="120">
        <v>171593</v>
      </c>
      <c r="BQ71" s="120">
        <v>418.10700000000003</v>
      </c>
      <c r="BR71" s="120">
        <f t="shared" si="61"/>
        <v>1429.9416666666666</v>
      </c>
      <c r="BS71" s="120">
        <f t="shared" si="64"/>
        <v>3.4842250000000003</v>
      </c>
      <c r="BT71" s="20">
        <v>0.62050000000000005</v>
      </c>
      <c r="BU71" s="20">
        <v>0</v>
      </c>
      <c r="BV71" s="20">
        <f t="shared" si="65"/>
        <v>0.14027611942984566</v>
      </c>
      <c r="BW71" s="20">
        <f t="shared" si="66"/>
        <v>7.0371520143240728E-3</v>
      </c>
      <c r="BX71" s="20">
        <f t="shared" si="62"/>
        <v>14.027611942984567</v>
      </c>
      <c r="BY71" s="20">
        <f t="shared" si="63"/>
        <v>0.70371520143240729</v>
      </c>
      <c r="CA71" s="4" t="s">
        <v>338</v>
      </c>
      <c r="CB71" s="45" t="s">
        <v>374</v>
      </c>
      <c r="CC71" s="5">
        <f>260.2/12</f>
        <v>21.683333333333334</v>
      </c>
    </row>
    <row r="72" spans="2:84" x14ac:dyDescent="0.3">
      <c r="B72" s="2"/>
      <c r="AO72" s="23">
        <v>1085.837</v>
      </c>
      <c r="AP72" s="20">
        <v>6.6584910535143982E-2</v>
      </c>
      <c r="AQ72" s="22">
        <v>6.848621771480762E-7</v>
      </c>
      <c r="AS72">
        <v>3</v>
      </c>
      <c r="AT72" t="s">
        <v>15</v>
      </c>
      <c r="AU72" s="1">
        <v>32528.400000000001</v>
      </c>
      <c r="AV72" s="1">
        <v>219.03700000000001</v>
      </c>
      <c r="AW72" s="1">
        <v>1.2868999999999999E-4</v>
      </c>
      <c r="AX72" s="1">
        <v>0.16247300000000001</v>
      </c>
      <c r="AZ72">
        <v>3</v>
      </c>
      <c r="BA72" t="s">
        <v>15</v>
      </c>
      <c r="BB72" s="1">
        <v>6652.04</v>
      </c>
      <c r="BC72" s="1">
        <v>83.631200000000007</v>
      </c>
      <c r="BD72" s="1">
        <v>2.7676900000000001E-4</v>
      </c>
      <c r="BE72" s="1">
        <v>-1.48281E-4</v>
      </c>
      <c r="BN72" s="21" t="s">
        <v>59</v>
      </c>
      <c r="BO72" s="20">
        <v>383.8485</v>
      </c>
      <c r="BP72" s="120">
        <v>27448</v>
      </c>
      <c r="BQ72" s="120">
        <v>170.47399999999999</v>
      </c>
      <c r="BR72" s="120">
        <f t="shared" si="61"/>
        <v>228.73333333333332</v>
      </c>
      <c r="BS72" s="120">
        <f t="shared" si="64"/>
        <v>1.4206166666666666</v>
      </c>
      <c r="BT72" s="20">
        <v>8.9399999999999993E-2</v>
      </c>
      <c r="BU72" s="20">
        <v>5.9999999999999995E-4</v>
      </c>
      <c r="BV72" s="20">
        <f t="shared" si="65"/>
        <v>0.15573963339604649</v>
      </c>
      <c r="BW72" s="20">
        <f t="shared" si="66"/>
        <v>7.9325620102934698E-3</v>
      </c>
      <c r="BX72" s="20">
        <f>BV72*100</f>
        <v>15.573963339604649</v>
      </c>
      <c r="BY72" s="20">
        <f>BW72*100</f>
        <v>0.79325620102934702</v>
      </c>
      <c r="CA72" s="21" t="s">
        <v>255</v>
      </c>
      <c r="CB72" s="1">
        <v>1477.4</v>
      </c>
      <c r="CC72" s="1">
        <v>147.04599999999999</v>
      </c>
    </row>
    <row r="73" spans="2:84" ht="15" thickBot="1" x14ac:dyDescent="0.35">
      <c r="B73" s="2"/>
      <c r="AO73" s="23">
        <v>1112.076</v>
      </c>
      <c r="AP73" s="20">
        <v>6.5971557696821684E-2</v>
      </c>
      <c r="AQ73" s="22">
        <v>5.3241636594590789E-7</v>
      </c>
      <c r="AS73">
        <v>4</v>
      </c>
      <c r="AT73" t="s">
        <v>16</v>
      </c>
      <c r="AU73" s="1">
        <v>342.053</v>
      </c>
      <c r="AV73" s="1">
        <v>14.817500000000001</v>
      </c>
      <c r="AW73" s="1">
        <v>2.7250799999999999E-2</v>
      </c>
      <c r="AX73" s="1">
        <v>-3.5785500000000002E-4</v>
      </c>
      <c r="AZ73">
        <v>4</v>
      </c>
      <c r="BA73" t="s">
        <v>16</v>
      </c>
      <c r="BB73" s="1">
        <v>142.42599999999999</v>
      </c>
      <c r="BC73" s="1">
        <v>14.894500000000001</v>
      </c>
      <c r="BD73" s="1">
        <v>1.7800299999999999E-3</v>
      </c>
      <c r="BE73" s="1">
        <v>-1.3562099999999999E-4</v>
      </c>
      <c r="BN73" s="21" t="s">
        <v>29</v>
      </c>
      <c r="BO73" s="20">
        <v>121.7817</v>
      </c>
      <c r="BP73" s="120">
        <v>203196</v>
      </c>
      <c r="BQ73" s="120">
        <v>478.488</v>
      </c>
      <c r="BR73" s="120">
        <f t="shared" si="61"/>
        <v>1693.3</v>
      </c>
      <c r="BS73" s="120">
        <f t="shared" si="64"/>
        <v>3.9874000000000001</v>
      </c>
      <c r="BT73" s="20">
        <v>0.2853</v>
      </c>
      <c r="BU73" s="20">
        <v>1.6000000000000001E-3</v>
      </c>
      <c r="BV73" s="20">
        <f>(BR73*4*PI())/($BW$62*BT73*$BT$57)</f>
        <v>0.1842668092423933</v>
      </c>
      <c r="BW73" s="20">
        <f>SQRT((BS73*(4*PI()/($BC$8*$BT$57*BT73)))^2+($BD$8*(-BR73*4*PI()/(BT73*$BT$57*$BC$8^2)))^2+(BU73*(-BR73*4*PI()/($BC$8*$BT$57*BT73^2)))^2+($BU$57*(-BR73*4*PI()/($BC$8*BT73*$BT$57^2)))^2)</f>
        <v>9.6474771428847646E-3</v>
      </c>
      <c r="BX73" s="20">
        <f t="shared" ref="BX73:BX81" si="67">BV73*100</f>
        <v>18.426680924239331</v>
      </c>
      <c r="BY73" s="20">
        <f>BW73*100</f>
        <v>0.9647477142884765</v>
      </c>
      <c r="CA73" s="6" t="s">
        <v>256</v>
      </c>
      <c r="CB73" s="1">
        <v>-0.86179600000000001</v>
      </c>
      <c r="CC73" s="1">
        <v>1.5069300000000001E-2</v>
      </c>
    </row>
    <row r="74" spans="2:84" ht="15" thickBot="1" x14ac:dyDescent="0.35">
      <c r="B74" s="2"/>
      <c r="AO74" s="23">
        <v>1173.2280000000001</v>
      </c>
      <c r="AP74" s="20">
        <v>6.4788587875513587E-2</v>
      </c>
      <c r="AQ74" s="22">
        <v>2.8105337244813199E-7</v>
      </c>
      <c r="AS74">
        <v>5</v>
      </c>
      <c r="AT74" t="s">
        <v>17</v>
      </c>
      <c r="AU74" s="1">
        <v>-5.7356499999999998E-2</v>
      </c>
      <c r="AV74" s="1">
        <v>7.1153600000000003E-3</v>
      </c>
      <c r="AW74" s="1">
        <v>1.3088700000000001E-5</v>
      </c>
      <c r="AX74" s="1">
        <v>-0.84462800000000005</v>
      </c>
      <c r="AZ74">
        <v>5</v>
      </c>
      <c r="BA74" t="s">
        <v>17</v>
      </c>
      <c r="BB74" s="1">
        <v>-1.3702000000000001E-2</v>
      </c>
      <c r="BC74" s="1">
        <v>1.4827499999999999E-3</v>
      </c>
      <c r="BD74" s="1">
        <v>1.7721399999999999E-7</v>
      </c>
      <c r="BE74" s="1">
        <v>-7.9556699999999994E-2</v>
      </c>
      <c r="BN74" s="21" t="s">
        <v>29</v>
      </c>
      <c r="BO74" s="20">
        <v>244.69739999999999</v>
      </c>
      <c r="BP74" s="120">
        <v>32528.400000000001</v>
      </c>
      <c r="BQ74" s="120">
        <v>219.03700000000001</v>
      </c>
      <c r="BR74" s="120">
        <f t="shared" si="61"/>
        <v>271.07</v>
      </c>
      <c r="BS74" s="120">
        <f t="shared" si="64"/>
        <v>1.8253083333333333</v>
      </c>
      <c r="BT74" s="20">
        <v>7.5499999999999998E-2</v>
      </c>
      <c r="BU74" s="20">
        <v>4.0000000000000002E-4</v>
      </c>
      <c r="BV74" s="20">
        <f t="shared" ref="BV74:BV80" si="68">(BR74*4*PI())/($BW$62*BT74*$BT$57)</f>
        <v>0.11146781370813631</v>
      </c>
      <c r="BW74" s="20">
        <f t="shared" ref="BW74:BW80" si="69">SQRT((BS74*(4*PI()/($BC$8*$BT$57*BT74)))^2+($BD$8*(-BR74*4*PI()/(BT74*$BT$57*$BC$8^2)))^2+(BU74*(-BR74*4*PI()/($BC$8*$BT$57*BT74^2)))^2+($BU$57*(-BR74*4*PI()/($BC$8*BT74*$BT$57^2)))^2)</f>
        <v>5.8746484698309811E-3</v>
      </c>
      <c r="BX74" s="20">
        <f t="shared" si="67"/>
        <v>11.146781370813631</v>
      </c>
      <c r="BY74" s="20">
        <f t="shared" ref="BY74:BY75" si="70">BW74*100</f>
        <v>0.58746484698309809</v>
      </c>
    </row>
    <row r="75" spans="2:84" ht="15" thickBot="1" x14ac:dyDescent="0.35">
      <c r="B75" s="2"/>
      <c r="AO75" s="23">
        <v>1332.492</v>
      </c>
      <c r="AP75" s="20">
        <v>6.1668807479153161E-2</v>
      </c>
      <c r="AQ75" s="22">
        <v>2.5683138129682569E-7</v>
      </c>
      <c r="AS75" s="25" t="s">
        <v>334</v>
      </c>
      <c r="AZ75" t="s">
        <v>312</v>
      </c>
      <c r="BN75" s="21" t="s">
        <v>29</v>
      </c>
      <c r="BO75" s="37">
        <v>344.27850000000001</v>
      </c>
      <c r="BP75" s="120">
        <v>98187.6</v>
      </c>
      <c r="BQ75" s="120">
        <v>335.24400000000003</v>
      </c>
      <c r="BR75" s="120">
        <f t="shared" si="61"/>
        <v>818.23</v>
      </c>
      <c r="BS75" s="120">
        <f t="shared" si="64"/>
        <v>2.7937000000000003</v>
      </c>
      <c r="BT75" s="20">
        <v>0.26590000000000003</v>
      </c>
      <c r="BU75" s="20">
        <v>2E-3</v>
      </c>
      <c r="BV75" s="20">
        <f t="shared" si="68"/>
        <v>9.553709692211261E-2</v>
      </c>
      <c r="BW75" s="20">
        <f t="shared" si="69"/>
        <v>5.0303608498249381E-3</v>
      </c>
      <c r="BX75" s="20">
        <f t="shared" si="67"/>
        <v>9.5537096922112603</v>
      </c>
      <c r="BY75" s="20">
        <f t="shared" si="70"/>
        <v>0.50303608498249386</v>
      </c>
    </row>
    <row r="76" spans="2:84" x14ac:dyDescent="0.3">
      <c r="B76" s="2"/>
      <c r="AO76" s="23">
        <v>1408.0129999999999</v>
      </c>
      <c r="AP76" s="20">
        <v>6.0205104535671745E-2</v>
      </c>
      <c r="AQ76" s="22">
        <v>3.8513355078399212E-7</v>
      </c>
      <c r="AS76" t="s">
        <v>8</v>
      </c>
      <c r="AT76" t="s">
        <v>9</v>
      </c>
      <c r="AU76" t="s">
        <v>10</v>
      </c>
      <c r="AV76" t="s">
        <v>11</v>
      </c>
      <c r="AW76" t="s">
        <v>12</v>
      </c>
      <c r="AX76" t="s">
        <v>13</v>
      </c>
      <c r="AZ76" t="s">
        <v>8</v>
      </c>
      <c r="BA76" t="s">
        <v>9</v>
      </c>
      <c r="BB76" t="s">
        <v>10</v>
      </c>
      <c r="BC76" t="s">
        <v>11</v>
      </c>
      <c r="BD76" t="s">
        <v>12</v>
      </c>
      <c r="BE76" t="s">
        <v>13</v>
      </c>
      <c r="BN76" s="21" t="s">
        <v>29</v>
      </c>
      <c r="BO76" s="37">
        <v>778.90449999999998</v>
      </c>
      <c r="BP76" s="120">
        <v>19279</v>
      </c>
      <c r="BQ76" s="120">
        <v>172.56800000000001</v>
      </c>
      <c r="BR76" s="120">
        <f t="shared" si="61"/>
        <v>160.65833333333333</v>
      </c>
      <c r="BS76" s="120">
        <f t="shared" si="64"/>
        <v>1.4380666666666668</v>
      </c>
      <c r="BT76" s="20">
        <v>0.1293</v>
      </c>
      <c r="BU76" s="20">
        <v>8.0000000000000004E-4</v>
      </c>
      <c r="BV76" s="20">
        <f t="shared" si="68"/>
        <v>3.8576223690555786E-2</v>
      </c>
      <c r="BW76" s="20">
        <f t="shared" si="69"/>
        <v>2.0494686515403196E-3</v>
      </c>
      <c r="BX76" s="20">
        <f t="shared" si="67"/>
        <v>3.8576223690555786</v>
      </c>
      <c r="BY76" s="20">
        <f>BW76*100</f>
        <v>0.20494686515403196</v>
      </c>
    </row>
    <row r="77" spans="2:84" x14ac:dyDescent="0.3">
      <c r="B77" s="2"/>
      <c r="AS77">
        <v>1</v>
      </c>
      <c r="AT77" t="s">
        <v>14</v>
      </c>
      <c r="AU77" s="1">
        <v>2927.47</v>
      </c>
      <c r="AV77" s="1">
        <v>3.9188300000000002E-2</v>
      </c>
      <c r="AW77" s="1">
        <v>8.0837000000000001E-9</v>
      </c>
      <c r="AX77" s="1">
        <v>-2.0360499999999999</v>
      </c>
      <c r="AZ77">
        <v>1</v>
      </c>
      <c r="BA77" t="s">
        <v>14</v>
      </c>
      <c r="BB77" s="1">
        <v>11369.8</v>
      </c>
      <c r="BC77" s="1">
        <v>0.14041699999999999</v>
      </c>
      <c r="BD77" s="1">
        <v>8.9060299999999995E-6</v>
      </c>
      <c r="BE77" s="1">
        <v>-3.0310900000000002E-3</v>
      </c>
      <c r="BN77" s="21" t="s">
        <v>29</v>
      </c>
      <c r="BO77" s="37">
        <v>964.05700000000002</v>
      </c>
      <c r="BP77" s="120">
        <v>20086.400000000001</v>
      </c>
      <c r="BQ77" s="120">
        <v>167.8</v>
      </c>
      <c r="BR77" s="120">
        <f t="shared" si="61"/>
        <v>167.38666666666668</v>
      </c>
      <c r="BS77" s="120">
        <f t="shared" si="64"/>
        <v>1.3983333333333334</v>
      </c>
      <c r="BT77" s="20">
        <v>0.14510000000000001</v>
      </c>
      <c r="BU77" s="20">
        <v>6.9999999999999999E-4</v>
      </c>
      <c r="BV77" s="20">
        <f t="shared" si="68"/>
        <v>3.5815286322891569E-2</v>
      </c>
      <c r="BW77" s="20">
        <f t="shared" si="69"/>
        <v>1.8942251187273817E-3</v>
      </c>
      <c r="BX77" s="20">
        <f t="shared" si="67"/>
        <v>3.5815286322891571</v>
      </c>
      <c r="BY77" s="20">
        <f t="shared" ref="BY77:BY81" si="71">BW77*100</f>
        <v>0.18942251187273818</v>
      </c>
    </row>
    <row r="78" spans="2:84" x14ac:dyDescent="0.3">
      <c r="B78" s="2"/>
      <c r="AS78">
        <v>2</v>
      </c>
      <c r="AT78" t="s">
        <v>3</v>
      </c>
      <c r="AU78" s="1">
        <v>23.903199999999998</v>
      </c>
      <c r="AV78" s="1">
        <v>0.11129</v>
      </c>
      <c r="AW78" s="1">
        <v>1.2050399999999999E-6</v>
      </c>
      <c r="AX78" s="1">
        <v>1.0599099999999999</v>
      </c>
      <c r="AZ78">
        <v>2</v>
      </c>
      <c r="BA78" t="s">
        <v>3</v>
      </c>
      <c r="BB78" s="1">
        <v>22.7959</v>
      </c>
      <c r="BC78" s="1">
        <v>0.28869800000000001</v>
      </c>
      <c r="BD78" s="1">
        <v>3.6798100000000003E-5</v>
      </c>
      <c r="BE78" s="1">
        <v>-7.9279899999999996E-4</v>
      </c>
      <c r="BN78" s="21" t="s">
        <v>29</v>
      </c>
      <c r="BO78" s="37">
        <v>1085.837</v>
      </c>
      <c r="BP78" s="120">
        <v>14886.4</v>
      </c>
      <c r="BQ78" s="120">
        <v>162.82499999999999</v>
      </c>
      <c r="BR78" s="120">
        <f t="shared" si="61"/>
        <v>124.05333333333333</v>
      </c>
      <c r="BS78" s="120">
        <f t="shared" si="64"/>
        <v>1.3568749999999998</v>
      </c>
      <c r="BT78" s="20">
        <v>0.1011</v>
      </c>
      <c r="BU78" s="20">
        <v>5.0000000000000001E-4</v>
      </c>
      <c r="BV78" s="20">
        <f t="shared" si="68"/>
        <v>3.8095375762960293E-2</v>
      </c>
      <c r="BW78" s="20">
        <f t="shared" si="69"/>
        <v>2.0331127575585715E-3</v>
      </c>
      <c r="BX78" s="20">
        <f t="shared" si="67"/>
        <v>3.8095375762960293</v>
      </c>
      <c r="BY78" s="20">
        <f t="shared" si="71"/>
        <v>0.20331127575585717</v>
      </c>
    </row>
    <row r="79" spans="2:84" x14ac:dyDescent="0.3">
      <c r="B79" s="2"/>
      <c r="AS79">
        <v>3</v>
      </c>
      <c r="AT79" t="s">
        <v>15</v>
      </c>
      <c r="AU79" s="1">
        <v>98187.6</v>
      </c>
      <c r="AV79" s="1">
        <v>335.24400000000003</v>
      </c>
      <c r="AW79" s="1">
        <v>-1.02656E-6</v>
      </c>
      <c r="AX79" s="1">
        <v>-0.111427</v>
      </c>
      <c r="AZ79">
        <v>3</v>
      </c>
      <c r="BA79" t="s">
        <v>15</v>
      </c>
      <c r="BB79" s="1">
        <v>5738.76</v>
      </c>
      <c r="BC79" s="1">
        <v>76.876599999999996</v>
      </c>
      <c r="BD79" s="1">
        <v>3.2949800000000001E-4</v>
      </c>
      <c r="BE79" s="1">
        <v>-7.6770500000000004E-3</v>
      </c>
      <c r="BN79" s="21" t="s">
        <v>29</v>
      </c>
      <c r="BO79" s="37">
        <v>1112.076</v>
      </c>
      <c r="BP79" s="120">
        <v>17902.3</v>
      </c>
      <c r="BQ79" s="120">
        <v>162.84800000000001</v>
      </c>
      <c r="BR79" s="120">
        <f t="shared" si="61"/>
        <v>149.18583333333333</v>
      </c>
      <c r="BS79" s="120">
        <f t="shared" si="64"/>
        <v>1.3570666666666669</v>
      </c>
      <c r="BT79" s="20">
        <v>0.13669999999999999</v>
      </c>
      <c r="BU79" s="20">
        <v>8.0000000000000004E-4</v>
      </c>
      <c r="BV79" s="20">
        <f t="shared" si="68"/>
        <v>3.3882390927479897E-2</v>
      </c>
      <c r="BW79" s="20">
        <f t="shared" si="69"/>
        <v>1.7996466725847451E-3</v>
      </c>
      <c r="BX79" s="20">
        <f t="shared" si="67"/>
        <v>3.3882390927479897</v>
      </c>
      <c r="BY79" s="20">
        <f t="shared" si="71"/>
        <v>0.17996466725847451</v>
      </c>
    </row>
    <row r="80" spans="2:84" x14ac:dyDescent="0.3">
      <c r="B80" s="2"/>
      <c r="AS80">
        <v>4</v>
      </c>
      <c r="AT80" t="s">
        <v>16</v>
      </c>
      <c r="AU80" s="1">
        <v>-305.56900000000002</v>
      </c>
      <c r="AV80" s="1">
        <v>0.78837299999999999</v>
      </c>
      <c r="AW80" s="1">
        <v>-5.3419600000000002E-4</v>
      </c>
      <c r="AX80" s="1">
        <v>1.8440100000000001E-3</v>
      </c>
      <c r="AZ80">
        <v>4</v>
      </c>
      <c r="BA80" t="s">
        <v>16</v>
      </c>
      <c r="BB80" s="1">
        <v>63.674900000000001</v>
      </c>
      <c r="BC80" s="1">
        <v>9.1412999999999993</v>
      </c>
      <c r="BD80" s="1">
        <v>1.0903200000000001E-3</v>
      </c>
      <c r="BE80" s="1">
        <v>6.7440600000000001E-4</v>
      </c>
      <c r="BN80" s="21" t="s">
        <v>29</v>
      </c>
      <c r="BO80" s="37">
        <v>1408.0129999999999</v>
      </c>
      <c r="BP80" s="120">
        <v>21570.7</v>
      </c>
      <c r="BQ80" s="120">
        <v>156.709</v>
      </c>
      <c r="BR80" s="120">
        <f t="shared" si="61"/>
        <v>179.75583333333333</v>
      </c>
      <c r="BS80" s="120">
        <f t="shared" si="64"/>
        <v>1.3059083333333334</v>
      </c>
      <c r="BT80" s="20">
        <v>0.2087</v>
      </c>
      <c r="BU80" s="20">
        <v>8.9999999999999998E-4</v>
      </c>
      <c r="BV80" s="20">
        <f t="shared" si="68"/>
        <v>2.6740869381746211E-2</v>
      </c>
      <c r="BW80" s="20">
        <f t="shared" si="69"/>
        <v>1.4087978401893984E-3</v>
      </c>
      <c r="BX80" s="20">
        <f t="shared" si="67"/>
        <v>2.6740869381746211</v>
      </c>
      <c r="BY80" s="20">
        <f t="shared" si="71"/>
        <v>0.14087978401893983</v>
      </c>
    </row>
    <row r="81" spans="2:78" ht="15" thickBot="1" x14ac:dyDescent="0.35">
      <c r="B81" s="2"/>
      <c r="AS81">
        <v>5</v>
      </c>
      <c r="AT81" t="s">
        <v>17</v>
      </c>
      <c r="AU81" s="1">
        <v>0.171213</v>
      </c>
      <c r="AV81" s="1">
        <v>3.2197299999999997E-4</v>
      </c>
      <c r="AW81" s="1">
        <v>2.8523000000000002E-7</v>
      </c>
      <c r="AX81" s="1">
        <v>-1.5072300000000001</v>
      </c>
      <c r="AZ81">
        <v>5</v>
      </c>
      <c r="BA81" t="s">
        <v>17</v>
      </c>
      <c r="BB81" s="1">
        <v>-5.3913099999999999E-3</v>
      </c>
      <c r="BC81" s="1">
        <v>8.01313E-4</v>
      </c>
      <c r="BD81" s="1">
        <v>9.5580399999999995E-8</v>
      </c>
      <c r="BE81" s="1">
        <v>7.7430899999999996</v>
      </c>
      <c r="BN81" s="6" t="s">
        <v>70</v>
      </c>
      <c r="BO81" s="38">
        <v>59.540900000000001</v>
      </c>
      <c r="BP81" s="121">
        <v>716221</v>
      </c>
      <c r="BQ81" s="121">
        <v>922.351</v>
      </c>
      <c r="BR81" s="121">
        <f t="shared" si="61"/>
        <v>5968.5083333333332</v>
      </c>
      <c r="BS81" s="121">
        <f t="shared" si="64"/>
        <v>7.686258333333333</v>
      </c>
      <c r="BT81" s="9">
        <v>0.35899999999999999</v>
      </c>
      <c r="BU81" s="9">
        <v>4.0000000000000001E-3</v>
      </c>
      <c r="BV81" s="9">
        <f>(BR81*4*PI())/($BW$63*BT81*$BT$57)</f>
        <v>8.0765324095779509E-2</v>
      </c>
      <c r="BW81" s="9">
        <f>SQRT((BS81*(4*PI()/($BC$9*$BT$57*BT81)))^2+($BD$9*(-BR81*4*PI()/(BT81*$BT$57*$BC$9^2)))^2+(BU81*(-BR81*4*PI()/($BC$9*$BT$57*BT81^2)))^2+($BU$57*(-BR81*4*PI()/($BC$9*BT81*$BT$57^2)))^2)</f>
        <v>4.2873015746004023E-3</v>
      </c>
      <c r="BX81" s="9">
        <f t="shared" si="67"/>
        <v>8.0765324095779505</v>
      </c>
      <c r="BY81" s="9">
        <f t="shared" si="71"/>
        <v>0.42873015746004023</v>
      </c>
    </row>
    <row r="82" spans="2:78" ht="15" thickBot="1" x14ac:dyDescent="0.35">
      <c r="B82" s="2"/>
      <c r="AS82" s="14">
        <v>778</v>
      </c>
      <c r="AZ82" s="25" t="s">
        <v>19</v>
      </c>
    </row>
    <row r="83" spans="2:78" ht="15" thickBot="1" x14ac:dyDescent="0.35">
      <c r="B83" s="2"/>
      <c r="AS83" t="s">
        <v>8</v>
      </c>
      <c r="AT83" t="s">
        <v>9</v>
      </c>
      <c r="AU83" t="s">
        <v>10</v>
      </c>
      <c r="AV83" t="s">
        <v>11</v>
      </c>
      <c r="AW83" t="s">
        <v>12</v>
      </c>
      <c r="AX83" t="s">
        <v>13</v>
      </c>
      <c r="AZ83" t="s">
        <v>8</v>
      </c>
      <c r="BR83" t="s">
        <v>229</v>
      </c>
    </row>
    <row r="84" spans="2:78" ht="15" thickBot="1" x14ac:dyDescent="0.35">
      <c r="B84" s="2"/>
      <c r="AS84">
        <v>1</v>
      </c>
      <c r="AT84" t="s">
        <v>14</v>
      </c>
      <c r="AU84" s="1">
        <v>6639.2</v>
      </c>
      <c r="AV84" s="1">
        <v>0.113786</v>
      </c>
      <c r="AW84" s="1">
        <v>-1.2831199999999999E-7</v>
      </c>
      <c r="AX84" s="1">
        <v>-5.2697699999999998E-4</v>
      </c>
      <c r="AZ84" s="25" t="s">
        <v>330</v>
      </c>
      <c r="BN84" s="37">
        <v>59.540900000000001</v>
      </c>
      <c r="BO84" s="120">
        <v>8.9883880322274727</v>
      </c>
      <c r="BP84" s="20">
        <v>0.47714468527752563</v>
      </c>
      <c r="BQ84" s="20"/>
      <c r="BS84" s="25" t="s">
        <v>58</v>
      </c>
      <c r="BT84" s="25" t="s">
        <v>109</v>
      </c>
      <c r="BU84" s="33" t="s">
        <v>253</v>
      </c>
      <c r="BV84" s="109" t="s">
        <v>57</v>
      </c>
      <c r="BW84" s="114" t="s">
        <v>339</v>
      </c>
      <c r="BX84" s="122" t="s">
        <v>229</v>
      </c>
      <c r="BY84" s="53" t="s">
        <v>340</v>
      </c>
      <c r="BZ84" s="55" t="s">
        <v>229</v>
      </c>
    </row>
    <row r="85" spans="2:78" x14ac:dyDescent="0.3">
      <c r="B85" s="2"/>
      <c r="AS85">
        <v>2</v>
      </c>
      <c r="AT85" t="s">
        <v>3</v>
      </c>
      <c r="AU85" s="1">
        <v>27.652200000000001</v>
      </c>
      <c r="AV85" s="1">
        <v>0.32509399999999999</v>
      </c>
      <c r="AW85" s="1">
        <v>3.9033599999999998E-7</v>
      </c>
      <c r="AX85" s="1">
        <v>-1.1318599999999999E-3</v>
      </c>
      <c r="AZ85" t="s">
        <v>8</v>
      </c>
      <c r="BA85" t="s">
        <v>9</v>
      </c>
      <c r="BB85" t="s">
        <v>10</v>
      </c>
      <c r="BC85" t="s">
        <v>11</v>
      </c>
      <c r="BD85" t="s">
        <v>12</v>
      </c>
      <c r="BE85" t="s">
        <v>13</v>
      </c>
      <c r="BN85" s="37">
        <v>121.7817</v>
      </c>
      <c r="BO85" s="120">
        <v>27.483123730656622</v>
      </c>
      <c r="BP85" s="20">
        <v>1.4388964644758429</v>
      </c>
      <c r="BQ85" s="20"/>
      <c r="BS85" s="8" t="s">
        <v>70</v>
      </c>
      <c r="BT85" s="4">
        <v>59.540900000000001</v>
      </c>
      <c r="BU85" s="4">
        <f>BX81</f>
        <v>8.0765324095779505</v>
      </c>
      <c r="BV85" s="5">
        <f>BY81</f>
        <v>0.42873015746004023</v>
      </c>
      <c r="BW85" s="56">
        <f>$CB$68*BT85^($CB$69)</f>
        <v>12.64735037417104</v>
      </c>
      <c r="BX85" s="5">
        <f t="shared" ref="BX85:BX99" si="72">BU85-BW85</f>
        <v>-4.5708179645930898</v>
      </c>
      <c r="BY85" s="56">
        <f>$CB$72*BT85^$CB$73</f>
        <v>43.648496276560053</v>
      </c>
      <c r="BZ85" s="5">
        <f>BU85-BY85</f>
        <v>-35.571963866982102</v>
      </c>
    </row>
    <row r="86" spans="2:78" x14ac:dyDescent="0.3">
      <c r="B86" s="2"/>
      <c r="AS86">
        <v>3</v>
      </c>
      <c r="AT86" t="s">
        <v>15</v>
      </c>
      <c r="AU86" s="1">
        <v>19279</v>
      </c>
      <c r="AV86" s="1">
        <v>172.56800000000001</v>
      </c>
      <c r="AW86" s="1">
        <v>-4.3457000000000001E-7</v>
      </c>
      <c r="AX86" s="1">
        <v>1.4721299999999999E-4</v>
      </c>
      <c r="AZ86">
        <v>1</v>
      </c>
      <c r="BA86" t="s">
        <v>21</v>
      </c>
      <c r="BB86" s="1">
        <v>2350.1999999999998</v>
      </c>
      <c r="BC86" s="1">
        <v>4.5305999999999999E-2</v>
      </c>
      <c r="BD86" s="1">
        <v>7.08827E-6</v>
      </c>
      <c r="BE86" s="1">
        <v>-1.5463499999999999</v>
      </c>
      <c r="BN86" s="20">
        <v>244.69739999999999</v>
      </c>
      <c r="BO86" s="120">
        <v>16.62526055952182</v>
      </c>
      <c r="BP86" s="20">
        <v>0.87618883177195384</v>
      </c>
      <c r="BQ86" s="20"/>
      <c r="BS86" s="20" t="s">
        <v>29</v>
      </c>
      <c r="BT86" s="21">
        <v>121.7817</v>
      </c>
      <c r="BU86" s="21">
        <f>BX73</f>
        <v>18.426680924239331</v>
      </c>
      <c r="BV86" s="22">
        <f>BY73</f>
        <v>0.9647477142884765</v>
      </c>
      <c r="BW86" s="58">
        <f>$CB$68*BT86^($CB$69)</f>
        <v>9.2719208450985455</v>
      </c>
      <c r="BX86" s="22">
        <f t="shared" si="72"/>
        <v>9.1547600791407859</v>
      </c>
      <c r="BY86" s="58">
        <f>$CB$72*BT86^$CB$73</f>
        <v>23.558728196004051</v>
      </c>
      <c r="BZ86" s="22">
        <f t="shared" ref="BZ86:BZ99" si="73">BU86-BY86</f>
        <v>-5.1320472717647192</v>
      </c>
    </row>
    <row r="87" spans="2:78" x14ac:dyDescent="0.3">
      <c r="B87" s="2"/>
      <c r="AS87">
        <v>4</v>
      </c>
      <c r="AT87" t="s">
        <v>16</v>
      </c>
      <c r="AU87" s="1">
        <v>-46.993200000000002</v>
      </c>
      <c r="AV87" s="1">
        <v>41.098500000000001</v>
      </c>
      <c r="AW87" s="1">
        <v>-0.120047</v>
      </c>
      <c r="AX87" s="1">
        <v>9.8452500000000001E-9</v>
      </c>
      <c r="AZ87">
        <v>2</v>
      </c>
      <c r="BA87" t="s">
        <v>22</v>
      </c>
      <c r="BB87" s="1">
        <v>14.023899999999999</v>
      </c>
      <c r="BC87" s="1">
        <v>0.108636</v>
      </c>
      <c r="BD87" s="1">
        <v>4.4822299999999999E-5</v>
      </c>
      <c r="BE87" s="1">
        <v>0.45091900000000001</v>
      </c>
      <c r="BN87" s="20">
        <v>276.39890000000003</v>
      </c>
      <c r="BO87" s="120">
        <v>11.82389229536569</v>
      </c>
      <c r="BP87" s="20">
        <v>0.60404961462693929</v>
      </c>
      <c r="BQ87" s="20"/>
      <c r="BS87" s="20" t="s">
        <v>29</v>
      </c>
      <c r="BT87" s="21">
        <v>244.69739999999999</v>
      </c>
      <c r="BU87" s="21">
        <f>BX74</f>
        <v>11.146781370813631</v>
      </c>
      <c r="BV87" s="22">
        <f>BY74</f>
        <v>0.58746484698309809</v>
      </c>
      <c r="BW87" s="58">
        <f t="shared" ref="BW87:BW99" si="74">$CB$68*BT87^($CB$69)</f>
        <v>6.8499751802982143</v>
      </c>
      <c r="BX87" s="22">
        <f t="shared" si="72"/>
        <v>4.2968061905154169</v>
      </c>
      <c r="BY87" s="58">
        <f t="shared" ref="BY87:BY99" si="75">$CB$72*BT87^$CB$73</f>
        <v>12.911802404237909</v>
      </c>
      <c r="BZ87" s="22">
        <f t="shared" si="73"/>
        <v>-1.7650210334242775</v>
      </c>
    </row>
    <row r="88" spans="2:78" ht="15" thickBot="1" x14ac:dyDescent="0.35">
      <c r="B88" s="2"/>
      <c r="AS88">
        <v>5</v>
      </c>
      <c r="AT88" t="s">
        <v>17</v>
      </c>
      <c r="AU88" s="1">
        <v>2.42046E-2</v>
      </c>
      <c r="AV88" s="1">
        <v>6.1931099999999999E-3</v>
      </c>
      <c r="AW88" s="1">
        <v>1.80927E-5</v>
      </c>
      <c r="AX88" s="1">
        <v>1.30328E-5</v>
      </c>
      <c r="AZ88">
        <v>3</v>
      </c>
      <c r="BA88" t="s">
        <v>23</v>
      </c>
      <c r="BB88" s="1">
        <v>22978.3</v>
      </c>
      <c r="BC88" s="1">
        <v>163.33699999999999</v>
      </c>
      <c r="BD88" s="1">
        <v>1.16836E-4</v>
      </c>
      <c r="BE88" s="1">
        <v>-1.5671399999999999E-2</v>
      </c>
      <c r="BN88" s="20">
        <v>302.85079999999999</v>
      </c>
      <c r="BO88" s="120">
        <v>11.874893142729809</v>
      </c>
      <c r="BP88" s="20">
        <v>0.60301073589916943</v>
      </c>
      <c r="BQ88" s="20"/>
      <c r="BS88" s="20" t="s">
        <v>59</v>
      </c>
      <c r="BT88" s="21">
        <v>276.39890000000003</v>
      </c>
      <c r="BU88" s="21">
        <f>BX69</f>
        <v>16.279116632067051</v>
      </c>
      <c r="BV88" s="22">
        <f>BY69</f>
        <v>0.83167444835736892</v>
      </c>
      <c r="BW88" s="58">
        <f t="shared" si="74"/>
        <v>6.4973263376588859</v>
      </c>
      <c r="BX88" s="22">
        <f t="shared" si="72"/>
        <v>9.7817902944081645</v>
      </c>
      <c r="BY88" s="58">
        <f t="shared" si="75"/>
        <v>11.624970744029016</v>
      </c>
      <c r="BZ88" s="22">
        <f t="shared" si="73"/>
        <v>4.6541458880380357</v>
      </c>
    </row>
    <row r="89" spans="2:78" ht="15" thickBot="1" x14ac:dyDescent="0.35">
      <c r="B89" s="2"/>
      <c r="AS89" s="25">
        <v>964</v>
      </c>
      <c r="AZ89">
        <v>4</v>
      </c>
      <c r="BA89" t="s">
        <v>24</v>
      </c>
      <c r="BB89" s="1">
        <v>2576.1999999999998</v>
      </c>
      <c r="BC89" s="1">
        <v>2.75188E-2</v>
      </c>
      <c r="BD89" s="1">
        <v>3.9354999999999998E-6</v>
      </c>
      <c r="BE89" s="1">
        <v>-4.1627299999999998</v>
      </c>
      <c r="BN89" s="20">
        <v>344.27850000000001</v>
      </c>
      <c r="BO89" s="120">
        <v>14.249217568662839</v>
      </c>
      <c r="BP89" s="20">
        <v>0.75026547704765523</v>
      </c>
      <c r="BQ89" s="20"/>
      <c r="BS89" s="20" t="s">
        <v>59</v>
      </c>
      <c r="BT89" s="21">
        <v>302.85079999999999</v>
      </c>
      <c r="BU89" s="21">
        <f>BX70</f>
        <v>16.349334519868698</v>
      </c>
      <c r="BV89" s="22">
        <f>BY70</f>
        <v>0.83024432806899451</v>
      </c>
      <c r="BW89" s="58">
        <f t="shared" si="74"/>
        <v>6.2447297715301175</v>
      </c>
      <c r="BX89" s="22">
        <f t="shared" si="72"/>
        <v>10.104604748338581</v>
      </c>
      <c r="BY89" s="58">
        <f t="shared" si="75"/>
        <v>10.744472637278783</v>
      </c>
      <c r="BZ89" s="22">
        <f t="shared" si="73"/>
        <v>5.6048618825899155</v>
      </c>
    </row>
    <row r="90" spans="2:78" x14ac:dyDescent="0.3">
      <c r="B90" s="2"/>
      <c r="AS90" t="s">
        <v>8</v>
      </c>
      <c r="AT90" t="s">
        <v>9</v>
      </c>
      <c r="AU90" t="s">
        <v>10</v>
      </c>
      <c r="AV90" t="s">
        <v>11</v>
      </c>
      <c r="AW90" t="s">
        <v>12</v>
      </c>
      <c r="AX90" t="s">
        <v>13</v>
      </c>
      <c r="AZ90">
        <v>5</v>
      </c>
      <c r="BA90" t="s">
        <v>25</v>
      </c>
      <c r="BB90" s="1">
        <v>14.745100000000001</v>
      </c>
      <c r="BC90" s="1">
        <v>6.5602499999999994E-2</v>
      </c>
      <c r="BD90" s="1">
        <v>2.6834000000000001E-5</v>
      </c>
      <c r="BE90" s="1">
        <v>2.27259E-2</v>
      </c>
      <c r="BN90" s="20">
        <v>356.0129</v>
      </c>
      <c r="BO90" s="120">
        <v>10.188573282183965</v>
      </c>
      <c r="BP90" s="20">
        <v>0.51111167389149503</v>
      </c>
      <c r="BQ90" s="20"/>
      <c r="BS90" s="20" t="s">
        <v>29</v>
      </c>
      <c r="BT90" s="21">
        <v>344.27850000000001</v>
      </c>
      <c r="BU90" s="21">
        <f>BX75</f>
        <v>9.5537096922112603</v>
      </c>
      <c r="BV90" s="22">
        <f>BY75</f>
        <v>0.50303608498249386</v>
      </c>
      <c r="BW90" s="58">
        <f t="shared" si="74"/>
        <v>5.9068467451284183</v>
      </c>
      <c r="BX90" s="22">
        <f t="shared" si="72"/>
        <v>3.646862947082842</v>
      </c>
      <c r="BY90" s="58">
        <f t="shared" si="75"/>
        <v>9.6205364348716493</v>
      </c>
      <c r="BZ90" s="22">
        <f t="shared" si="73"/>
        <v>-6.6826742660389016E-2</v>
      </c>
    </row>
    <row r="91" spans="2:78" x14ac:dyDescent="0.3">
      <c r="B91" s="2"/>
      <c r="AS91">
        <v>1</v>
      </c>
      <c r="AT91" t="s">
        <v>14</v>
      </c>
      <c r="AU91" s="1">
        <v>8219.27</v>
      </c>
      <c r="AV91" s="1">
        <v>0.12986</v>
      </c>
      <c r="AW91" s="1">
        <v>-1.2373999999999999E-7</v>
      </c>
      <c r="AX91" s="1">
        <v>-7.3516100000000002E-4</v>
      </c>
      <c r="AZ91">
        <v>6</v>
      </c>
      <c r="BA91" t="s">
        <v>26</v>
      </c>
      <c r="BB91" s="1">
        <v>59111.7</v>
      </c>
      <c r="BC91" s="1">
        <v>249.298</v>
      </c>
      <c r="BD91" s="1">
        <v>1.37937E-4</v>
      </c>
      <c r="BE91" s="1">
        <v>8.2597499999999997E-3</v>
      </c>
      <c r="BN91" s="20">
        <v>383.8485</v>
      </c>
      <c r="BO91" s="120">
        <v>11.311723436929345</v>
      </c>
      <c r="BP91" s="20">
        <v>0.57614615224727495</v>
      </c>
      <c r="BQ91" s="20"/>
      <c r="BS91" s="20" t="s">
        <v>59</v>
      </c>
      <c r="BT91" s="21">
        <v>356.0129</v>
      </c>
      <c r="BU91" s="21">
        <f>BX71</f>
        <v>14.027611942984567</v>
      </c>
      <c r="BV91" s="22">
        <f>BY71</f>
        <v>0.70371520143240729</v>
      </c>
      <c r="BW91" s="58">
        <f t="shared" si="74"/>
        <v>5.8215747793721659</v>
      </c>
      <c r="BX91" s="22">
        <f t="shared" si="72"/>
        <v>8.2060371636124003</v>
      </c>
      <c r="BY91" s="58">
        <f t="shared" si="75"/>
        <v>9.3466317105319305</v>
      </c>
      <c r="BZ91" s="22">
        <f t="shared" si="73"/>
        <v>4.6809802324526366</v>
      </c>
    </row>
    <row r="92" spans="2:78" x14ac:dyDescent="0.3">
      <c r="B92" s="2"/>
      <c r="AS92">
        <v>2</v>
      </c>
      <c r="AT92" t="s">
        <v>3</v>
      </c>
      <c r="AU92" s="1">
        <v>32.567799999999998</v>
      </c>
      <c r="AV92" s="1">
        <v>0.37983899999999998</v>
      </c>
      <c r="AW92" s="1">
        <v>7.7137799999999992E-6</v>
      </c>
      <c r="AX92" s="1">
        <v>-1.53491E-3</v>
      </c>
      <c r="AZ92">
        <v>7</v>
      </c>
      <c r="BA92" t="s">
        <v>16</v>
      </c>
      <c r="BB92" s="1">
        <v>269.96699999999998</v>
      </c>
      <c r="BC92" s="1">
        <v>6.3870899999999997</v>
      </c>
      <c r="BD92" s="1">
        <v>1.50572E-2</v>
      </c>
      <c r="BE92" s="1">
        <v>2.49063E-4</v>
      </c>
      <c r="BN92" s="37">
        <v>778.90449999999998</v>
      </c>
      <c r="BO92" s="120">
        <v>5.7535870573110142</v>
      </c>
      <c r="BP92" s="20">
        <v>0.30567305606011003</v>
      </c>
      <c r="BQ92" s="20"/>
      <c r="BS92" s="20" t="s">
        <v>59</v>
      </c>
      <c r="BT92" s="21">
        <v>383.8485</v>
      </c>
      <c r="BU92" s="21">
        <f>BX72</f>
        <v>15.573963339604649</v>
      </c>
      <c r="BV92" s="22">
        <f>BY72</f>
        <v>0.79325620102934702</v>
      </c>
      <c r="BW92" s="58">
        <f t="shared" si="74"/>
        <v>5.6345047216596154</v>
      </c>
      <c r="BX92" s="22">
        <f t="shared" si="72"/>
        <v>9.9394586179450339</v>
      </c>
      <c r="BY92" s="58">
        <f t="shared" si="75"/>
        <v>8.7595031770113589</v>
      </c>
      <c r="BZ92" s="22">
        <f t="shared" si="73"/>
        <v>6.8144601625932903</v>
      </c>
    </row>
    <row r="93" spans="2:78" ht="15" thickBot="1" x14ac:dyDescent="0.35">
      <c r="B93" s="2"/>
      <c r="AS93">
        <v>3</v>
      </c>
      <c r="AT93" t="s">
        <v>15</v>
      </c>
      <c r="AU93" s="1">
        <v>20086.400000000001</v>
      </c>
      <c r="AV93" s="1">
        <v>167.8</v>
      </c>
      <c r="AW93" s="1">
        <v>1.41337E-5</v>
      </c>
      <c r="AX93" s="1">
        <v>2.9054799999999998E-5</v>
      </c>
      <c r="AZ93">
        <v>8</v>
      </c>
      <c r="BA93" t="s">
        <v>17</v>
      </c>
      <c r="BB93" s="1">
        <v>-7.5132400000000002E-2</v>
      </c>
      <c r="BC93" s="1">
        <v>2.53338E-3</v>
      </c>
      <c r="BD93" s="1">
        <v>5.97738E-6</v>
      </c>
      <c r="BE93" s="1">
        <v>0.94337400000000005</v>
      </c>
      <c r="BN93" s="37">
        <v>964.05700000000002</v>
      </c>
      <c r="BO93" s="120">
        <v>5.3417973074364529</v>
      </c>
      <c r="BP93" s="20">
        <v>0.28251885826606959</v>
      </c>
      <c r="BQ93" s="20"/>
      <c r="BS93" s="20" t="s">
        <v>29</v>
      </c>
      <c r="BT93" s="21">
        <v>778.90449999999998</v>
      </c>
      <c r="BU93" s="21">
        <f t="shared" ref="BU93:BV96" si="76">BX76</f>
        <v>3.8576223690555786</v>
      </c>
      <c r="BV93" s="22">
        <f t="shared" si="76"/>
        <v>0.20494686515403196</v>
      </c>
      <c r="BW93" s="58">
        <f t="shared" si="74"/>
        <v>4.1449508340530778</v>
      </c>
      <c r="BX93" s="22">
        <f t="shared" si="72"/>
        <v>-0.2873284649974992</v>
      </c>
      <c r="BY93" s="58">
        <f t="shared" si="75"/>
        <v>4.7602368932744161</v>
      </c>
      <c r="BZ93" s="22">
        <f t="shared" si="73"/>
        <v>-0.90261452421883748</v>
      </c>
    </row>
    <row r="94" spans="2:78" ht="15" thickBot="1" x14ac:dyDescent="0.35">
      <c r="B94" s="2"/>
      <c r="AS94">
        <v>4</v>
      </c>
      <c r="AT94" t="s">
        <v>16</v>
      </c>
      <c r="AU94" s="1">
        <v>225.93100000000001</v>
      </c>
      <c r="AV94" s="1">
        <v>30.735099999999999</v>
      </c>
      <c r="AW94" s="1">
        <v>-0.636382</v>
      </c>
      <c r="AX94" s="1">
        <v>-6.2015899999999999E-8</v>
      </c>
      <c r="AZ94" s="25" t="s">
        <v>331</v>
      </c>
      <c r="BN94" s="37">
        <v>1085.837</v>
      </c>
      <c r="BO94" s="120">
        <v>5.6818692957452148</v>
      </c>
      <c r="BP94" s="20">
        <v>0.30323363543159854</v>
      </c>
      <c r="BQ94" s="20"/>
      <c r="BS94" s="20" t="s">
        <v>29</v>
      </c>
      <c r="BT94" s="21">
        <v>964.05700000000002</v>
      </c>
      <c r="BU94" s="21">
        <f t="shared" si="76"/>
        <v>3.5815286322891571</v>
      </c>
      <c r="BV94" s="22">
        <f t="shared" si="76"/>
        <v>0.18942251187273818</v>
      </c>
      <c r="BW94" s="58">
        <f t="shared" si="74"/>
        <v>3.7786419004936378</v>
      </c>
      <c r="BX94" s="22">
        <f t="shared" si="72"/>
        <v>-0.19711326820448072</v>
      </c>
      <c r="BY94" s="58">
        <f t="shared" si="75"/>
        <v>3.9610499002543209</v>
      </c>
      <c r="BZ94" s="22">
        <f t="shared" si="73"/>
        <v>-0.37952126796516383</v>
      </c>
    </row>
    <row r="95" spans="2:78" ht="15" thickBot="1" x14ac:dyDescent="0.35">
      <c r="AS95">
        <v>5</v>
      </c>
      <c r="AT95" t="s">
        <v>17</v>
      </c>
      <c r="AU95" s="1">
        <v>-1.88218E-2</v>
      </c>
      <c r="AV95" s="1">
        <v>3.7157399999999999E-3</v>
      </c>
      <c r="AW95" s="1">
        <v>7.6937199999999999E-5</v>
      </c>
      <c r="AX95" s="1">
        <v>-1.4993599999999999E-3</v>
      </c>
      <c r="AZ95" t="s">
        <v>8</v>
      </c>
      <c r="BA95" t="s">
        <v>9</v>
      </c>
      <c r="BB95" t="s">
        <v>10</v>
      </c>
      <c r="BC95" t="s">
        <v>11</v>
      </c>
      <c r="BD95" t="s">
        <v>12</v>
      </c>
      <c r="BE95" t="s">
        <v>13</v>
      </c>
      <c r="BN95" s="37">
        <v>1112.076</v>
      </c>
      <c r="BO95" s="120">
        <v>5.0535088005212625</v>
      </c>
      <c r="BP95" s="20">
        <v>0.26841273998747955</v>
      </c>
      <c r="BQ95" s="20"/>
      <c r="BS95" s="20" t="s">
        <v>29</v>
      </c>
      <c r="BT95" s="21">
        <v>1085.837</v>
      </c>
      <c r="BU95" s="21">
        <f t="shared" si="76"/>
        <v>3.8095375762960293</v>
      </c>
      <c r="BV95" s="22">
        <f t="shared" si="76"/>
        <v>0.20331127575585717</v>
      </c>
      <c r="BW95" s="58">
        <f t="shared" si="74"/>
        <v>3.588571390658521</v>
      </c>
      <c r="BX95" s="22">
        <f t="shared" si="72"/>
        <v>0.22096618563750825</v>
      </c>
      <c r="BY95" s="58">
        <f t="shared" si="75"/>
        <v>3.5751006602331814</v>
      </c>
      <c r="BZ95" s="22">
        <f t="shared" si="73"/>
        <v>0.23443691606284789</v>
      </c>
    </row>
    <row r="96" spans="2:78" ht="15" thickBot="1" x14ac:dyDescent="0.35">
      <c r="B96" s="2"/>
      <c r="AS96" s="25">
        <v>1085</v>
      </c>
      <c r="AZ96">
        <v>1</v>
      </c>
      <c r="BA96" t="s">
        <v>21</v>
      </c>
      <c r="BB96" s="1">
        <v>3030.38</v>
      </c>
      <c r="BC96" s="1">
        <v>1.6767399999999998E-2</v>
      </c>
      <c r="BD96" s="1">
        <v>-3.9703500000000002E-8</v>
      </c>
      <c r="BE96" s="1">
        <v>-9.6262799999999992E-3</v>
      </c>
      <c r="BN96" s="37">
        <v>1173.2280000000001</v>
      </c>
      <c r="BO96" s="120">
        <v>2.4695225581287392</v>
      </c>
      <c r="BP96" s="20">
        <v>6.6822426555970371E-2</v>
      </c>
      <c r="BQ96" s="20"/>
      <c r="BS96" s="20" t="s">
        <v>29</v>
      </c>
      <c r="BT96" s="21">
        <v>1112.076</v>
      </c>
      <c r="BU96" s="21">
        <f t="shared" si="76"/>
        <v>3.3882390927479897</v>
      </c>
      <c r="BV96" s="22">
        <f t="shared" si="76"/>
        <v>0.17996466725847451</v>
      </c>
      <c r="BW96" s="58">
        <f t="shared" si="74"/>
        <v>3.5515874640294389</v>
      </c>
      <c r="BX96" s="22">
        <f t="shared" si="72"/>
        <v>-0.16334837128144919</v>
      </c>
      <c r="BY96" s="58">
        <f t="shared" si="75"/>
        <v>3.5022858903901084</v>
      </c>
      <c r="BZ96" s="22">
        <f t="shared" si="73"/>
        <v>-0.11404679764211867</v>
      </c>
    </row>
    <row r="97" spans="2:80" x14ac:dyDescent="0.3">
      <c r="B97" s="2"/>
      <c r="AS97" t="s">
        <v>8</v>
      </c>
      <c r="AT97" t="s">
        <v>9</v>
      </c>
      <c r="AU97" t="s">
        <v>10</v>
      </c>
      <c r="AV97" t="s">
        <v>11</v>
      </c>
      <c r="AW97" t="s">
        <v>12</v>
      </c>
      <c r="AX97" t="s">
        <v>13</v>
      </c>
      <c r="AZ97">
        <v>2</v>
      </c>
      <c r="BA97" t="s">
        <v>22</v>
      </c>
      <c r="BB97" s="1">
        <v>15.758699999999999</v>
      </c>
      <c r="BC97" s="1">
        <v>4.0637699999999999E-2</v>
      </c>
      <c r="BD97" s="1">
        <v>-2.7598600000000002E-7</v>
      </c>
      <c r="BE97" s="1">
        <v>-5.85338E-3</v>
      </c>
      <c r="BN97" s="37">
        <v>1332.492</v>
      </c>
      <c r="BO97" s="120">
        <v>2.1276483510186912</v>
      </c>
      <c r="BP97" s="20">
        <v>5.8403177076329187E-2</v>
      </c>
      <c r="BQ97" s="20"/>
      <c r="BS97" s="20" t="s">
        <v>20</v>
      </c>
      <c r="BT97" s="21">
        <v>1173.2280000000001</v>
      </c>
      <c r="BU97" s="21">
        <f>BX67</f>
        <v>3.4276638939313027</v>
      </c>
      <c r="BV97" s="22">
        <f>BY67</f>
        <v>9.2742924409871114E-2</v>
      </c>
      <c r="BW97" s="58">
        <f t="shared" si="74"/>
        <v>3.4700530306315702</v>
      </c>
      <c r="BX97" s="22">
        <f t="shared" si="72"/>
        <v>-4.238913670026756E-2</v>
      </c>
      <c r="BY97" s="58">
        <f t="shared" si="75"/>
        <v>3.3443875908556064</v>
      </c>
      <c r="BZ97" s="22">
        <f t="shared" si="73"/>
        <v>8.3276303075696223E-2</v>
      </c>
    </row>
    <row r="98" spans="2:80" ht="15" thickBot="1" x14ac:dyDescent="0.35">
      <c r="B98" s="2"/>
      <c r="AS98">
        <v>1</v>
      </c>
      <c r="AT98" t="s">
        <v>21</v>
      </c>
      <c r="AU98" s="1">
        <v>9258.41</v>
      </c>
      <c r="AV98" s="1">
        <v>0.142598</v>
      </c>
      <c r="AW98" s="1">
        <v>1.1207600000000001E-6</v>
      </c>
      <c r="AX98" s="1">
        <v>1.12867E-2</v>
      </c>
      <c r="AZ98">
        <v>3</v>
      </c>
      <c r="BA98" t="s">
        <v>23</v>
      </c>
      <c r="BB98" s="1">
        <v>171593</v>
      </c>
      <c r="BC98" s="1">
        <v>418.10700000000003</v>
      </c>
      <c r="BD98" s="1">
        <v>-1.77524E-6</v>
      </c>
      <c r="BE98" s="1">
        <v>-1.67975E-3</v>
      </c>
      <c r="BN98" s="38">
        <v>1408.0129999999999</v>
      </c>
      <c r="BO98" s="121">
        <v>3.9883613598426524</v>
      </c>
      <c r="BP98" s="9">
        <v>0.21011860259767889</v>
      </c>
      <c r="BQ98" s="9"/>
      <c r="BS98" s="20" t="s">
        <v>20</v>
      </c>
      <c r="BT98" s="21">
        <v>1332.492</v>
      </c>
      <c r="BU98" s="21">
        <f>BX68</f>
        <v>2.9531471205897191</v>
      </c>
      <c r="BV98" s="22">
        <f>BY68</f>
        <v>8.1057978985432808E-2</v>
      </c>
      <c r="BW98" s="58">
        <f t="shared" si="74"/>
        <v>3.2836077339745886</v>
      </c>
      <c r="BX98" s="22">
        <f t="shared" si="72"/>
        <v>-0.33046061338486954</v>
      </c>
      <c r="BY98" s="58">
        <f t="shared" si="75"/>
        <v>2.9969164266996509</v>
      </c>
      <c r="BZ98" s="22">
        <f t="shared" si="73"/>
        <v>-4.3769306109931794E-2</v>
      </c>
    </row>
    <row r="99" spans="2:80" ht="15" thickBot="1" x14ac:dyDescent="0.35">
      <c r="B99" s="2"/>
      <c r="AS99">
        <v>2</v>
      </c>
      <c r="AT99" t="s">
        <v>22</v>
      </c>
      <c r="AU99" s="1">
        <v>27.645399999999999</v>
      </c>
      <c r="AV99" s="1">
        <v>0.33326299999999998</v>
      </c>
      <c r="AW99" s="1">
        <v>-5.8638399999999999E-7</v>
      </c>
      <c r="AX99" s="1">
        <v>3.9914699999999998E-4</v>
      </c>
      <c r="AZ99">
        <v>4</v>
      </c>
      <c r="BA99" t="s">
        <v>24</v>
      </c>
      <c r="BB99" s="1">
        <v>3267.94</v>
      </c>
      <c r="BC99" s="1">
        <v>4.3410999999999998E-2</v>
      </c>
      <c r="BD99" s="1">
        <v>1.18593E-7</v>
      </c>
      <c r="BE99" s="1">
        <v>-1.02176E-2</v>
      </c>
      <c r="BS99" s="9" t="s">
        <v>29</v>
      </c>
      <c r="BT99" s="6">
        <v>1408.0129999999999</v>
      </c>
      <c r="BU99" s="6">
        <f>BX80</f>
        <v>2.6740869381746211</v>
      </c>
      <c r="BV99" s="7">
        <f>BY80</f>
        <v>0.14087978401893983</v>
      </c>
      <c r="BW99" s="60">
        <f t="shared" si="74"/>
        <v>3.2060015082650852</v>
      </c>
      <c r="BX99" s="7">
        <f t="shared" si="72"/>
        <v>-0.53191457009046417</v>
      </c>
      <c r="BY99" s="60">
        <f t="shared" si="75"/>
        <v>2.8578633933198447</v>
      </c>
      <c r="BZ99" s="7">
        <f t="shared" si="73"/>
        <v>-0.18377645514522367</v>
      </c>
    </row>
    <row r="100" spans="2:80" x14ac:dyDescent="0.3">
      <c r="B100" s="2"/>
      <c r="AS100">
        <v>3</v>
      </c>
      <c r="AT100" t="s">
        <v>23</v>
      </c>
      <c r="AU100" s="1">
        <v>14886.4</v>
      </c>
      <c r="AV100" s="1">
        <v>162.82499999999999</v>
      </c>
      <c r="AW100" s="1">
        <v>-8.4925200000000001E-7</v>
      </c>
      <c r="AX100" s="1">
        <v>2.73501E-4</v>
      </c>
      <c r="AZ100">
        <v>5</v>
      </c>
      <c r="BA100" t="s">
        <v>25</v>
      </c>
      <c r="BB100" s="1">
        <v>15.893599999999999</v>
      </c>
      <c r="BC100" s="1">
        <v>0.103563</v>
      </c>
      <c r="BD100" s="1">
        <v>6.2075700000000003E-7</v>
      </c>
      <c r="BE100" s="1">
        <v>-1.48409E-3</v>
      </c>
    </row>
    <row r="101" spans="2:80" x14ac:dyDescent="0.3">
      <c r="B101" s="2"/>
      <c r="AS101" s="28">
        <v>4</v>
      </c>
      <c r="AT101" s="28" t="s">
        <v>24</v>
      </c>
      <c r="AU101" s="44">
        <v>9294.16</v>
      </c>
      <c r="AV101" s="44">
        <v>0.49263800000000002</v>
      </c>
      <c r="AW101" s="44">
        <v>6.9548400000000004E-7</v>
      </c>
      <c r="AX101" s="44">
        <v>-2.8708499999999999E-3</v>
      </c>
      <c r="AZ101">
        <v>6</v>
      </c>
      <c r="BA101" t="s">
        <v>26</v>
      </c>
      <c r="BB101" s="1">
        <v>27448</v>
      </c>
      <c r="BC101" s="1">
        <v>170.47399999999999</v>
      </c>
      <c r="BD101" s="1">
        <v>1.8658E-6</v>
      </c>
      <c r="BE101" s="1">
        <v>4.19396E-3</v>
      </c>
    </row>
    <row r="102" spans="2:80" x14ac:dyDescent="0.3">
      <c r="B102" s="2"/>
      <c r="AS102" s="28">
        <v>5</v>
      </c>
      <c r="AT102" s="28" t="s">
        <v>26</v>
      </c>
      <c r="AU102" s="44">
        <v>4000.28</v>
      </c>
      <c r="AV102" s="44">
        <v>102.32</v>
      </c>
      <c r="AW102" s="44">
        <v>6.2290800000000001E-7</v>
      </c>
      <c r="AX102" s="44">
        <v>9.3970999999999996E-4</v>
      </c>
      <c r="AZ102">
        <v>7</v>
      </c>
      <c r="BA102" t="s">
        <v>16</v>
      </c>
      <c r="BB102" s="1">
        <v>535.00099999999998</v>
      </c>
      <c r="BC102" s="1">
        <v>8.48583</v>
      </c>
      <c r="BD102" s="1">
        <v>7.6733200000000001E-2</v>
      </c>
      <c r="BE102" s="1">
        <v>-1.5318600000000001E-7</v>
      </c>
      <c r="BV102">
        <v>1</v>
      </c>
      <c r="BW102" t="s">
        <v>255</v>
      </c>
      <c r="BX102" s="1">
        <v>74.477400000000003</v>
      </c>
      <c r="BY102" s="1">
        <v>5.3448900000000004</v>
      </c>
      <c r="BZ102" t="s">
        <v>368</v>
      </c>
    </row>
    <row r="103" spans="2:80" x14ac:dyDescent="0.3">
      <c r="B103" s="2"/>
      <c r="AS103">
        <v>6</v>
      </c>
      <c r="AT103" t="s">
        <v>16</v>
      </c>
      <c r="AU103" s="1">
        <v>-930.42600000000004</v>
      </c>
      <c r="AV103" s="1">
        <v>0.58815899999999999</v>
      </c>
      <c r="AW103" s="1">
        <v>-5.8307900000000003E-6</v>
      </c>
      <c r="AX103" s="1">
        <v>-6.0193199999999998E-5</v>
      </c>
      <c r="AZ103">
        <v>8</v>
      </c>
      <c r="BA103" t="s">
        <v>17</v>
      </c>
      <c r="BB103" s="1">
        <v>-0.15290599999999999</v>
      </c>
      <c r="BC103" s="1">
        <v>2.6493699999999999E-3</v>
      </c>
      <c r="BD103" s="1">
        <v>-2.3963699999999999E-5</v>
      </c>
      <c r="BE103" s="1">
        <v>-5.30793E-4</v>
      </c>
      <c r="BW103" t="s">
        <v>369</v>
      </c>
      <c r="BX103" s="1">
        <v>-0.43386200000000003</v>
      </c>
      <c r="BY103" s="1">
        <v>1.0810699999999999E-2</v>
      </c>
      <c r="BZ103" t="s">
        <v>370</v>
      </c>
    </row>
    <row r="104" spans="2:80" ht="15" thickBot="1" x14ac:dyDescent="0.35">
      <c r="B104" s="2"/>
      <c r="AS104">
        <v>7</v>
      </c>
      <c r="AT104" t="s">
        <v>17</v>
      </c>
      <c r="AU104" s="1">
        <v>0.107432</v>
      </c>
      <c r="AV104" s="1">
        <v>6.3586399999999998E-5</v>
      </c>
      <c r="AW104" s="1">
        <v>-3.19639E-9</v>
      </c>
      <c r="AX104" s="1">
        <v>0.53386400000000001</v>
      </c>
    </row>
    <row r="105" spans="2:80" ht="15" thickBot="1" x14ac:dyDescent="0.35">
      <c r="B105" s="2"/>
      <c r="AS105" s="25">
        <v>1112</v>
      </c>
      <c r="BW105">
        <v>1</v>
      </c>
      <c r="BX105" t="s">
        <v>255</v>
      </c>
      <c r="BY105" s="1">
        <v>1477.4</v>
      </c>
      <c r="BZ105" s="1">
        <v>147.04599999999999</v>
      </c>
      <c r="CA105" t="s">
        <v>372</v>
      </c>
      <c r="CB105" t="s">
        <v>13</v>
      </c>
    </row>
    <row r="106" spans="2:80" x14ac:dyDescent="0.3">
      <c r="B106" s="2"/>
      <c r="AS106" t="s">
        <v>8</v>
      </c>
      <c r="AT106" t="s">
        <v>9</v>
      </c>
      <c r="AU106" t="s">
        <v>10</v>
      </c>
      <c r="AV106" t="s">
        <v>11</v>
      </c>
      <c r="AW106" t="s">
        <v>12</v>
      </c>
      <c r="AX106" t="s">
        <v>13</v>
      </c>
      <c r="BX106" t="s">
        <v>369</v>
      </c>
      <c r="BY106" s="1">
        <v>-0.86179600000000001</v>
      </c>
      <c r="BZ106" s="1">
        <v>1.5069300000000001E-2</v>
      </c>
      <c r="CA106" s="1" t="s">
        <v>373</v>
      </c>
      <c r="CB106" s="1">
        <v>-4.19083E-5</v>
      </c>
    </row>
    <row r="107" spans="2:80" x14ac:dyDescent="0.3">
      <c r="B107" s="2"/>
      <c r="AS107">
        <v>1</v>
      </c>
      <c r="AT107" t="s">
        <v>21</v>
      </c>
      <c r="AU107" s="1">
        <v>9484.07</v>
      </c>
      <c r="AV107" s="1">
        <v>0.149232</v>
      </c>
      <c r="AW107" s="1">
        <v>-6.75894E-7</v>
      </c>
      <c r="AX107" s="1">
        <v>1.8761400000000001E-3</v>
      </c>
      <c r="BW107">
        <v>2</v>
      </c>
      <c r="BX107" t="s">
        <v>256</v>
      </c>
      <c r="BY107" s="1">
        <v>-0.86179600000000001</v>
      </c>
      <c r="BZ107" s="1">
        <v>1.5069300000000001E-2</v>
      </c>
      <c r="CA107" s="1">
        <v>1.44366E-5</v>
      </c>
      <c r="CB107" s="1">
        <v>-0.42327700000000001</v>
      </c>
    </row>
    <row r="108" spans="2:80" x14ac:dyDescent="0.3">
      <c r="B108" s="2"/>
      <c r="AS108">
        <v>2</v>
      </c>
      <c r="AT108" t="s">
        <v>22</v>
      </c>
      <c r="AU108" s="1">
        <v>36.533200000000001</v>
      </c>
      <c r="AV108" s="1">
        <v>0.46172200000000002</v>
      </c>
      <c r="AW108" s="1">
        <v>3.4075999999999997E-5</v>
      </c>
      <c r="AX108" s="1">
        <v>-1.87557E-3</v>
      </c>
    </row>
    <row r="109" spans="2:80" x14ac:dyDescent="0.3">
      <c r="B109" s="2"/>
      <c r="AS109">
        <v>3</v>
      </c>
      <c r="AT109" t="s">
        <v>23</v>
      </c>
      <c r="AU109" s="1">
        <v>17902.3</v>
      </c>
      <c r="AV109" s="1">
        <v>162.84800000000001</v>
      </c>
      <c r="AW109" s="1">
        <v>6.4154599999999997E-5</v>
      </c>
      <c r="AX109" s="1">
        <v>-1.9474999999999999E-4</v>
      </c>
    </row>
    <row r="110" spans="2:80" x14ac:dyDescent="0.3">
      <c r="B110" s="2"/>
      <c r="AS110" s="28">
        <v>4</v>
      </c>
      <c r="AT110" s="28" t="s">
        <v>24</v>
      </c>
      <c r="AU110" s="44">
        <v>9567.3799999999992</v>
      </c>
      <c r="AV110" s="44">
        <v>0.76408900000000002</v>
      </c>
      <c r="AW110" s="44">
        <v>-3.3643399999999997E-5</v>
      </c>
      <c r="AX110" s="44">
        <v>1.36483E-3</v>
      </c>
    </row>
    <row r="111" spans="2:80" x14ac:dyDescent="0.3">
      <c r="B111" s="2"/>
      <c r="AS111" s="28">
        <v>5</v>
      </c>
      <c r="AT111" s="28" t="s">
        <v>26</v>
      </c>
      <c r="AU111" s="44">
        <v>3161.37</v>
      </c>
      <c r="AV111" s="44">
        <v>95.682699999999997</v>
      </c>
      <c r="AW111" s="44">
        <v>-1.9947499999999998E-6</v>
      </c>
      <c r="AX111" s="44">
        <v>7.3566400000000002E-4</v>
      </c>
    </row>
    <row r="112" spans="2:80" x14ac:dyDescent="0.3">
      <c r="B112" s="2"/>
      <c r="AS112">
        <v>6</v>
      </c>
      <c r="AT112" t="s">
        <v>16</v>
      </c>
      <c r="AU112" s="1">
        <v>234.916</v>
      </c>
      <c r="AV112" s="1">
        <v>44.2301</v>
      </c>
      <c r="AW112" s="1">
        <v>-2.0590199999999999</v>
      </c>
      <c r="AX112" s="1">
        <v>1.8082300000000001E-6</v>
      </c>
    </row>
    <row r="113" spans="2:50" ht="15" thickBot="1" x14ac:dyDescent="0.35">
      <c r="B113" s="2"/>
      <c r="AS113">
        <v>7</v>
      </c>
      <c r="AT113" t="s">
        <v>17</v>
      </c>
      <c r="AU113" s="1">
        <v>-1.8845199999999999E-2</v>
      </c>
      <c r="AV113" s="1">
        <v>4.6307600000000003E-3</v>
      </c>
      <c r="AW113" s="1">
        <v>2.1557299999999999E-4</v>
      </c>
      <c r="AX113" s="1">
        <v>1.74687E-2</v>
      </c>
    </row>
    <row r="114" spans="2:50" ht="15" thickBot="1" x14ac:dyDescent="0.35">
      <c r="B114" s="2"/>
      <c r="AS114" s="25">
        <v>1408</v>
      </c>
    </row>
    <row r="115" spans="2:50" x14ac:dyDescent="0.3">
      <c r="B115" s="2"/>
      <c r="AS115" t="s">
        <v>8</v>
      </c>
      <c r="AT115" t="s">
        <v>9</v>
      </c>
      <c r="AU115" t="s">
        <v>10</v>
      </c>
      <c r="AV115" t="s">
        <v>11</v>
      </c>
      <c r="AW115" t="s">
        <v>12</v>
      </c>
      <c r="AX115" t="s">
        <v>13</v>
      </c>
    </row>
    <row r="116" spans="2:50" x14ac:dyDescent="0.3">
      <c r="B116" s="2"/>
      <c r="AS116">
        <v>1</v>
      </c>
      <c r="AT116" t="s">
        <v>14</v>
      </c>
      <c r="AU116" s="1">
        <v>12012.8</v>
      </c>
      <c r="AV116" s="1">
        <v>0.138791</v>
      </c>
      <c r="AW116" s="1">
        <v>-1.19622E-6</v>
      </c>
      <c r="AX116" s="1">
        <v>-1.8365E-3</v>
      </c>
    </row>
    <row r="117" spans="2:50" x14ac:dyDescent="0.3">
      <c r="B117" s="2"/>
      <c r="AS117">
        <v>2</v>
      </c>
      <c r="AT117" t="s">
        <v>3</v>
      </c>
      <c r="AU117" s="1">
        <v>39.139699999999998</v>
      </c>
      <c r="AV117" s="1">
        <v>0.40625</v>
      </c>
      <c r="AW117" s="1">
        <v>-3.7920000000000003E-5</v>
      </c>
      <c r="AX117" s="1">
        <v>-2.7778400000000002E-3</v>
      </c>
    </row>
    <row r="118" spans="2:50" x14ac:dyDescent="0.3">
      <c r="B118" s="2"/>
      <c r="AS118">
        <v>3</v>
      </c>
      <c r="AT118" t="s">
        <v>15</v>
      </c>
      <c r="AU118" s="1">
        <v>21570.7</v>
      </c>
      <c r="AV118" s="1">
        <v>156.709</v>
      </c>
      <c r="AW118" s="1">
        <v>-8.3097199999999994E-5</v>
      </c>
      <c r="AX118" s="1">
        <v>3.8273199999999999E-4</v>
      </c>
    </row>
    <row r="119" spans="2:50" x14ac:dyDescent="0.3">
      <c r="B119" s="2"/>
      <c r="AS119">
        <v>4</v>
      </c>
      <c r="AT119" t="s">
        <v>16</v>
      </c>
      <c r="AU119" s="1">
        <v>344.495</v>
      </c>
      <c r="AV119" s="1">
        <v>28.9574</v>
      </c>
      <c r="AW119" s="1">
        <v>1.5684400000000001</v>
      </c>
      <c r="AX119" s="1">
        <v>4.3867800000000004E-6</v>
      </c>
    </row>
    <row r="120" spans="2:50" x14ac:dyDescent="0.3">
      <c r="B120" s="2"/>
      <c r="AS120">
        <v>5</v>
      </c>
      <c r="AT120" t="s">
        <v>17</v>
      </c>
      <c r="AU120" s="1">
        <v>-2.7130899999999999E-2</v>
      </c>
      <c r="AV120" s="1">
        <v>2.39324E-3</v>
      </c>
      <c r="AW120" s="1">
        <v>-1.2962800000000001E-4</v>
      </c>
      <c r="AX120" s="1">
        <v>5.0541000000000003E-2</v>
      </c>
    </row>
    <row r="121" spans="2:50" x14ac:dyDescent="0.3">
      <c r="B121" s="2"/>
    </row>
    <row r="122" spans="2:50" x14ac:dyDescent="0.3">
      <c r="B122" s="2"/>
    </row>
    <row r="123" spans="2:50" x14ac:dyDescent="0.3">
      <c r="B123" s="2"/>
    </row>
    <row r="124" spans="2:50" x14ac:dyDescent="0.3">
      <c r="B124" s="2"/>
    </row>
    <row r="125" spans="2:50" x14ac:dyDescent="0.3">
      <c r="B125" s="2"/>
    </row>
    <row r="126" spans="2:50" x14ac:dyDescent="0.3">
      <c r="B126" s="2"/>
    </row>
    <row r="127" spans="2:50" x14ac:dyDescent="0.3">
      <c r="B127" s="2"/>
    </row>
    <row r="128" spans="2:50" x14ac:dyDescent="0.3">
      <c r="B128" s="2"/>
    </row>
    <row r="129" spans="2:2" x14ac:dyDescent="0.3">
      <c r="B129" s="2"/>
    </row>
    <row r="130" spans="2:2" x14ac:dyDescent="0.3">
      <c r="B130" s="2"/>
    </row>
    <row r="131" spans="2:2" x14ac:dyDescent="0.3">
      <c r="B131" s="2"/>
    </row>
    <row r="132" spans="2:2" x14ac:dyDescent="0.3">
      <c r="B132" s="2"/>
    </row>
    <row r="133" spans="2:2" x14ac:dyDescent="0.3">
      <c r="B133" s="2"/>
    </row>
    <row r="134" spans="2:2" x14ac:dyDescent="0.3">
      <c r="B134" s="2"/>
    </row>
    <row r="135" spans="2:2" x14ac:dyDescent="0.3">
      <c r="B135" s="2"/>
    </row>
    <row r="136" spans="2:2" x14ac:dyDescent="0.3">
      <c r="B136" s="2"/>
    </row>
    <row r="137" spans="2:2" x14ac:dyDescent="0.3">
      <c r="B137" s="2"/>
    </row>
    <row r="138" spans="2:2" x14ac:dyDescent="0.3">
      <c r="B138" s="2"/>
    </row>
    <row r="139" spans="2:2" x14ac:dyDescent="0.3">
      <c r="B139" s="2"/>
    </row>
    <row r="140" spans="2:2" x14ac:dyDescent="0.3">
      <c r="B140" s="2"/>
    </row>
  </sheetData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13" sqref="F13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3"/>
  <sheetViews>
    <sheetView tabSelected="1" topLeftCell="F72" zoomScale="58" zoomScaleNormal="100" workbookViewId="0">
      <selection activeCell="AG19" sqref="AG19"/>
    </sheetView>
  </sheetViews>
  <sheetFormatPr defaultRowHeight="14.4" x14ac:dyDescent="0.3"/>
  <cols>
    <col min="1" max="1" width="9" bestFit="1" customWidth="1"/>
    <col min="3" max="3" width="11.21875" bestFit="1" customWidth="1"/>
    <col min="4" max="4" width="10.33203125" bestFit="1" customWidth="1"/>
    <col min="5" max="6" width="10.88671875" bestFit="1" customWidth="1"/>
    <col min="8" max="9" width="9.109375" bestFit="1" customWidth="1"/>
    <col min="10" max="10" width="12.109375" customWidth="1"/>
    <col min="11" max="11" width="14.109375" customWidth="1"/>
    <col min="12" max="12" width="10" customWidth="1"/>
    <col min="13" max="13" width="11.33203125" customWidth="1"/>
    <col min="14" max="14" width="10.33203125" bestFit="1" customWidth="1"/>
    <col min="15" max="16" width="9.6640625" bestFit="1" customWidth="1"/>
    <col min="17" max="17" width="14.6640625" bestFit="1" customWidth="1"/>
    <col min="18" max="18" width="15.6640625" bestFit="1" customWidth="1"/>
    <col min="19" max="19" width="17.88671875" bestFit="1" customWidth="1"/>
    <col min="20" max="20" width="10.109375" bestFit="1" customWidth="1"/>
    <col min="21" max="21" width="12.88671875" bestFit="1" customWidth="1"/>
    <col min="22" max="22" width="17.21875" bestFit="1" customWidth="1"/>
    <col min="23" max="23" width="16.88671875" bestFit="1" customWidth="1"/>
    <col min="24" max="24" width="19.88671875" bestFit="1" customWidth="1"/>
    <col min="25" max="25" width="9" bestFit="1" customWidth="1"/>
    <col min="26" max="26" width="21.5546875" bestFit="1" customWidth="1"/>
    <col min="27" max="27" width="12.88671875" bestFit="1" customWidth="1"/>
    <col min="28" max="28" width="13.21875" bestFit="1" customWidth="1"/>
    <col min="29" max="29" width="11.77734375" bestFit="1" customWidth="1"/>
    <col min="32" max="35" width="9.109375" bestFit="1" customWidth="1"/>
  </cols>
  <sheetData>
    <row r="1" spans="1:30" ht="15" thickBot="1" x14ac:dyDescent="0.35">
      <c r="A1" s="49" t="s">
        <v>19</v>
      </c>
    </row>
    <row r="2" spans="1:30" ht="15" thickBot="1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s="63" t="s">
        <v>287</v>
      </c>
      <c r="I2" s="64"/>
      <c r="J2" s="65"/>
      <c r="K2" s="92" t="s">
        <v>291</v>
      </c>
      <c r="L2" s="93"/>
      <c r="M2" s="82"/>
      <c r="N2" s="97" t="s">
        <v>293</v>
      </c>
      <c r="O2" s="99"/>
      <c r="P2" s="98"/>
    </row>
    <row r="3" spans="1:30" ht="15" thickBot="1" x14ac:dyDescent="0.35">
      <c r="A3">
        <v>1</v>
      </c>
      <c r="B3" t="s">
        <v>14</v>
      </c>
      <c r="C3" s="1">
        <v>5643.13</v>
      </c>
      <c r="D3" s="1">
        <v>2.8340500000000001E-2</v>
      </c>
      <c r="E3" s="1">
        <v>3.2453099999999999E-6</v>
      </c>
      <c r="F3" s="1">
        <v>9.0380200000000008E-3</v>
      </c>
      <c r="H3" s="21" t="s">
        <v>110</v>
      </c>
      <c r="I3" t="s">
        <v>111</v>
      </c>
      <c r="J3" s="22"/>
      <c r="K3" s="4" t="s">
        <v>289</v>
      </c>
      <c r="L3" s="45" t="s">
        <v>290</v>
      </c>
      <c r="M3" s="5">
        <f>908349/14</f>
        <v>64882.071428571428</v>
      </c>
      <c r="N3" s="4" t="s">
        <v>61</v>
      </c>
      <c r="O3" s="45" t="s">
        <v>292</v>
      </c>
      <c r="P3" s="5">
        <f>3737.97/6</f>
        <v>622.995</v>
      </c>
      <c r="R3" s="25" t="s">
        <v>135</v>
      </c>
      <c r="S3" s="17" t="s">
        <v>136</v>
      </c>
      <c r="T3" s="19" t="s">
        <v>57</v>
      </c>
      <c r="U3" s="70" t="s">
        <v>109</v>
      </c>
      <c r="V3" s="71" t="s">
        <v>137</v>
      </c>
      <c r="W3" s="71" t="s">
        <v>138</v>
      </c>
      <c r="X3" s="66" t="s">
        <v>146</v>
      </c>
      <c r="Y3" s="66" t="s">
        <v>157</v>
      </c>
      <c r="Z3" s="63" t="s">
        <v>139</v>
      </c>
      <c r="AA3" s="65" t="s">
        <v>140</v>
      </c>
      <c r="AB3" s="63" t="s">
        <v>141</v>
      </c>
      <c r="AC3" s="65" t="s">
        <v>142</v>
      </c>
      <c r="AD3" s="89" t="s">
        <v>188</v>
      </c>
    </row>
    <row r="4" spans="1:30" x14ac:dyDescent="0.3">
      <c r="A4">
        <v>2</v>
      </c>
      <c r="B4" t="s">
        <v>3</v>
      </c>
      <c r="C4" s="1">
        <v>17.674399999999999</v>
      </c>
      <c r="D4" s="1">
        <v>6.7377500000000007E-2</v>
      </c>
      <c r="E4" s="1">
        <v>2.56745E-5</v>
      </c>
      <c r="F4" s="1">
        <v>3.2304100000000002E-2</v>
      </c>
      <c r="H4" s="21" t="s">
        <v>112</v>
      </c>
      <c r="I4">
        <v>8.5129999999999999</v>
      </c>
      <c r="J4" s="59">
        <v>3.8659999999999999E-5</v>
      </c>
      <c r="K4" s="21" t="s">
        <v>88</v>
      </c>
      <c r="L4">
        <v>-6.92049</v>
      </c>
      <c r="M4" s="22">
        <v>1.2360299999999999E-2</v>
      </c>
      <c r="N4" s="21" t="s">
        <v>294</v>
      </c>
      <c r="O4">
        <v>-10.6158</v>
      </c>
      <c r="P4" s="22">
        <v>1.5757400000000001E-2</v>
      </c>
      <c r="R4" s="4" t="s">
        <v>115</v>
      </c>
      <c r="S4" s="29">
        <v>12465</v>
      </c>
      <c r="T4" s="5"/>
      <c r="U4" s="8">
        <f t="shared" ref="U4:U10" si="0">(S4-$I$5)/$I$4</f>
        <v>1465.0084576530014</v>
      </c>
      <c r="V4" s="4">
        <f>U4-5</f>
        <v>1460.0084576530014</v>
      </c>
      <c r="W4" s="5">
        <f>U4+5</f>
        <v>1470.0084576530014</v>
      </c>
      <c r="X4" s="8" t="s">
        <v>147</v>
      </c>
      <c r="Y4" s="8" t="s">
        <v>158</v>
      </c>
      <c r="Z4" s="4"/>
      <c r="AA4" s="5"/>
      <c r="AB4" s="45"/>
      <c r="AC4" s="5"/>
      <c r="AD4" s="8"/>
    </row>
    <row r="5" spans="1:30" ht="15" thickBot="1" x14ac:dyDescent="0.35">
      <c r="A5">
        <v>3</v>
      </c>
      <c r="B5" t="s">
        <v>15</v>
      </c>
      <c r="C5" s="1">
        <v>72491.5</v>
      </c>
      <c r="D5" s="1">
        <v>269.67099999999999</v>
      </c>
      <c r="E5" s="1">
        <v>4.0014100000000002E-4</v>
      </c>
      <c r="F5" s="1">
        <v>4.6287200000000002E-3</v>
      </c>
      <c r="H5" s="6" t="s">
        <v>88</v>
      </c>
      <c r="I5" s="46">
        <v>-6.617</v>
      </c>
      <c r="J5" s="7">
        <v>1.345E-2</v>
      </c>
      <c r="K5" s="6" t="s">
        <v>112</v>
      </c>
      <c r="L5" s="46">
        <v>8.5170999999999992</v>
      </c>
      <c r="M5" s="47">
        <v>3.5842800000000002E-5</v>
      </c>
      <c r="N5" s="6" t="s">
        <v>112</v>
      </c>
      <c r="O5" s="46">
        <v>8.5432000000000006</v>
      </c>
      <c r="P5" s="47">
        <v>9.9969400000000005E-5</v>
      </c>
      <c r="R5" s="6" t="s">
        <v>114</v>
      </c>
      <c r="S5" s="60">
        <v>5640.24</v>
      </c>
      <c r="T5" s="7"/>
      <c r="U5" s="9">
        <f t="shared" si="0"/>
        <v>663.32162574885467</v>
      </c>
      <c r="V5" s="6">
        <f>U5-5</f>
        <v>658.32162574885467</v>
      </c>
      <c r="W5" s="7">
        <f>U5+5</f>
        <v>668.32162574885467</v>
      </c>
      <c r="X5" s="9" t="s">
        <v>147</v>
      </c>
      <c r="Y5" s="9" t="s">
        <v>19</v>
      </c>
      <c r="Z5" s="24">
        <v>661.65700000000004</v>
      </c>
      <c r="AA5" s="7"/>
      <c r="AB5" s="46"/>
      <c r="AC5" s="7"/>
      <c r="AD5" s="9"/>
    </row>
    <row r="6" spans="1:30" ht="15" thickBot="1" x14ac:dyDescent="0.35">
      <c r="A6">
        <v>4</v>
      </c>
      <c r="B6" t="s">
        <v>16</v>
      </c>
      <c r="C6" s="1">
        <v>83.085099999999997</v>
      </c>
      <c r="D6" s="1">
        <v>2.0507200000000001</v>
      </c>
      <c r="E6" s="1">
        <v>3.3206500000000001E-3</v>
      </c>
      <c r="F6" s="1">
        <v>-2.8553099999999999E-6</v>
      </c>
      <c r="I6">
        <f>I$4*799.6+I$5</f>
        <v>6800.3778000000002</v>
      </c>
      <c r="N6" s="97" t="s">
        <v>295</v>
      </c>
      <c r="O6" s="99"/>
      <c r="P6" s="98"/>
      <c r="R6" s="4" t="s">
        <v>116</v>
      </c>
      <c r="S6" s="4">
        <v>4857</v>
      </c>
      <c r="T6" s="5"/>
      <c r="U6" s="8">
        <f t="shared" si="0"/>
        <v>571.31645718313166</v>
      </c>
      <c r="V6" s="4">
        <f>U6-5</f>
        <v>566.31645718313166</v>
      </c>
      <c r="W6" s="5">
        <f>U6+5</f>
        <v>576.31645718313166</v>
      </c>
      <c r="X6" s="8" t="s">
        <v>147</v>
      </c>
      <c r="Y6" s="8" t="s">
        <v>346</v>
      </c>
      <c r="Z6" s="29">
        <v>569.69799999999998</v>
      </c>
      <c r="AA6" s="5">
        <v>2E-3</v>
      </c>
      <c r="AB6" s="72">
        <v>97.75</v>
      </c>
      <c r="AC6" s="5">
        <v>0.03</v>
      </c>
      <c r="AD6" s="8"/>
    </row>
    <row r="7" spans="1:30" ht="15" thickBot="1" x14ac:dyDescent="0.35">
      <c r="A7">
        <v>5</v>
      </c>
      <c r="B7" t="s">
        <v>17</v>
      </c>
      <c r="C7" s="1">
        <v>-1.3804E-2</v>
      </c>
      <c r="D7" s="1">
        <v>3.5604400000000002E-4</v>
      </c>
      <c r="E7" s="1">
        <v>5.7653299999999997E-7</v>
      </c>
      <c r="F7" s="1">
        <v>-1.72502E-2</v>
      </c>
      <c r="I7">
        <f>I$4*1070+I$5</f>
        <v>9102.2929999999997</v>
      </c>
      <c r="N7" s="4" t="s">
        <v>61</v>
      </c>
      <c r="O7" s="45" t="s">
        <v>296</v>
      </c>
      <c r="P7" s="5">
        <f>336869/6</f>
        <v>56144.833333333336</v>
      </c>
      <c r="R7" s="21" t="s">
        <v>116</v>
      </c>
      <c r="S7" s="58">
        <v>9074.9599999999991</v>
      </c>
      <c r="T7" s="22"/>
      <c r="U7" s="20">
        <f t="shared" si="0"/>
        <v>1066.7892634793843</v>
      </c>
      <c r="V7" s="21">
        <f t="shared" ref="V7:V10" si="1">U7-5</f>
        <v>1061.7892634793843</v>
      </c>
      <c r="W7" s="22">
        <f t="shared" ref="W7:W10" si="2">U7+5</f>
        <v>1071.7892634793843</v>
      </c>
      <c r="X7" s="20" t="s">
        <v>147</v>
      </c>
      <c r="Y7" s="8" t="s">
        <v>346</v>
      </c>
      <c r="Z7" s="23">
        <v>1063.6559999999999</v>
      </c>
      <c r="AA7" s="22">
        <v>3.0000000000000001E-3</v>
      </c>
      <c r="AB7">
        <v>74.5</v>
      </c>
      <c r="AC7" s="22">
        <v>0.3</v>
      </c>
      <c r="AD7" s="20"/>
    </row>
    <row r="8" spans="1:30" ht="15" thickBot="1" x14ac:dyDescent="0.35">
      <c r="H8" t="s">
        <v>288</v>
      </c>
      <c r="N8" s="21" t="s">
        <v>294</v>
      </c>
      <c r="O8">
        <v>55.153399999999998</v>
      </c>
      <c r="P8" s="22">
        <v>8.8447100000000001E-2</v>
      </c>
      <c r="R8" s="21" t="s">
        <v>116</v>
      </c>
      <c r="S8" s="58">
        <v>613</v>
      </c>
      <c r="T8" s="22"/>
      <c r="U8" s="20">
        <f t="shared" si="0"/>
        <v>72.784799718078233</v>
      </c>
      <c r="V8" s="21">
        <f t="shared" si="1"/>
        <v>67.784799718078233</v>
      </c>
      <c r="W8" s="22">
        <f t="shared" si="2"/>
        <v>77.784799718078233</v>
      </c>
      <c r="X8" s="75" t="s">
        <v>148</v>
      </c>
      <c r="Y8" s="8" t="s">
        <v>346</v>
      </c>
      <c r="Z8" s="23">
        <v>72.805000000000007</v>
      </c>
      <c r="AA8" s="22"/>
      <c r="AB8" s="73">
        <v>21.4</v>
      </c>
      <c r="AC8" s="22">
        <v>0.5</v>
      </c>
      <c r="AD8" s="20"/>
    </row>
    <row r="9" spans="1:30" ht="15" thickBot="1" x14ac:dyDescent="0.35">
      <c r="A9" s="49" t="s">
        <v>104</v>
      </c>
      <c r="H9" s="25" t="s">
        <v>108</v>
      </c>
      <c r="I9" s="25" t="s">
        <v>109</v>
      </c>
      <c r="J9" s="17" t="s">
        <v>14</v>
      </c>
      <c r="K9" s="19" t="s">
        <v>57</v>
      </c>
      <c r="N9" s="6" t="s">
        <v>112</v>
      </c>
      <c r="O9" s="46">
        <v>8.4416200000000003</v>
      </c>
      <c r="P9" s="7">
        <v>1.09332E-4</v>
      </c>
      <c r="R9" s="21" t="s">
        <v>116</v>
      </c>
      <c r="S9" s="58">
        <v>630.62900000000002</v>
      </c>
      <c r="T9" s="22"/>
      <c r="U9" s="20">
        <f t="shared" si="0"/>
        <v>74.855632561964057</v>
      </c>
      <c r="V9" s="21">
        <f t="shared" si="1"/>
        <v>69.855632561964057</v>
      </c>
      <c r="W9" s="22">
        <f t="shared" si="2"/>
        <v>79.855632561964057</v>
      </c>
      <c r="X9" s="75" t="s">
        <v>143</v>
      </c>
      <c r="Y9" s="8" t="s">
        <v>346</v>
      </c>
      <c r="Z9" s="23">
        <v>74.968999999999994</v>
      </c>
      <c r="AA9" s="22"/>
      <c r="AB9" s="73">
        <v>35.700000000000003</v>
      </c>
      <c r="AC9" s="22">
        <v>0.7</v>
      </c>
      <c r="AD9" s="20"/>
    </row>
    <row r="10" spans="1:30" ht="15" thickBot="1" x14ac:dyDescent="0.3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H10" s="20" t="s">
        <v>70</v>
      </c>
      <c r="I10" s="37">
        <v>59.540900000000001</v>
      </c>
      <c r="J10" s="58">
        <v>498.17700000000002</v>
      </c>
      <c r="K10" s="59">
        <v>1.27314E-2</v>
      </c>
      <c r="N10" s="97" t="s">
        <v>297</v>
      </c>
      <c r="O10" s="99"/>
      <c r="P10" s="98"/>
      <c r="R10" s="21" t="s">
        <v>116</v>
      </c>
      <c r="S10" s="58">
        <v>713.54700000000003</v>
      </c>
      <c r="T10" s="22"/>
      <c r="U10" s="20">
        <f t="shared" si="0"/>
        <v>84.595794666979913</v>
      </c>
      <c r="V10" s="21">
        <f t="shared" si="1"/>
        <v>79.595794666979913</v>
      </c>
      <c r="W10" s="22">
        <f t="shared" si="2"/>
        <v>89.595794666979913</v>
      </c>
      <c r="X10" s="68" t="s">
        <v>144</v>
      </c>
      <c r="Y10" s="8" t="s">
        <v>346</v>
      </c>
      <c r="Z10" s="23">
        <v>84.45</v>
      </c>
      <c r="AA10" s="22"/>
      <c r="AB10" s="73">
        <v>4.3099999999999996</v>
      </c>
      <c r="AC10" s="22">
        <v>0.09</v>
      </c>
      <c r="AD10" s="20"/>
    </row>
    <row r="11" spans="1:30" ht="15" thickBot="1" x14ac:dyDescent="0.35">
      <c r="A11">
        <v>1</v>
      </c>
      <c r="B11" t="s">
        <v>21</v>
      </c>
      <c r="C11" s="1">
        <v>2351.5700000000002</v>
      </c>
      <c r="D11" s="1">
        <v>9.3789800000000006E-2</v>
      </c>
      <c r="E11" s="1">
        <v>5.3022900000000002E-6</v>
      </c>
      <c r="F11" s="1">
        <v>-4.7731000000000003E-2</v>
      </c>
      <c r="H11" s="20" t="s">
        <v>29</v>
      </c>
      <c r="I11" s="20">
        <v>121.7817</v>
      </c>
      <c r="J11" s="58">
        <v>1030.18</v>
      </c>
      <c r="K11" s="59">
        <v>2.7672200000000001E-2</v>
      </c>
      <c r="N11" s="4" t="s">
        <v>61</v>
      </c>
      <c r="O11" s="45">
        <v>9817.51</v>
      </c>
      <c r="P11" s="5">
        <f>9817.51/4</f>
        <v>2454.3775000000001</v>
      </c>
      <c r="R11" s="6"/>
      <c r="S11" s="6"/>
      <c r="T11" s="7"/>
      <c r="U11" s="20"/>
      <c r="V11" s="6"/>
      <c r="W11" s="67" t="s">
        <v>149</v>
      </c>
      <c r="X11" s="69" t="s">
        <v>145</v>
      </c>
      <c r="Y11" s="8" t="s">
        <v>346</v>
      </c>
      <c r="Z11" s="24">
        <v>84.938000000000002</v>
      </c>
      <c r="AA11" s="7"/>
      <c r="AB11" s="74">
        <v>8.27</v>
      </c>
      <c r="AC11" s="7">
        <v>0.18</v>
      </c>
      <c r="AD11" s="9"/>
    </row>
    <row r="12" spans="1:30" ht="15" thickBot="1" x14ac:dyDescent="0.35">
      <c r="A12">
        <v>2</v>
      </c>
      <c r="B12" t="s">
        <v>22</v>
      </c>
      <c r="C12" s="1">
        <v>11.5687</v>
      </c>
      <c r="D12" s="1">
        <v>0.19515299999999999</v>
      </c>
      <c r="E12" s="1">
        <v>3.7591400000000001E-5</v>
      </c>
      <c r="F12" s="1">
        <v>-1.21525E-2</v>
      </c>
      <c r="H12" s="20" t="s">
        <v>29</v>
      </c>
      <c r="I12" s="20">
        <v>244.69739999999999</v>
      </c>
      <c r="J12" s="58">
        <v>2080.69</v>
      </c>
      <c r="K12" s="59">
        <v>7.9232999999999998E-2</v>
      </c>
      <c r="N12" s="21" t="s">
        <v>294</v>
      </c>
      <c r="O12">
        <v>-8.2397200000000002</v>
      </c>
      <c r="P12" s="22">
        <v>0.15129200000000001</v>
      </c>
    </row>
    <row r="13" spans="1:30" ht="15" thickBot="1" x14ac:dyDescent="0.35">
      <c r="A13">
        <v>3</v>
      </c>
      <c r="B13" t="s">
        <v>23</v>
      </c>
      <c r="C13" s="1">
        <v>3225.26</v>
      </c>
      <c r="D13" s="1">
        <v>58.645099999999999</v>
      </c>
      <c r="E13" s="1">
        <v>1.2307600000000001E-4</v>
      </c>
      <c r="F13" s="1">
        <v>9.8593299999999995E-3</v>
      </c>
      <c r="H13" s="20" t="s">
        <v>59</v>
      </c>
      <c r="I13" s="20">
        <v>276.39890000000003</v>
      </c>
      <c r="J13" s="58">
        <v>2351.5700000000002</v>
      </c>
      <c r="K13" s="59">
        <v>9.3789800000000006E-2</v>
      </c>
      <c r="N13" s="6" t="s">
        <v>112</v>
      </c>
      <c r="O13" s="46">
        <v>8.5371199999999998</v>
      </c>
      <c r="P13" s="7">
        <v>2.1385499999999999E-4</v>
      </c>
      <c r="Q13">
        <v>7750</v>
      </c>
      <c r="R13" s="8" t="s">
        <v>150</v>
      </c>
      <c r="S13" s="56">
        <v>7771.49</v>
      </c>
      <c r="T13" s="57">
        <v>0.23519499999999999</v>
      </c>
      <c r="U13" s="8">
        <f>(S13-$I$5)/$I$4</f>
        <v>913.67402795724183</v>
      </c>
      <c r="V13" s="4">
        <f>U13-5</f>
        <v>908.67402795724183</v>
      </c>
      <c r="W13" s="5">
        <f>U13+5</f>
        <v>918.67402795724183</v>
      </c>
      <c r="X13" s="68" t="s">
        <v>147</v>
      </c>
      <c r="Y13" s="8" t="s">
        <v>163</v>
      </c>
      <c r="Z13" s="29">
        <v>911.20399999999995</v>
      </c>
      <c r="AA13" s="5">
        <v>4.0000000000000001E-3</v>
      </c>
      <c r="AB13" s="29">
        <v>25.8</v>
      </c>
      <c r="AC13" s="5">
        <v>0.4</v>
      </c>
      <c r="AD13" s="8" t="s">
        <v>189</v>
      </c>
    </row>
    <row r="14" spans="1:30" ht="15" thickBot="1" x14ac:dyDescent="0.35">
      <c r="A14">
        <v>4</v>
      </c>
      <c r="B14" t="s">
        <v>24</v>
      </c>
      <c r="C14" s="1">
        <v>2577.71</v>
      </c>
      <c r="D14" s="1">
        <v>6.2720399999999996E-2</v>
      </c>
      <c r="E14" s="1">
        <v>2.5281699999999998E-6</v>
      </c>
      <c r="F14" s="1">
        <v>0.42452499999999999</v>
      </c>
      <c r="H14" s="20" t="s">
        <v>59</v>
      </c>
      <c r="I14" s="20">
        <v>302.85079999999999</v>
      </c>
      <c r="J14" s="58">
        <v>2577.71</v>
      </c>
      <c r="K14" s="59">
        <v>6.2720399999999996E-2</v>
      </c>
      <c r="R14" s="9"/>
      <c r="S14" s="6"/>
      <c r="T14" s="7"/>
      <c r="U14" s="9"/>
      <c r="V14" s="6"/>
      <c r="W14" s="67" t="s">
        <v>149</v>
      </c>
      <c r="X14" s="69" t="s">
        <v>147</v>
      </c>
      <c r="Y14" s="9" t="s">
        <v>164</v>
      </c>
      <c r="Z14" s="24">
        <v>908.1</v>
      </c>
      <c r="AA14" s="7">
        <v>0.1</v>
      </c>
      <c r="AB14" s="78">
        <v>1.66E-6</v>
      </c>
      <c r="AC14" s="77">
        <v>1.6999999999999999E-7</v>
      </c>
      <c r="AD14" s="9" t="s">
        <v>165</v>
      </c>
    </row>
    <row r="15" spans="1:30" ht="15" thickBot="1" x14ac:dyDescent="0.35">
      <c r="A15">
        <v>5</v>
      </c>
      <c r="B15" t="s">
        <v>25</v>
      </c>
      <c r="C15" s="1">
        <v>12.0922</v>
      </c>
      <c r="D15" s="1">
        <v>0.13098799999999999</v>
      </c>
      <c r="E15" s="1">
        <v>2.4777999999999999E-5</v>
      </c>
      <c r="F15" s="1">
        <v>6.7180699999999996E-2</v>
      </c>
      <c r="H15" s="20" t="s">
        <v>29</v>
      </c>
      <c r="I15" s="37">
        <v>344.27850000000001</v>
      </c>
      <c r="J15" s="58">
        <v>2931.66</v>
      </c>
      <c r="K15" s="59">
        <v>5.1617900000000001E-2</v>
      </c>
      <c r="Q15" t="s">
        <v>154</v>
      </c>
      <c r="R15" s="8" t="s">
        <v>150</v>
      </c>
      <c r="S15" s="56">
        <v>8227.39</v>
      </c>
      <c r="T15" s="57">
        <v>0.61974499999999999</v>
      </c>
      <c r="U15" s="8">
        <f>(S15-$I$5)/$I$4</f>
        <v>967.22741689181248</v>
      </c>
      <c r="V15" s="4">
        <f>U15-5</f>
        <v>962.22741689181248</v>
      </c>
      <c r="W15" s="5">
        <f t="shared" ref="W15:W16" si="3">U15+5</f>
        <v>972.22741689181248</v>
      </c>
      <c r="X15" s="68" t="s">
        <v>147</v>
      </c>
      <c r="Y15" s="8" t="s">
        <v>163</v>
      </c>
      <c r="Z15" s="29">
        <v>968.971</v>
      </c>
      <c r="AA15" s="5">
        <v>1.7000000000000001E-2</v>
      </c>
      <c r="AB15" s="79">
        <v>15.8</v>
      </c>
      <c r="AC15" s="5">
        <v>0.3</v>
      </c>
      <c r="AD15" s="8" t="s">
        <v>189</v>
      </c>
    </row>
    <row r="16" spans="1:30" ht="15" thickBot="1" x14ac:dyDescent="0.35">
      <c r="A16">
        <v>6</v>
      </c>
      <c r="B16" t="s">
        <v>26</v>
      </c>
      <c r="C16" s="1">
        <v>7275.48</v>
      </c>
      <c r="D16" s="1">
        <v>86.337299999999999</v>
      </c>
      <c r="E16" s="1">
        <v>1.28085E-4</v>
      </c>
      <c r="F16" s="1">
        <v>-2.1302600000000001E-3</v>
      </c>
      <c r="H16" s="20" t="s">
        <v>59</v>
      </c>
      <c r="I16" s="20">
        <v>356.0129</v>
      </c>
      <c r="J16" s="58">
        <v>3031.96</v>
      </c>
      <c r="K16" s="59">
        <v>3.8037799999999997E-2</v>
      </c>
      <c r="R16" s="9"/>
      <c r="S16" s="60">
        <v>8263.7800000000007</v>
      </c>
      <c r="T16" s="47">
        <v>0.30957099999999999</v>
      </c>
      <c r="U16" s="9">
        <f>(S16-$I$5)/$I$4</f>
        <v>971.50205567954902</v>
      </c>
      <c r="V16" s="6">
        <f t="shared" ref="V16:V19" si="4">U16-5</f>
        <v>966.50205567954902</v>
      </c>
      <c r="W16" s="7">
        <f t="shared" si="3"/>
        <v>976.50205567954902</v>
      </c>
      <c r="X16" s="76" t="s">
        <v>135</v>
      </c>
      <c r="Y16" s="9"/>
      <c r="Z16" s="6"/>
      <c r="AA16" s="7"/>
      <c r="AB16" s="6"/>
      <c r="AC16" s="7"/>
      <c r="AD16" s="20"/>
    </row>
    <row r="17" spans="1:30" ht="15" thickBot="1" x14ac:dyDescent="0.35">
      <c r="A17">
        <v>7</v>
      </c>
      <c r="B17" t="s">
        <v>78</v>
      </c>
      <c r="C17" s="1">
        <v>3031.96</v>
      </c>
      <c r="D17" s="1">
        <v>3.8037799999999997E-2</v>
      </c>
      <c r="E17" s="1">
        <v>1.47453E-6</v>
      </c>
      <c r="F17" s="1">
        <v>1.57681</v>
      </c>
      <c r="H17" s="20" t="s">
        <v>59</v>
      </c>
      <c r="I17" s="20">
        <v>383.8485</v>
      </c>
      <c r="J17" s="58">
        <v>3269.62</v>
      </c>
      <c r="K17" s="59">
        <v>0.106224</v>
      </c>
      <c r="N17" s="58">
        <v>2879.69</v>
      </c>
      <c r="O17" s="59">
        <v>0.16597300000000001</v>
      </c>
      <c r="Q17" t="s">
        <v>155</v>
      </c>
      <c r="R17" s="8" t="s">
        <v>150</v>
      </c>
      <c r="S17" s="56">
        <v>2028.21</v>
      </c>
      <c r="T17" s="57">
        <v>6.0403499999999999E-2</v>
      </c>
      <c r="U17" s="8">
        <f>(S17-$I$5)/$I$4</f>
        <v>239.02584282861505</v>
      </c>
      <c r="V17" s="4">
        <f t="shared" si="4"/>
        <v>234.02584282861505</v>
      </c>
      <c r="W17" s="5">
        <f t="shared" ref="W17:W19" si="5">U17+5</f>
        <v>244.02584282861505</v>
      </c>
      <c r="X17" s="68" t="s">
        <v>147</v>
      </c>
      <c r="Y17" s="8" t="s">
        <v>166</v>
      </c>
      <c r="Z17" s="29">
        <v>238.63200000000001</v>
      </c>
      <c r="AA17" s="5">
        <v>2E-3</v>
      </c>
      <c r="AB17" s="4">
        <v>43.6</v>
      </c>
      <c r="AC17" s="5">
        <v>0.5</v>
      </c>
      <c r="AD17" s="8" t="s">
        <v>189</v>
      </c>
    </row>
    <row r="18" spans="1:30" ht="15" thickBot="1" x14ac:dyDescent="0.35">
      <c r="A18">
        <v>8</v>
      </c>
      <c r="B18" t="s">
        <v>79</v>
      </c>
      <c r="C18" s="1">
        <v>12.5631</v>
      </c>
      <c r="D18" s="1">
        <v>7.7331700000000003E-2</v>
      </c>
      <c r="E18" s="1">
        <v>1.42026E-5</v>
      </c>
      <c r="F18" s="1">
        <v>-6.9715100000000002E-2</v>
      </c>
      <c r="H18" s="20" t="s">
        <v>19</v>
      </c>
      <c r="I18" s="37">
        <v>661.65700000000004</v>
      </c>
      <c r="J18" s="58">
        <v>5643.13</v>
      </c>
      <c r="K18" s="59">
        <v>2.8340500000000001E-2</v>
      </c>
      <c r="M18" t="s">
        <v>298</v>
      </c>
      <c r="N18" s="8">
        <f>(N17-$I$5)/$I$4</f>
        <v>339.04698696111831</v>
      </c>
      <c r="O18">
        <f>SQRT(($O$17/$I$4)^2+(-$J$5/$I$4)^2+($J$4*($I$5-N17)/($I$4)^2)^2)</f>
        <v>1.9620835703770212E-2</v>
      </c>
      <c r="R18" s="9"/>
      <c r="S18" s="60">
        <v>2049.09</v>
      </c>
      <c r="T18" s="47">
        <v>0.264463</v>
      </c>
      <c r="U18" s="9">
        <f>(S18-$I$5)/$I$4</f>
        <v>241.47856219898983</v>
      </c>
      <c r="V18" s="21">
        <f t="shared" si="4"/>
        <v>236.47856219898983</v>
      </c>
      <c r="W18" s="22">
        <f t="shared" si="5"/>
        <v>246.47856219898983</v>
      </c>
      <c r="X18" s="69" t="s">
        <v>147</v>
      </c>
      <c r="Y18" s="9" t="s">
        <v>167</v>
      </c>
      <c r="Z18" s="24">
        <v>240.98599999999999</v>
      </c>
      <c r="AA18" s="7">
        <v>6.0000000000000001E-3</v>
      </c>
      <c r="AB18" s="6">
        <v>4.0999999999999996</v>
      </c>
      <c r="AC18" s="7">
        <v>0.5</v>
      </c>
      <c r="AD18" s="9" t="s">
        <v>189</v>
      </c>
    </row>
    <row r="19" spans="1:30" ht="15" thickBot="1" x14ac:dyDescent="0.35">
      <c r="A19">
        <v>9</v>
      </c>
      <c r="B19" t="s">
        <v>80</v>
      </c>
      <c r="C19" s="1">
        <v>20824.900000000001</v>
      </c>
      <c r="D19" s="1">
        <v>144.643</v>
      </c>
      <c r="E19" s="1">
        <v>1.6353799999999999E-4</v>
      </c>
      <c r="F19" s="1">
        <v>4.5231300000000002E-3</v>
      </c>
      <c r="H19" s="20" t="s">
        <v>29</v>
      </c>
      <c r="I19" s="37">
        <v>778.90449999999998</v>
      </c>
      <c r="J19" s="58">
        <v>6645.43</v>
      </c>
      <c r="K19" s="59">
        <v>0.164157</v>
      </c>
      <c r="M19" t="s">
        <v>299</v>
      </c>
      <c r="N19" s="8">
        <f>(N17-$L$4)/$L$5</f>
        <v>338.91940801446503</v>
      </c>
      <c r="O19">
        <f>SQRT(($O$17/L5)^2+(-M4/L5)^2+(M5*(L4-N17)/(L5)^2)^2)</f>
        <v>1.9592977956358924E-2</v>
      </c>
      <c r="Q19">
        <v>5000</v>
      </c>
      <c r="R19" s="4" t="s">
        <v>150</v>
      </c>
      <c r="S19" s="56">
        <v>4970.2700000000004</v>
      </c>
      <c r="T19" s="57">
        <v>0.157078</v>
      </c>
      <c r="U19" s="4">
        <f>(S19-$I$5)/$I$4</f>
        <v>584.62198989780347</v>
      </c>
      <c r="V19" s="4">
        <f t="shared" si="4"/>
        <v>579.62198989780347</v>
      </c>
      <c r="W19" s="5">
        <f t="shared" si="5"/>
        <v>589.62198989780347</v>
      </c>
      <c r="X19" s="8" t="s">
        <v>147</v>
      </c>
      <c r="Y19" s="8" t="s">
        <v>168</v>
      </c>
      <c r="Z19" s="79">
        <v>583.18700000000001</v>
      </c>
      <c r="AA19" s="5">
        <v>2E-3</v>
      </c>
      <c r="AB19" s="81">
        <v>85</v>
      </c>
      <c r="AC19" s="5">
        <v>0.3</v>
      </c>
      <c r="AD19" s="8" t="s">
        <v>189</v>
      </c>
    </row>
    <row r="20" spans="1:30" ht="15" thickBot="1" x14ac:dyDescent="0.35">
      <c r="A20">
        <v>10</v>
      </c>
      <c r="B20" t="s">
        <v>105</v>
      </c>
      <c r="C20" s="1">
        <v>3269.62</v>
      </c>
      <c r="D20" s="1">
        <v>0.106224</v>
      </c>
      <c r="E20" s="1">
        <v>5.5097599999999999E-6</v>
      </c>
      <c r="F20" s="1">
        <v>-1.1488</v>
      </c>
      <c r="H20" s="20" t="s">
        <v>29</v>
      </c>
      <c r="I20" s="37">
        <v>964.05700000000002</v>
      </c>
      <c r="J20" s="58">
        <v>8226.33</v>
      </c>
      <c r="K20" s="59">
        <v>0.18096499999999999</v>
      </c>
      <c r="M20" t="s">
        <v>300</v>
      </c>
      <c r="N20" s="8">
        <f>(N17-$O$4)/$O$5</f>
        <v>338.31653244685833</v>
      </c>
      <c r="O20">
        <f>SQRT(($O$17/O5)^2+(-P4/O5)^2+(P5*(O4-N17)/(O5)^2)^2)</f>
        <v>1.9912362180171596E-2</v>
      </c>
      <c r="R20" s="6"/>
      <c r="S20" s="6"/>
      <c r="T20" s="7"/>
      <c r="U20" s="6"/>
      <c r="V20" s="9"/>
      <c r="W20" s="82" t="s">
        <v>149</v>
      </c>
      <c r="X20" s="69" t="s">
        <v>147</v>
      </c>
      <c r="Y20" s="9" t="s">
        <v>163</v>
      </c>
      <c r="Z20" s="24">
        <v>583.41</v>
      </c>
      <c r="AA20" s="7">
        <v>0.05</v>
      </c>
      <c r="AB20" s="46">
        <v>0.111</v>
      </c>
      <c r="AC20" s="7">
        <v>0.01</v>
      </c>
      <c r="AD20" s="9" t="s">
        <v>169</v>
      </c>
    </row>
    <row r="21" spans="1:30" ht="15" thickBot="1" x14ac:dyDescent="0.35">
      <c r="A21">
        <v>11</v>
      </c>
      <c r="B21" t="s">
        <v>106</v>
      </c>
      <c r="C21" s="1">
        <v>12.611599999999999</v>
      </c>
      <c r="D21" s="1">
        <v>0.21431800000000001</v>
      </c>
      <c r="E21" s="1">
        <v>3.9134600000000003E-5</v>
      </c>
      <c r="F21" s="1">
        <v>2.24911E-2</v>
      </c>
      <c r="H21" s="20" t="s">
        <v>29</v>
      </c>
      <c r="I21" s="37">
        <v>1085.837</v>
      </c>
      <c r="J21" s="58">
        <v>9267.35</v>
      </c>
      <c r="K21" s="59">
        <v>0.25280999999999998</v>
      </c>
      <c r="N21" s="80">
        <v>7340.69</v>
      </c>
      <c r="O21" s="86">
        <v>0.58320300000000003</v>
      </c>
      <c r="Q21" t="s">
        <v>160</v>
      </c>
      <c r="R21" s="8" t="s">
        <v>150</v>
      </c>
      <c r="S21" s="56">
        <v>712.86500000000001</v>
      </c>
      <c r="T21" s="57">
        <v>0.31124400000000002</v>
      </c>
      <c r="U21" s="8">
        <f>(S21-$I$5)/$I$4</f>
        <v>84.515681898273229</v>
      </c>
      <c r="V21" s="4">
        <f>U21-5</f>
        <v>79.515681898273229</v>
      </c>
      <c r="W21" s="5">
        <f t="shared" ref="W21:W22" si="6">U21+5</f>
        <v>89.515681898273229</v>
      </c>
      <c r="X21" s="68" t="s">
        <v>170</v>
      </c>
      <c r="Y21" s="8" t="s">
        <v>171</v>
      </c>
      <c r="Z21" s="4"/>
      <c r="AA21" s="5"/>
      <c r="AB21" s="4"/>
      <c r="AC21" s="5"/>
      <c r="AD21" s="8" t="s">
        <v>189</v>
      </c>
    </row>
    <row r="22" spans="1:30" ht="15" thickBot="1" x14ac:dyDescent="0.35">
      <c r="A22">
        <v>12</v>
      </c>
      <c r="B22" t="s">
        <v>107</v>
      </c>
      <c r="C22" s="1">
        <v>2801.34</v>
      </c>
      <c r="D22" s="1">
        <v>53.453899999999997</v>
      </c>
      <c r="E22" s="1">
        <v>1.20104E-4</v>
      </c>
      <c r="F22" s="1">
        <v>1.1303499999999999E-2</v>
      </c>
      <c r="H22" s="20" t="s">
        <v>29</v>
      </c>
      <c r="I22" s="37">
        <v>1112.076</v>
      </c>
      <c r="J22" s="58">
        <v>9491.5499999999993</v>
      </c>
      <c r="K22" s="59">
        <v>0.21194199999999999</v>
      </c>
      <c r="M22" t="s">
        <v>298</v>
      </c>
      <c r="N22" s="27">
        <f>(N21-$I$5)/$I$4</f>
        <v>863.06907083284386</v>
      </c>
      <c r="R22" s="20"/>
      <c r="S22" s="58">
        <v>734.98400000000004</v>
      </c>
      <c r="T22" s="59">
        <v>0.21928</v>
      </c>
      <c r="U22" s="20">
        <f>(S22-$I$5)/$I$4</f>
        <v>87.113943380711859</v>
      </c>
      <c r="V22" s="21">
        <f>U22-5</f>
        <v>82.113943380711859</v>
      </c>
      <c r="W22" s="22">
        <f t="shared" si="6"/>
        <v>92.113943380711859</v>
      </c>
      <c r="X22" s="20"/>
      <c r="Y22" s="20" t="s">
        <v>172</v>
      </c>
      <c r="Z22" s="21"/>
      <c r="AA22" s="22"/>
      <c r="AB22" s="21"/>
      <c r="AC22" s="22"/>
      <c r="AD22" s="20" t="s">
        <v>189</v>
      </c>
    </row>
    <row r="23" spans="1:30" ht="15" thickBot="1" x14ac:dyDescent="0.35">
      <c r="A23">
        <v>13</v>
      </c>
      <c r="B23" t="s">
        <v>16</v>
      </c>
      <c r="C23" s="1">
        <v>20.673999999999999</v>
      </c>
      <c r="D23" s="1">
        <v>0.51317699999999999</v>
      </c>
      <c r="E23" s="1">
        <v>1.32894E-3</v>
      </c>
      <c r="F23" s="1">
        <v>-2.4814100000000001E-4</v>
      </c>
      <c r="H23" s="20" t="s">
        <v>20</v>
      </c>
      <c r="I23" s="37">
        <v>1173.2280000000001</v>
      </c>
      <c r="J23" s="58">
        <v>9932.7800000000007</v>
      </c>
      <c r="K23" s="59">
        <v>8.6461999999999997E-2</v>
      </c>
      <c r="M23" t="s">
        <v>299</v>
      </c>
      <c r="N23" s="27">
        <f>(N21-L4)/L5</f>
        <v>862.68923577273961</v>
      </c>
      <c r="R23" s="20"/>
      <c r="S23" s="58">
        <v>758.13499999999999</v>
      </c>
      <c r="T23" s="59">
        <v>0.264486</v>
      </c>
      <c r="U23" s="20">
        <f>(S23-$I$5)/$I$4</f>
        <v>89.833431222835657</v>
      </c>
      <c r="V23" s="21">
        <f>U23-5</f>
        <v>84.833431222835657</v>
      </c>
      <c r="W23" s="22">
        <f>U23+5</f>
        <v>94.833431222835657</v>
      </c>
      <c r="X23" s="20"/>
      <c r="Y23" s="20"/>
      <c r="Z23" s="21"/>
      <c r="AA23" s="22"/>
      <c r="AB23" s="21"/>
      <c r="AC23" s="22"/>
      <c r="AD23" s="20" t="s">
        <v>189</v>
      </c>
    </row>
    <row r="24" spans="1:30" ht="15" thickBot="1" x14ac:dyDescent="0.35">
      <c r="A24">
        <v>14</v>
      </c>
      <c r="B24" t="s">
        <v>17</v>
      </c>
      <c r="C24" s="1">
        <v>-5.8720600000000001E-3</v>
      </c>
      <c r="D24" s="1">
        <v>1.72058E-4</v>
      </c>
      <c r="E24" s="1">
        <v>4.4561199999999998E-7</v>
      </c>
      <c r="F24" s="1">
        <v>-0.72650400000000004</v>
      </c>
      <c r="H24" s="20" t="s">
        <v>20</v>
      </c>
      <c r="I24" s="37">
        <v>1332.492</v>
      </c>
      <c r="J24" s="58">
        <v>11283.6</v>
      </c>
      <c r="K24" s="59">
        <v>9.8456500000000002E-2</v>
      </c>
      <c r="M24" t="s">
        <v>301</v>
      </c>
      <c r="N24" s="27">
        <f>(N21-O8)/O9</f>
        <v>863.04958053075109</v>
      </c>
      <c r="R24" s="20"/>
      <c r="S24" s="58">
        <v>787.24800000000005</v>
      </c>
      <c r="T24" s="59">
        <v>0.22645899999999999</v>
      </c>
      <c r="U24" s="20">
        <f>(S24-$I$5)/$I$4</f>
        <v>93.253259720427579</v>
      </c>
      <c r="V24" s="21">
        <f>U24-5</f>
        <v>88.253259720427579</v>
      </c>
      <c r="W24" s="22">
        <f>U24+5</f>
        <v>98.253259720427579</v>
      </c>
      <c r="X24" s="75"/>
      <c r="Y24" s="20"/>
      <c r="Z24" s="21"/>
      <c r="AA24" s="22"/>
      <c r="AB24" s="21"/>
      <c r="AC24" s="22"/>
      <c r="AD24" s="9"/>
    </row>
    <row r="25" spans="1:30" ht="15" thickBot="1" x14ac:dyDescent="0.35">
      <c r="H25" s="9" t="s">
        <v>29</v>
      </c>
      <c r="I25" s="38">
        <v>1408.0129999999999</v>
      </c>
      <c r="J25" s="60">
        <v>12021.9</v>
      </c>
      <c r="K25" s="47">
        <v>0.207538</v>
      </c>
      <c r="M25" t="s">
        <v>302</v>
      </c>
      <c r="N25" s="27">
        <f>(N21-O12)/O13</f>
        <v>860.82071237138507</v>
      </c>
      <c r="Q25" t="s">
        <v>162</v>
      </c>
      <c r="R25" s="8" t="s">
        <v>150</v>
      </c>
      <c r="S25" s="56">
        <v>2790.97</v>
      </c>
      <c r="T25" s="57">
        <v>0.45361499999999999</v>
      </c>
      <c r="U25" s="8">
        <f>(S25-$I$5)/$I$4</f>
        <v>328.62527898508165</v>
      </c>
      <c r="V25" s="4">
        <f t="shared" ref="V25" si="7">U25-5</f>
        <v>323.62527898508165</v>
      </c>
      <c r="W25" s="5">
        <f t="shared" ref="W25" si="8">U25+5</f>
        <v>333.62527898508165</v>
      </c>
      <c r="X25" s="8" t="s">
        <v>147</v>
      </c>
      <c r="Y25" s="8" t="s">
        <v>173</v>
      </c>
      <c r="Z25" s="4">
        <v>328.03</v>
      </c>
      <c r="AA25" s="5">
        <v>0.04</v>
      </c>
      <c r="AB25" s="4">
        <v>0.125</v>
      </c>
      <c r="AC25" s="5">
        <v>6.0000000000000001E-3</v>
      </c>
      <c r="AD25" s="8" t="s">
        <v>189</v>
      </c>
    </row>
    <row r="26" spans="1:30" ht="15" thickBot="1" x14ac:dyDescent="0.35">
      <c r="A26" s="49" t="s">
        <v>70</v>
      </c>
      <c r="R26" s="20"/>
      <c r="S26" s="21"/>
      <c r="T26" s="22"/>
      <c r="U26" s="20"/>
      <c r="V26" s="21"/>
      <c r="W26" s="82" t="s">
        <v>149</v>
      </c>
      <c r="X26" s="75" t="s">
        <v>147</v>
      </c>
      <c r="Y26" s="20" t="s">
        <v>163</v>
      </c>
      <c r="Z26" s="21">
        <v>326.04000000000002</v>
      </c>
      <c r="AA26" s="22"/>
      <c r="AB26" s="21">
        <v>3.3000000000000002E-2</v>
      </c>
      <c r="AC26" s="22">
        <v>5.0000000000000001E-3</v>
      </c>
      <c r="AD26" s="20" t="s">
        <v>189</v>
      </c>
    </row>
    <row r="27" spans="1:30" x14ac:dyDescent="0.3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 t="s">
        <v>13</v>
      </c>
      <c r="R27" s="20"/>
      <c r="S27" s="21"/>
      <c r="T27" s="22"/>
      <c r="U27" s="20"/>
      <c r="V27" s="21"/>
      <c r="W27" s="22"/>
      <c r="X27" s="20"/>
      <c r="Y27" s="20"/>
      <c r="Z27" s="21">
        <v>327.44</v>
      </c>
      <c r="AA27" s="22"/>
      <c r="AB27" s="21">
        <v>0.12</v>
      </c>
      <c r="AC27" s="22">
        <v>0.04</v>
      </c>
      <c r="AD27" s="20"/>
    </row>
    <row r="28" spans="1:30" ht="15" thickBot="1" x14ac:dyDescent="0.35">
      <c r="A28">
        <v>1</v>
      </c>
      <c r="B28" t="s">
        <v>14</v>
      </c>
      <c r="C28" s="1">
        <v>498.17700000000002</v>
      </c>
      <c r="D28" s="1">
        <v>1.27314E-2</v>
      </c>
      <c r="E28" s="1">
        <v>-8.0882199999999996E-7</v>
      </c>
      <c r="F28" s="1">
        <v>-0.280885</v>
      </c>
      <c r="R28" s="20"/>
      <c r="S28" s="21"/>
      <c r="T28" s="22"/>
      <c r="U28" s="75"/>
      <c r="V28" s="21"/>
      <c r="W28" s="22"/>
      <c r="X28" s="20"/>
      <c r="Y28" s="20"/>
      <c r="Z28" s="21">
        <v>328</v>
      </c>
      <c r="AA28" s="22"/>
      <c r="AB28" s="21">
        <v>2.95</v>
      </c>
      <c r="AC28" s="22">
        <v>0.12</v>
      </c>
      <c r="AD28" s="20"/>
    </row>
    <row r="29" spans="1:30" ht="15" thickBot="1" x14ac:dyDescent="0.35">
      <c r="A29">
        <v>2</v>
      </c>
      <c r="B29" t="s">
        <v>3</v>
      </c>
      <c r="C29" s="1">
        <v>9.4329400000000003</v>
      </c>
      <c r="D29" s="1">
        <v>2.4443300000000001E-2</v>
      </c>
      <c r="E29" s="1">
        <v>-3.16197E-6</v>
      </c>
      <c r="F29" s="1">
        <v>-0.172398</v>
      </c>
      <c r="I29" s="25" t="s">
        <v>58</v>
      </c>
      <c r="J29" s="25" t="s">
        <v>109</v>
      </c>
      <c r="K29" s="65" t="s">
        <v>134</v>
      </c>
      <c r="L29" t="s">
        <v>57</v>
      </c>
      <c r="R29" s="85"/>
      <c r="S29" s="84"/>
      <c r="T29" s="83"/>
      <c r="U29" s="20"/>
      <c r="V29" s="21"/>
      <c r="W29" s="22"/>
      <c r="X29" s="85"/>
      <c r="Y29" s="85"/>
      <c r="Z29" s="84">
        <v>332.37</v>
      </c>
      <c r="AA29" s="83"/>
      <c r="AB29" s="84">
        <v>0.4</v>
      </c>
      <c r="AC29" s="83">
        <v>0.04</v>
      </c>
      <c r="AD29" s="9"/>
    </row>
    <row r="30" spans="1:30" x14ac:dyDescent="0.3">
      <c r="A30">
        <v>3</v>
      </c>
      <c r="B30" t="s">
        <v>15</v>
      </c>
      <c r="C30" s="1">
        <v>110283</v>
      </c>
      <c r="D30" s="1">
        <v>341.05700000000002</v>
      </c>
      <c r="E30" s="1">
        <v>6.0587600000000001E-6</v>
      </c>
      <c r="F30" s="1">
        <v>9.6322100000000004E-3</v>
      </c>
      <c r="I30" s="8" t="s">
        <v>131</v>
      </c>
      <c r="J30" s="39">
        <v>59.540900000000001</v>
      </c>
      <c r="K30" s="8">
        <f t="shared" ref="K30:K37" si="9">$I$4*J30+$I$5</f>
        <v>500.25468169999999</v>
      </c>
      <c r="R30" s="20"/>
      <c r="S30" s="58">
        <v>2879.69</v>
      </c>
      <c r="T30" s="59">
        <v>0.16597300000000001</v>
      </c>
      <c r="U30" s="8">
        <f>(S30-$I$5)/$I$4</f>
        <v>339.04698696111831</v>
      </c>
      <c r="V30" s="4">
        <f>U30-5</f>
        <v>334.04698696111831</v>
      </c>
      <c r="W30" s="5">
        <f>U30+5</f>
        <v>344.04698696111831</v>
      </c>
      <c r="X30" s="20" t="s">
        <v>174</v>
      </c>
      <c r="Y30" s="20" t="s">
        <v>163</v>
      </c>
      <c r="Z30" s="21">
        <v>338.32</v>
      </c>
      <c r="AA30" s="22">
        <v>0.03</v>
      </c>
      <c r="AB30" s="21">
        <v>11.27</v>
      </c>
      <c r="AC30" s="22">
        <v>1.9E-2</v>
      </c>
      <c r="AD30" s="8" t="s">
        <v>189</v>
      </c>
    </row>
    <row r="31" spans="1:30" ht="15" thickBot="1" x14ac:dyDescent="0.35">
      <c r="A31">
        <v>4</v>
      </c>
      <c r="B31" t="s">
        <v>16</v>
      </c>
      <c r="C31" s="1">
        <v>2877.7</v>
      </c>
      <c r="D31" s="1">
        <v>1.5400799999999999</v>
      </c>
      <c r="E31" s="1">
        <v>2.9264999999999998E-3</v>
      </c>
      <c r="F31" s="1">
        <v>4.5885700000000001E-4</v>
      </c>
      <c r="I31" s="20" t="s">
        <v>59</v>
      </c>
      <c r="J31" s="20">
        <v>276.39890000000003</v>
      </c>
      <c r="K31" s="20">
        <f t="shared" si="9"/>
        <v>2346.3668357000001</v>
      </c>
      <c r="R31" s="9"/>
      <c r="S31" s="6"/>
      <c r="T31" s="7"/>
      <c r="U31" s="9"/>
      <c r="V31" s="6"/>
      <c r="W31" s="7"/>
      <c r="X31" s="9"/>
      <c r="Y31" s="9"/>
      <c r="Z31" s="6">
        <v>340.96</v>
      </c>
      <c r="AA31" s="7">
        <v>0.05</v>
      </c>
      <c r="AB31" s="6">
        <v>0.36899999999999999</v>
      </c>
      <c r="AC31" s="7">
        <v>2.1000000000000001E-2</v>
      </c>
      <c r="AD31" s="9"/>
    </row>
    <row r="32" spans="1:30" x14ac:dyDescent="0.3">
      <c r="A32">
        <v>5</v>
      </c>
      <c r="B32" t="s">
        <v>17</v>
      </c>
      <c r="C32" s="1">
        <v>-5.4778200000000004</v>
      </c>
      <c r="D32" s="1">
        <v>3.3937099999999999E-3</v>
      </c>
      <c r="E32" s="1">
        <v>9.3582100000000003E-6</v>
      </c>
      <c r="F32" s="1">
        <v>-0.310278</v>
      </c>
      <c r="I32" s="20" t="s">
        <v>59</v>
      </c>
      <c r="J32" s="20">
        <v>302.85079999999999</v>
      </c>
      <c r="K32" s="20">
        <f t="shared" si="9"/>
        <v>2571.5518603999999</v>
      </c>
      <c r="Q32" t="s">
        <v>175</v>
      </c>
      <c r="R32" s="8" t="s">
        <v>150</v>
      </c>
      <c r="S32" s="56">
        <v>3487.34</v>
      </c>
      <c r="T32" s="57">
        <v>0.55628900000000003</v>
      </c>
      <c r="U32" s="8">
        <f>(S32-$I$5)/$I$4</f>
        <v>410.42605426994015</v>
      </c>
      <c r="V32" s="4">
        <f t="shared" ref="V32:V38" si="10">U32-5</f>
        <v>405.42605426994015</v>
      </c>
      <c r="W32" s="5">
        <f t="shared" ref="W32:W34" si="11">U32+5</f>
        <v>415.42605426994015</v>
      </c>
      <c r="X32" s="8" t="s">
        <v>147</v>
      </c>
      <c r="Y32" s="8" t="s">
        <v>163</v>
      </c>
      <c r="Z32" s="4">
        <v>409.46199999999999</v>
      </c>
      <c r="AA32" s="5">
        <v>6.0000000000000001E-3</v>
      </c>
      <c r="AB32" s="4">
        <v>1.92</v>
      </c>
      <c r="AC32" s="5">
        <v>0.04</v>
      </c>
      <c r="AD32" s="8" t="s">
        <v>189</v>
      </c>
    </row>
    <row r="33" spans="1:36" ht="15" thickBot="1" x14ac:dyDescent="0.35">
      <c r="I33" s="20" t="s">
        <v>59</v>
      </c>
      <c r="J33" s="20">
        <v>356.0129</v>
      </c>
      <c r="K33" s="20">
        <f t="shared" si="9"/>
        <v>3024.1208176999999</v>
      </c>
      <c r="R33" s="20"/>
      <c r="S33" s="58">
        <v>3944.1</v>
      </c>
      <c r="T33" s="59">
        <v>0.39026499999999997</v>
      </c>
      <c r="U33" s="20">
        <f>(S33-$I$5)/$I$4</f>
        <v>464.08046517091509</v>
      </c>
      <c r="V33" s="21">
        <f t="shared" si="10"/>
        <v>459.08046517091509</v>
      </c>
      <c r="W33" s="22">
        <f t="shared" si="11"/>
        <v>469.08046517091509</v>
      </c>
      <c r="X33" s="20" t="s">
        <v>147</v>
      </c>
      <c r="Y33" s="20" t="s">
        <v>163</v>
      </c>
      <c r="Z33" s="21">
        <v>463.00400000000002</v>
      </c>
      <c r="AA33" s="22">
        <v>6.0000000000000001E-3</v>
      </c>
      <c r="AB33" s="21">
        <v>4.4000000000000004</v>
      </c>
      <c r="AC33" s="22">
        <v>7.0000000000000007E-2</v>
      </c>
      <c r="AD33" s="20" t="s">
        <v>189</v>
      </c>
    </row>
    <row r="34" spans="1:36" ht="15" thickBot="1" x14ac:dyDescent="0.35">
      <c r="A34" s="53" t="s">
        <v>99</v>
      </c>
      <c r="B34" s="54"/>
      <c r="C34" s="54"/>
      <c r="D34" s="55"/>
      <c r="I34" s="20" t="s">
        <v>59</v>
      </c>
      <c r="J34" s="20">
        <v>383.8485</v>
      </c>
      <c r="K34" s="20">
        <f t="shared" si="9"/>
        <v>3261.0852805</v>
      </c>
      <c r="R34" s="20"/>
      <c r="S34" s="58">
        <v>4351.87</v>
      </c>
      <c r="T34" s="59">
        <v>0.34479300000000002</v>
      </c>
      <c r="U34" s="20">
        <f>(S34-$I$5)/$I$4</f>
        <v>511.98014800892753</v>
      </c>
      <c r="V34" s="21">
        <f t="shared" si="10"/>
        <v>506.98014800892753</v>
      </c>
      <c r="W34" s="22">
        <f t="shared" si="11"/>
        <v>516.98014800892747</v>
      </c>
      <c r="X34" s="123" t="s">
        <v>147</v>
      </c>
      <c r="Y34" s="123" t="s">
        <v>163</v>
      </c>
      <c r="Z34" s="124">
        <v>508.959</v>
      </c>
      <c r="AA34" s="125">
        <v>1.7000000000000001E-2</v>
      </c>
      <c r="AB34" s="124">
        <v>0.45</v>
      </c>
      <c r="AC34" s="125">
        <v>0.5</v>
      </c>
      <c r="AD34" s="123" t="s">
        <v>189</v>
      </c>
    </row>
    <row r="35" spans="1:36" ht="15" thickBot="1" x14ac:dyDescent="0.35">
      <c r="A35" t="s">
        <v>100</v>
      </c>
      <c r="I35" s="20" t="s">
        <v>132</v>
      </c>
      <c r="J35" s="37">
        <v>661.65700000000004</v>
      </c>
      <c r="K35" s="20">
        <f t="shared" si="9"/>
        <v>5626.0690409999997</v>
      </c>
      <c r="R35" s="9"/>
      <c r="S35" s="6"/>
      <c r="T35" s="7"/>
      <c r="U35" s="9"/>
      <c r="V35" s="6"/>
      <c r="W35" s="82" t="s">
        <v>149</v>
      </c>
      <c r="X35" s="9" t="s">
        <v>147</v>
      </c>
      <c r="Y35" s="9" t="s">
        <v>168</v>
      </c>
      <c r="Z35" s="6">
        <v>510.77</v>
      </c>
      <c r="AA35" s="7">
        <v>0.1</v>
      </c>
      <c r="AB35" s="6">
        <v>22.6</v>
      </c>
      <c r="AC35" s="7">
        <v>0.2</v>
      </c>
      <c r="AD35" s="9"/>
    </row>
    <row r="36" spans="1:36" ht="15" thickBot="1" x14ac:dyDescent="0.35">
      <c r="A36" t="s">
        <v>8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I36" s="20" t="s">
        <v>133</v>
      </c>
      <c r="J36" s="37">
        <v>1173.2280000000001</v>
      </c>
      <c r="K36" s="20">
        <f t="shared" si="9"/>
        <v>9981.0729640000009</v>
      </c>
      <c r="Q36">
        <v>6200</v>
      </c>
      <c r="R36" s="27" t="s">
        <v>150</v>
      </c>
      <c r="S36" s="86">
        <v>6200.71</v>
      </c>
      <c r="T36" s="86">
        <v>0.41578100000000001</v>
      </c>
      <c r="U36" s="27">
        <f t="shared" ref="U36:U42" si="12">(S36-$I$5)/$I$4</f>
        <v>729.15858099377431</v>
      </c>
      <c r="V36" s="15">
        <f t="shared" si="10"/>
        <v>724.15858099377431</v>
      </c>
      <c r="W36" s="16">
        <f t="shared" ref="W36" si="13">U36+5</f>
        <v>734.15858099377431</v>
      </c>
      <c r="X36" s="27" t="s">
        <v>147</v>
      </c>
      <c r="Y36" s="20" t="s">
        <v>173</v>
      </c>
      <c r="Z36" s="2">
        <v>727.33</v>
      </c>
      <c r="AA36" t="s">
        <v>347</v>
      </c>
      <c r="AB36" s="2">
        <v>6.67</v>
      </c>
      <c r="AC36">
        <v>0.09</v>
      </c>
      <c r="AD36" s="20" t="s">
        <v>189</v>
      </c>
      <c r="AE36" s="27" t="s">
        <v>163</v>
      </c>
      <c r="AF36" s="15">
        <v>726.86699999999996</v>
      </c>
      <c r="AG36" s="16">
        <v>1.4999999999999999E-2</v>
      </c>
      <c r="AH36" s="15">
        <v>0.62</v>
      </c>
      <c r="AI36" s="16">
        <v>0.08</v>
      </c>
      <c r="AJ36" s="27" t="s">
        <v>189</v>
      </c>
    </row>
    <row r="37" spans="1:36" ht="15" thickBot="1" x14ac:dyDescent="0.35">
      <c r="A37">
        <v>1</v>
      </c>
      <c r="B37" t="s">
        <v>14</v>
      </c>
      <c r="C37" s="1">
        <v>9932.7800000000007</v>
      </c>
      <c r="D37" s="1">
        <v>8.6461999999999997E-2</v>
      </c>
      <c r="E37" s="1">
        <v>6.4804800000000006E-8</v>
      </c>
      <c r="F37" s="1">
        <v>1.77848E-3</v>
      </c>
      <c r="I37" s="9" t="s">
        <v>133</v>
      </c>
      <c r="J37" s="38">
        <v>1332.492</v>
      </c>
      <c r="K37" s="9">
        <f t="shared" si="9"/>
        <v>11336.887396</v>
      </c>
      <c r="Q37">
        <v>6800</v>
      </c>
      <c r="R37" s="27" t="s">
        <v>150</v>
      </c>
      <c r="S37" s="86">
        <v>6778.76</v>
      </c>
      <c r="T37" s="86">
        <v>0.72280599999999995</v>
      </c>
      <c r="U37" s="27">
        <f t="shared" si="12"/>
        <v>797.06061317984268</v>
      </c>
      <c r="V37" s="15">
        <f t="shared" si="10"/>
        <v>792.06061317984268</v>
      </c>
      <c r="W37" s="16">
        <f t="shared" ref="W37" si="14">U37+5</f>
        <v>802.06061317984268</v>
      </c>
      <c r="X37" s="27" t="s">
        <v>147</v>
      </c>
      <c r="Y37" s="27" t="s">
        <v>163</v>
      </c>
      <c r="Z37" s="15">
        <v>794.947</v>
      </c>
      <c r="AA37" s="16">
        <v>5.0000000000000001E-3</v>
      </c>
      <c r="AB37" s="15">
        <v>4.25</v>
      </c>
      <c r="AC37" s="16">
        <v>7.0000000000000007E-2</v>
      </c>
      <c r="AD37" s="27" t="s">
        <v>189</v>
      </c>
    </row>
    <row r="38" spans="1:36" ht="15" thickBot="1" x14ac:dyDescent="0.35">
      <c r="A38">
        <v>2</v>
      </c>
      <c r="B38" t="s">
        <v>3</v>
      </c>
      <c r="C38" s="1">
        <v>28.5947</v>
      </c>
      <c r="D38" s="1">
        <v>0.20355100000000001</v>
      </c>
      <c r="E38" s="1">
        <v>-1.25189E-6</v>
      </c>
      <c r="F38" s="1">
        <v>-8.5007099999999999E-4</v>
      </c>
      <c r="Q38">
        <v>7300</v>
      </c>
      <c r="R38" s="27" t="s">
        <v>150</v>
      </c>
      <c r="S38" s="80">
        <v>7340.69</v>
      </c>
      <c r="T38" s="86">
        <v>0.58320300000000003</v>
      </c>
      <c r="U38" s="27">
        <f t="shared" si="12"/>
        <v>863.06907083284386</v>
      </c>
      <c r="V38" s="15">
        <f t="shared" si="10"/>
        <v>858.06907083284386</v>
      </c>
      <c r="W38" s="48">
        <f t="shared" ref="W38" si="15">U38+5</f>
        <v>868.06907083284386</v>
      </c>
      <c r="X38" s="27" t="s">
        <v>147</v>
      </c>
      <c r="Y38" s="27" t="s">
        <v>168</v>
      </c>
      <c r="Z38" s="15">
        <v>860.55700000000002</v>
      </c>
      <c r="AA38" s="16">
        <v>4.0000000000000001E-3</v>
      </c>
      <c r="AB38" s="15">
        <v>12.5</v>
      </c>
      <c r="AC38" s="16">
        <v>0.1</v>
      </c>
      <c r="AD38" s="27" t="s">
        <v>189</v>
      </c>
    </row>
    <row r="39" spans="1:36" ht="15" thickBot="1" x14ac:dyDescent="0.35">
      <c r="A39">
        <v>3</v>
      </c>
      <c r="B39" t="s">
        <v>15</v>
      </c>
      <c r="C39" s="1">
        <v>22348.9</v>
      </c>
      <c r="D39" s="1">
        <v>153.51900000000001</v>
      </c>
      <c r="E39" s="1">
        <v>-1.36933E-5</v>
      </c>
      <c r="F39" s="1">
        <v>-1.96245E-4</v>
      </c>
      <c r="Q39">
        <v>4500</v>
      </c>
      <c r="R39" s="20" t="s">
        <v>150</v>
      </c>
      <c r="S39" s="1">
        <v>4351.8900000000003</v>
      </c>
      <c r="T39" s="1">
        <v>0.34487499999999999</v>
      </c>
      <c r="U39" s="27">
        <f t="shared" si="12"/>
        <v>511.98249735698352</v>
      </c>
      <c r="X39" s="27" t="s">
        <v>147</v>
      </c>
      <c r="Y39" s="27" t="s">
        <v>168</v>
      </c>
      <c r="Z39" s="62">
        <v>510.77</v>
      </c>
      <c r="AA39" s="16">
        <v>0.1</v>
      </c>
      <c r="AB39" s="15">
        <v>22.6</v>
      </c>
      <c r="AC39" s="16">
        <v>0.2</v>
      </c>
      <c r="AD39" s="27" t="s">
        <v>189</v>
      </c>
    </row>
    <row r="40" spans="1:36" ht="15" thickBot="1" x14ac:dyDescent="0.35">
      <c r="A40">
        <v>4</v>
      </c>
      <c r="B40" t="s">
        <v>16</v>
      </c>
      <c r="C40" s="1">
        <v>320.94299999999998</v>
      </c>
      <c r="D40" s="1">
        <v>9.05349</v>
      </c>
      <c r="E40" s="1">
        <v>8.9624599999999999E-2</v>
      </c>
      <c r="F40" s="1">
        <v>9.7961300000000003E-8</v>
      </c>
      <c r="Q40">
        <v>4000</v>
      </c>
      <c r="R40" s="20" t="s">
        <v>150</v>
      </c>
      <c r="S40" s="1">
        <v>3944.11</v>
      </c>
      <c r="T40" s="1">
        <v>0.38987300000000003</v>
      </c>
      <c r="U40" s="27">
        <f t="shared" si="12"/>
        <v>464.08163984494308</v>
      </c>
      <c r="X40" s="27" t="s">
        <v>147</v>
      </c>
      <c r="Y40" s="27" t="s">
        <v>163</v>
      </c>
      <c r="Z40" s="21">
        <v>463.00400000000002</v>
      </c>
      <c r="AA40">
        <v>6.0000000000000001E-3</v>
      </c>
      <c r="AB40">
        <v>4.4000000000000004</v>
      </c>
      <c r="AC40" s="22">
        <v>7.0000000000000007E-2</v>
      </c>
      <c r="AD40" s="20" t="s">
        <v>189</v>
      </c>
    </row>
    <row r="41" spans="1:36" ht="15" thickBot="1" x14ac:dyDescent="0.35">
      <c r="A41">
        <v>5</v>
      </c>
      <c r="B41" t="s">
        <v>17</v>
      </c>
      <c r="C41" s="1">
        <v>-3.0821100000000001E-2</v>
      </c>
      <c r="D41" s="1">
        <v>8.9868000000000001E-4</v>
      </c>
      <c r="E41" s="1">
        <v>-8.8970499999999998E-6</v>
      </c>
      <c r="F41" s="1">
        <v>1.4888499999999999E-4</v>
      </c>
      <c r="Q41">
        <v>3500</v>
      </c>
      <c r="R41" s="20" t="s">
        <v>150</v>
      </c>
      <c r="S41" s="1">
        <v>3487.44</v>
      </c>
      <c r="T41" s="1">
        <v>0.55423999999999995</v>
      </c>
      <c r="U41" s="27">
        <f t="shared" si="12"/>
        <v>410.43780101021969</v>
      </c>
      <c r="X41" s="20" t="s">
        <v>147</v>
      </c>
      <c r="Y41" s="8" t="s">
        <v>163</v>
      </c>
      <c r="Z41" s="4">
        <v>409.46199999999999</v>
      </c>
      <c r="AA41" s="5">
        <v>6.0000000000000001E-3</v>
      </c>
      <c r="AB41" s="4">
        <v>1.92</v>
      </c>
      <c r="AC41" s="5">
        <v>0.04</v>
      </c>
      <c r="AD41" s="8" t="s">
        <v>189</v>
      </c>
    </row>
    <row r="42" spans="1:36" ht="15" thickBot="1" x14ac:dyDescent="0.35">
      <c r="A42" t="s">
        <v>101</v>
      </c>
      <c r="Q42">
        <v>1800</v>
      </c>
      <c r="R42" s="20" t="s">
        <v>150</v>
      </c>
      <c r="S42" s="1">
        <v>1777.6</v>
      </c>
      <c r="T42" s="1">
        <v>0.239343</v>
      </c>
      <c r="U42" s="27">
        <f t="shared" si="12"/>
        <v>209.58733701397861</v>
      </c>
      <c r="X42" s="20" t="s">
        <v>147</v>
      </c>
      <c r="Y42" s="8" t="s">
        <v>163</v>
      </c>
      <c r="Z42" s="2">
        <v>209.25299999999999</v>
      </c>
      <c r="AA42">
        <v>6.0000000000000001E-3</v>
      </c>
      <c r="AB42" s="2" t="s">
        <v>352</v>
      </c>
      <c r="AC42" s="22">
        <v>7.0000000000000007E-2</v>
      </c>
      <c r="AD42" s="20" t="s">
        <v>189</v>
      </c>
    </row>
    <row r="43" spans="1:36" ht="15" thickBot="1" x14ac:dyDescent="0.35">
      <c r="A43" t="s">
        <v>8</v>
      </c>
      <c r="B43" t="s">
        <v>9</v>
      </c>
      <c r="C43" t="s">
        <v>10</v>
      </c>
      <c r="D43" t="s">
        <v>11</v>
      </c>
      <c r="E43" t="s">
        <v>12</v>
      </c>
      <c r="F43" t="s">
        <v>13</v>
      </c>
      <c r="Q43" t="s">
        <v>353</v>
      </c>
      <c r="R43" s="20" t="s">
        <v>150</v>
      </c>
      <c r="S43" s="1">
        <v>2298.13</v>
      </c>
      <c r="T43" s="1">
        <v>0.30739300000000003</v>
      </c>
      <c r="U43" s="27">
        <f t="shared" ref="U43:U44" si="16">(S43-$I$5)/$I$4</f>
        <v>270.73264419123694</v>
      </c>
      <c r="X43" s="20" t="s">
        <v>147</v>
      </c>
      <c r="Y43" s="8" t="s">
        <v>163</v>
      </c>
      <c r="Z43" s="2">
        <v>270.245</v>
      </c>
      <c r="AA43">
        <v>2E-3</v>
      </c>
      <c r="AB43" s="2" t="s">
        <v>355</v>
      </c>
      <c r="AC43" s="22">
        <v>0.06</v>
      </c>
      <c r="AD43" s="20" t="s">
        <v>189</v>
      </c>
    </row>
    <row r="44" spans="1:36" ht="15" thickBot="1" x14ac:dyDescent="0.35">
      <c r="A44">
        <v>1</v>
      </c>
      <c r="B44" t="s">
        <v>14</v>
      </c>
      <c r="C44" s="1">
        <v>11283.6</v>
      </c>
      <c r="D44" s="1">
        <v>9.8456500000000002E-2</v>
      </c>
      <c r="E44" s="1">
        <v>6.1606099999999998E-6</v>
      </c>
      <c r="F44" s="1">
        <v>2.40341</v>
      </c>
      <c r="I44" t="s">
        <v>9</v>
      </c>
      <c r="J44" t="s">
        <v>10</v>
      </c>
      <c r="K44" t="s">
        <v>11</v>
      </c>
      <c r="L44" t="s">
        <v>12</v>
      </c>
      <c r="S44" s="1">
        <v>2359.4899999999998</v>
      </c>
      <c r="T44" s="1">
        <v>0.40859000000000001</v>
      </c>
      <c r="U44" s="27">
        <f t="shared" si="16"/>
        <v>277.94044402678259</v>
      </c>
      <c r="X44" s="20" t="s">
        <v>147</v>
      </c>
      <c r="Y44" s="20" t="s">
        <v>168</v>
      </c>
      <c r="Z44" s="2">
        <v>277.37099999999998</v>
      </c>
      <c r="AA44">
        <v>5.0000000000000001E-3</v>
      </c>
      <c r="AB44" s="2" t="s">
        <v>356</v>
      </c>
      <c r="AC44" s="22">
        <v>0.3</v>
      </c>
      <c r="AD44" s="20" t="s">
        <v>189</v>
      </c>
    </row>
    <row r="45" spans="1:36" ht="15" thickBot="1" x14ac:dyDescent="0.35">
      <c r="A45">
        <v>2</v>
      </c>
      <c r="B45" t="s">
        <v>3</v>
      </c>
      <c r="C45" s="1">
        <v>32.061100000000003</v>
      </c>
      <c r="D45" s="1">
        <v>0.23316600000000001</v>
      </c>
      <c r="E45" s="1">
        <v>3.48625E-5</v>
      </c>
      <c r="F45" s="1">
        <v>-5.1491200000000001E-3</v>
      </c>
      <c r="I45" t="s">
        <v>21</v>
      </c>
      <c r="J45" s="1">
        <v>9267.35</v>
      </c>
      <c r="K45" s="1">
        <v>0.25280999999999998</v>
      </c>
      <c r="L45" s="1">
        <v>1.36742E-5</v>
      </c>
      <c r="S45" s="1">
        <v>2553.8200000000002</v>
      </c>
      <c r="T45" s="1">
        <v>0.31670700000000002</v>
      </c>
      <c r="U45" s="27">
        <f>(S45-$I$5)/$I$4</f>
        <v>300.76788441207572</v>
      </c>
      <c r="X45" s="20" t="s">
        <v>147</v>
      </c>
      <c r="Y45" s="20" t="s">
        <v>166</v>
      </c>
      <c r="Z45" s="2">
        <v>300.08699999999999</v>
      </c>
      <c r="AA45">
        <v>0.01</v>
      </c>
      <c r="AB45" s="2" t="s">
        <v>357</v>
      </c>
      <c r="AC45" s="22">
        <v>0.04</v>
      </c>
      <c r="AD45" s="20" t="s">
        <v>189</v>
      </c>
    </row>
    <row r="46" spans="1:36" ht="15" thickBot="1" x14ac:dyDescent="0.35">
      <c r="A46">
        <v>3</v>
      </c>
      <c r="B46" t="s">
        <v>15</v>
      </c>
      <c r="C46" s="1">
        <v>20268.7</v>
      </c>
      <c r="D46" s="1">
        <v>143.32599999999999</v>
      </c>
      <c r="E46" s="1">
        <v>3.6296499999999998E-4</v>
      </c>
      <c r="F46" s="1">
        <v>-4.3337399999999998E-2</v>
      </c>
      <c r="I46" t="s">
        <v>22</v>
      </c>
      <c r="J46" s="1">
        <v>19.9255</v>
      </c>
      <c r="K46" s="1">
        <v>0.61778</v>
      </c>
      <c r="L46" s="1">
        <v>6.5502300000000005E-5</v>
      </c>
    </row>
    <row r="47" spans="1:36" ht="15" thickBot="1" x14ac:dyDescent="0.35">
      <c r="A47">
        <v>4</v>
      </c>
      <c r="B47" t="s">
        <v>16</v>
      </c>
      <c r="C47" s="1">
        <v>62.012500000000003</v>
      </c>
      <c r="D47" s="1">
        <v>3.4807899999999998</v>
      </c>
      <c r="E47" s="1">
        <v>1.52856E-3</v>
      </c>
      <c r="F47" s="1">
        <v>-2.89676E-3</v>
      </c>
      <c r="I47" t="s">
        <v>23</v>
      </c>
      <c r="J47" s="1">
        <v>1554.85</v>
      </c>
      <c r="K47" s="1">
        <v>43.091200000000001</v>
      </c>
      <c r="L47" s="1">
        <v>1.8524399999999999E-4</v>
      </c>
      <c r="Q47">
        <v>15000</v>
      </c>
      <c r="R47" s="8" t="s">
        <v>179</v>
      </c>
      <c r="S47" s="56">
        <v>15058.9</v>
      </c>
      <c r="T47" s="57">
        <v>0.39296900000000001</v>
      </c>
      <c r="U47" s="16">
        <f>(S47-$I$5)/$I$4</f>
        <v>1769.7071537648303</v>
      </c>
      <c r="V47" s="15">
        <f>U47-5</f>
        <v>1764.7071537648303</v>
      </c>
      <c r="W47" s="16">
        <f>U47+5</f>
        <v>1774.7071537648303</v>
      </c>
      <c r="X47" s="8" t="s">
        <v>147</v>
      </c>
      <c r="Y47" s="126" t="s">
        <v>190</v>
      </c>
      <c r="Z47" s="127">
        <v>1764.491</v>
      </c>
      <c r="AA47" s="128">
        <v>0.01</v>
      </c>
      <c r="AB47" s="127">
        <v>15.3</v>
      </c>
      <c r="AC47" s="128">
        <v>0.03</v>
      </c>
      <c r="AD47" s="126" t="s">
        <v>191</v>
      </c>
    </row>
    <row r="48" spans="1:36" ht="15" thickBot="1" x14ac:dyDescent="0.35">
      <c r="A48">
        <v>5</v>
      </c>
      <c r="B48" t="s">
        <v>17</v>
      </c>
      <c r="C48" s="1">
        <v>-5.2220799999999996E-3</v>
      </c>
      <c r="D48" s="1">
        <v>3.0498100000000001E-4</v>
      </c>
      <c r="E48" s="1">
        <v>1.3393599999999999E-7</v>
      </c>
      <c r="F48" s="1">
        <v>-32.993299999999998</v>
      </c>
      <c r="I48" s="28" t="s">
        <v>24</v>
      </c>
      <c r="J48" s="44">
        <v>9300.08</v>
      </c>
      <c r="K48" s="44">
        <v>0.75956500000000005</v>
      </c>
      <c r="L48" s="44">
        <v>3.5390299999999999E-5</v>
      </c>
      <c r="R48" s="20"/>
      <c r="S48" s="21"/>
      <c r="T48" s="22"/>
      <c r="W48" s="82" t="s">
        <v>193</v>
      </c>
      <c r="X48" s="20" t="s">
        <v>147</v>
      </c>
      <c r="Y48" s="20" t="s">
        <v>163</v>
      </c>
      <c r="Z48" s="21">
        <v>1772.2</v>
      </c>
      <c r="AA48" s="22">
        <v>0.3</v>
      </c>
      <c r="AB48" s="21">
        <v>1.8E-3</v>
      </c>
      <c r="AC48" s="22">
        <v>5.0000000000000001E-4</v>
      </c>
      <c r="AD48" s="20" t="s">
        <v>189</v>
      </c>
    </row>
    <row r="49" spans="1:31" ht="15" thickBot="1" x14ac:dyDescent="0.35">
      <c r="I49" s="28" t="s">
        <v>25</v>
      </c>
      <c r="J49" s="44">
        <v>17.596599999999999</v>
      </c>
      <c r="K49" s="44">
        <v>1.6090899999999999</v>
      </c>
      <c r="L49" s="44">
        <v>1.7070900000000001E-4</v>
      </c>
      <c r="R49" s="9"/>
      <c r="S49" s="6"/>
      <c r="T49" s="7"/>
      <c r="U49" s="46"/>
      <c r="V49" s="46"/>
      <c r="W49" s="7"/>
      <c r="X49" s="9" t="s">
        <v>147</v>
      </c>
      <c r="Y49" s="9" t="s">
        <v>194</v>
      </c>
      <c r="Z49" s="6">
        <v>1770.5</v>
      </c>
      <c r="AA49" s="7">
        <v>1</v>
      </c>
      <c r="AB49" s="6">
        <v>0.1</v>
      </c>
      <c r="AC49" s="7">
        <v>0.04</v>
      </c>
      <c r="AD49" s="9" t="s">
        <v>192</v>
      </c>
    </row>
    <row r="50" spans="1:31" ht="15" thickBot="1" x14ac:dyDescent="0.35">
      <c r="A50" s="49" t="s">
        <v>29</v>
      </c>
      <c r="I50" s="28" t="s">
        <v>26</v>
      </c>
      <c r="J50" s="44">
        <v>267.11700000000002</v>
      </c>
      <c r="K50" s="44">
        <v>22.936699999999998</v>
      </c>
      <c r="L50" s="44">
        <v>1.8698099999999999E-4</v>
      </c>
      <c r="Q50">
        <v>9500</v>
      </c>
      <c r="R50" s="8" t="s">
        <v>179</v>
      </c>
      <c r="S50" s="56">
        <v>9555.59</v>
      </c>
      <c r="T50" s="57">
        <v>0.27668399999999999</v>
      </c>
      <c r="U50" s="9">
        <f>(S50-$I$5)/$I$4</f>
        <v>1123.2476212850934</v>
      </c>
      <c r="V50" s="6">
        <f>U50-5</f>
        <v>1118.2476212850934</v>
      </c>
      <c r="W50" s="7">
        <f>U50+5</f>
        <v>1128.2476212850934</v>
      </c>
      <c r="X50" s="8" t="s">
        <v>147</v>
      </c>
      <c r="Y50" s="8" t="s">
        <v>168</v>
      </c>
      <c r="Z50" s="4">
        <v>1125.7</v>
      </c>
      <c r="AA50" s="5">
        <v>0.4</v>
      </c>
      <c r="AB50" s="4">
        <v>5.0000000000000001E-3</v>
      </c>
      <c r="AC50" s="5">
        <v>2E-3</v>
      </c>
      <c r="AD50" s="8" t="s">
        <v>189</v>
      </c>
    </row>
    <row r="51" spans="1:31" x14ac:dyDescent="0.3">
      <c r="A51">
        <v>121</v>
      </c>
      <c r="H51">
        <v>1085</v>
      </c>
      <c r="R51" s="20"/>
      <c r="S51" s="21"/>
      <c r="T51" s="22"/>
      <c r="X51" s="20" t="s">
        <v>147</v>
      </c>
      <c r="Y51" s="129" t="s">
        <v>190</v>
      </c>
      <c r="Z51" s="130">
        <v>1120.2940000000001</v>
      </c>
      <c r="AA51" s="131">
        <v>6.0000000000000001E-3</v>
      </c>
      <c r="AB51" s="130">
        <v>14.92</v>
      </c>
      <c r="AC51" s="131">
        <v>0.03</v>
      </c>
      <c r="AD51" s="129" t="s">
        <v>191</v>
      </c>
    </row>
    <row r="52" spans="1:31" ht="15" thickBot="1" x14ac:dyDescent="0.35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 t="s">
        <v>13</v>
      </c>
      <c r="H52" t="s">
        <v>8</v>
      </c>
      <c r="I52" t="s">
        <v>78</v>
      </c>
      <c r="J52" s="1">
        <v>9491.5499999999993</v>
      </c>
      <c r="K52" s="1">
        <v>0.21194199999999999</v>
      </c>
      <c r="L52" s="1">
        <v>1.03389E-5</v>
      </c>
      <c r="M52" t="s">
        <v>13</v>
      </c>
      <c r="R52" s="20"/>
      <c r="S52" s="21"/>
      <c r="T52" s="22"/>
      <c r="X52" s="20" t="s">
        <v>147</v>
      </c>
      <c r="Y52" s="20" t="s">
        <v>195</v>
      </c>
      <c r="Z52" s="21">
        <v>1127.7</v>
      </c>
      <c r="AA52" s="22">
        <v>0.7</v>
      </c>
      <c r="AB52" s="21">
        <v>0.97</v>
      </c>
      <c r="AC52" s="22">
        <v>0.18</v>
      </c>
      <c r="AD52" s="20" t="s">
        <v>196</v>
      </c>
    </row>
    <row r="53" spans="1:31" ht="15" thickBot="1" x14ac:dyDescent="0.35">
      <c r="A53">
        <v>1</v>
      </c>
      <c r="B53" t="s">
        <v>14</v>
      </c>
      <c r="C53" s="1">
        <v>1030.18</v>
      </c>
      <c r="D53" s="1">
        <v>2.7672200000000001E-2</v>
      </c>
      <c r="E53" s="1">
        <v>-5.1465299999999996E-9</v>
      </c>
      <c r="F53" s="1">
        <v>9.54395E-5</v>
      </c>
      <c r="H53">
        <v>1</v>
      </c>
      <c r="I53" t="s">
        <v>79</v>
      </c>
      <c r="J53" s="1">
        <v>19.989899999999999</v>
      </c>
      <c r="K53" s="1">
        <v>0.44738099999999997</v>
      </c>
      <c r="L53" s="1">
        <v>5.0869999999999999E-5</v>
      </c>
      <c r="M53" s="1">
        <v>-1.70229E-3</v>
      </c>
      <c r="R53" s="9"/>
      <c r="S53" s="6"/>
      <c r="T53" s="7"/>
      <c r="W53" s="82" t="s">
        <v>199</v>
      </c>
      <c r="X53" s="9" t="s">
        <v>147</v>
      </c>
      <c r="Y53" s="9" t="s">
        <v>197</v>
      </c>
      <c r="Z53" s="6" t="s">
        <v>198</v>
      </c>
      <c r="AA53" s="7"/>
      <c r="AB53" s="6"/>
      <c r="AC53" s="7"/>
      <c r="AD53" s="9" t="s">
        <v>191</v>
      </c>
    </row>
    <row r="54" spans="1:31" ht="15" thickBot="1" x14ac:dyDescent="0.35">
      <c r="A54">
        <v>2</v>
      </c>
      <c r="B54" t="s">
        <v>3</v>
      </c>
      <c r="C54" s="1">
        <v>10.4528</v>
      </c>
      <c r="D54" s="1">
        <v>5.5628700000000003E-2</v>
      </c>
      <c r="E54" s="1">
        <v>3.88371E-7</v>
      </c>
      <c r="F54" s="1">
        <v>5.0793700000000001E-5</v>
      </c>
      <c r="H54">
        <v>2</v>
      </c>
      <c r="I54" t="s">
        <v>80</v>
      </c>
      <c r="J54" s="1">
        <v>2050.67</v>
      </c>
      <c r="K54" s="1">
        <v>47.137599999999999</v>
      </c>
      <c r="L54" s="1">
        <v>1.9358900000000001E-4</v>
      </c>
      <c r="M54" s="1">
        <v>-4.4774499999999999E-4</v>
      </c>
      <c r="Q54">
        <v>5100</v>
      </c>
      <c r="R54" s="8" t="s">
        <v>179</v>
      </c>
      <c r="S54" s="56">
        <v>5193.28</v>
      </c>
      <c r="T54" s="57">
        <v>8.2083799999999998E-2</v>
      </c>
      <c r="U54" s="27">
        <f>(S54-$I$5)/$I$4</f>
        <v>610.81839539527778</v>
      </c>
      <c r="V54" s="15">
        <f>U54-5</f>
        <v>605.81839539527778</v>
      </c>
      <c r="W54" s="16">
        <f>U54+5</f>
        <v>615.81839539527778</v>
      </c>
      <c r="X54" s="8" t="s">
        <v>147</v>
      </c>
      <c r="Y54" s="126" t="s">
        <v>190</v>
      </c>
      <c r="Z54" s="127">
        <v>609.32000000000005</v>
      </c>
      <c r="AA54" s="128">
        <v>0.05</v>
      </c>
      <c r="AB54" s="127">
        <v>45.49</v>
      </c>
      <c r="AC54" s="128">
        <v>0.16</v>
      </c>
      <c r="AD54" s="126" t="s">
        <v>191</v>
      </c>
    </row>
    <row r="55" spans="1:31" x14ac:dyDescent="0.3">
      <c r="A55">
        <v>3</v>
      </c>
      <c r="B55" t="s">
        <v>15</v>
      </c>
      <c r="C55" s="1">
        <v>28988.7</v>
      </c>
      <c r="D55" s="1">
        <v>174.495</v>
      </c>
      <c r="E55" s="1">
        <v>3.36023E-6</v>
      </c>
      <c r="F55" s="1">
        <v>-7.1969600000000003E-5</v>
      </c>
      <c r="H55">
        <v>3</v>
      </c>
      <c r="I55" t="s">
        <v>16</v>
      </c>
      <c r="J55" s="1">
        <v>21.027000000000001</v>
      </c>
      <c r="K55" s="1">
        <v>5.4990699999999997</v>
      </c>
      <c r="L55" s="1">
        <v>1.0404800000000001E-3</v>
      </c>
      <c r="M55" s="1">
        <v>5.3471300000000003E-4</v>
      </c>
      <c r="R55" s="20"/>
      <c r="S55" s="21"/>
      <c r="T55" s="22"/>
      <c r="U55" s="20"/>
      <c r="W55" s="22"/>
      <c r="X55" s="20" t="s">
        <v>147</v>
      </c>
      <c r="Y55" s="20" t="s">
        <v>200</v>
      </c>
      <c r="Z55" s="21">
        <v>609.38</v>
      </c>
      <c r="AA55" s="22">
        <v>0.04</v>
      </c>
      <c r="AB55" s="21">
        <v>4.2999999999999997E-2</v>
      </c>
      <c r="AC55" s="22">
        <v>6.0000000000000001E-3</v>
      </c>
      <c r="AD55" s="20" t="s">
        <v>196</v>
      </c>
    </row>
    <row r="56" spans="1:31" x14ac:dyDescent="0.3">
      <c r="A56">
        <v>4</v>
      </c>
      <c r="B56" t="s">
        <v>16</v>
      </c>
      <c r="C56" s="1">
        <v>138.57400000000001</v>
      </c>
      <c r="D56" s="1">
        <v>5.1047200000000004</v>
      </c>
      <c r="E56" s="1">
        <v>-3.1130700000000001E-2</v>
      </c>
      <c r="F56" s="1">
        <v>-7.2497099999999998E-9</v>
      </c>
      <c r="H56" s="28">
        <v>4</v>
      </c>
      <c r="I56" t="s">
        <v>17</v>
      </c>
      <c r="J56" s="1">
        <v>-1.9098100000000001E-3</v>
      </c>
      <c r="K56" s="1">
        <v>5.8318300000000003E-4</v>
      </c>
      <c r="L56" s="1">
        <v>1.1039799999999999E-7</v>
      </c>
      <c r="M56" s="44">
        <v>-6.5940299999999999E-3</v>
      </c>
      <c r="R56" s="20"/>
      <c r="S56" s="21"/>
      <c r="T56" s="22"/>
      <c r="U56" s="20"/>
      <c r="W56" s="22"/>
      <c r="X56" s="20" t="s">
        <v>147</v>
      </c>
      <c r="Y56" s="20" t="s">
        <v>195</v>
      </c>
      <c r="Z56" s="21">
        <v>609</v>
      </c>
      <c r="AA56" s="22">
        <v>0.5</v>
      </c>
      <c r="AB56" s="21">
        <v>1.39</v>
      </c>
      <c r="AC56" s="22">
        <v>0.21</v>
      </c>
      <c r="AD56" s="20" t="s">
        <v>196</v>
      </c>
    </row>
    <row r="57" spans="1:31" x14ac:dyDescent="0.3">
      <c r="A57">
        <v>5</v>
      </c>
      <c r="B57" t="s">
        <v>17</v>
      </c>
      <c r="C57" s="1">
        <v>-8.8408100000000003E-2</v>
      </c>
      <c r="D57" s="1">
        <v>4.6653800000000002E-3</v>
      </c>
      <c r="E57" s="1">
        <v>2.8465700000000001E-5</v>
      </c>
      <c r="F57" s="1">
        <v>-1.26242E-5</v>
      </c>
      <c r="H57" s="28">
        <v>5</v>
      </c>
      <c r="M57" s="44">
        <v>4.7109799999999998E-4</v>
      </c>
      <c r="R57" s="20"/>
      <c r="S57" s="21"/>
      <c r="T57" s="22"/>
      <c r="U57" s="20"/>
      <c r="W57" s="22"/>
      <c r="X57" s="20" t="s">
        <v>147</v>
      </c>
      <c r="Y57" s="20" t="s">
        <v>201</v>
      </c>
      <c r="Z57" s="21">
        <v>608.29999999999995</v>
      </c>
      <c r="AA57" s="22">
        <v>0.2</v>
      </c>
      <c r="AB57" s="21">
        <v>4.3E-3</v>
      </c>
      <c r="AC57" s="22">
        <v>1.1000000000000001E-3</v>
      </c>
      <c r="AD57" s="20" t="s">
        <v>196</v>
      </c>
    </row>
    <row r="58" spans="1:31" x14ac:dyDescent="0.3">
      <c r="A58">
        <v>244</v>
      </c>
      <c r="H58" s="28">
        <v>6</v>
      </c>
      <c r="I58" t="s">
        <v>9</v>
      </c>
      <c r="J58" t="s">
        <v>10</v>
      </c>
      <c r="K58" t="s">
        <v>11</v>
      </c>
      <c r="L58" t="s">
        <v>12</v>
      </c>
      <c r="M58" s="44">
        <v>-5.6413700000000004E-4</v>
      </c>
      <c r="R58" s="20"/>
      <c r="S58" s="21"/>
      <c r="T58" s="22"/>
      <c r="U58" s="20"/>
      <c r="W58" s="22"/>
      <c r="X58" s="20" t="s">
        <v>147</v>
      </c>
      <c r="Y58" s="20" t="s">
        <v>202</v>
      </c>
      <c r="Z58" s="21">
        <v>605.6</v>
      </c>
      <c r="AA58" s="22">
        <v>0.2</v>
      </c>
      <c r="AB58" s="21">
        <v>9.4E-2</v>
      </c>
      <c r="AC58" s="22">
        <v>1.2999999999999999E-2</v>
      </c>
      <c r="AD58" s="113" t="s">
        <v>203</v>
      </c>
      <c r="AE58" t="s">
        <v>204</v>
      </c>
    </row>
    <row r="59" spans="1:31" x14ac:dyDescent="0.3">
      <c r="A59" t="s">
        <v>8</v>
      </c>
      <c r="B59" t="s">
        <v>9</v>
      </c>
      <c r="C59" t="s">
        <v>10</v>
      </c>
      <c r="D59" t="s">
        <v>11</v>
      </c>
      <c r="E59" t="s">
        <v>12</v>
      </c>
      <c r="F59" t="s">
        <v>13</v>
      </c>
      <c r="H59">
        <v>1112</v>
      </c>
      <c r="I59" t="s">
        <v>14</v>
      </c>
      <c r="J59" s="1">
        <v>12021.9</v>
      </c>
      <c r="K59" s="1">
        <v>0.207538</v>
      </c>
      <c r="L59" s="1">
        <v>1.2641E-5</v>
      </c>
      <c r="R59" s="20"/>
      <c r="S59" s="21"/>
      <c r="T59" s="22"/>
      <c r="U59" s="20"/>
      <c r="W59" s="22"/>
      <c r="X59" s="20" t="s">
        <v>147</v>
      </c>
      <c r="Y59" s="20" t="s">
        <v>205</v>
      </c>
      <c r="Z59" s="21">
        <v>607.6</v>
      </c>
      <c r="AA59" s="22">
        <v>0.3</v>
      </c>
      <c r="AB59" s="21">
        <v>2.3999999999999998E-3</v>
      </c>
      <c r="AC59" s="22">
        <v>8.0000000000000004E-4</v>
      </c>
      <c r="AD59" s="20" t="s">
        <v>196</v>
      </c>
      <c r="AE59" t="s">
        <v>206</v>
      </c>
    </row>
    <row r="60" spans="1:31" x14ac:dyDescent="0.3">
      <c r="A60">
        <v>1</v>
      </c>
      <c r="B60" t="s">
        <v>14</v>
      </c>
      <c r="C60" s="1">
        <v>2080.69</v>
      </c>
      <c r="D60" s="1">
        <v>7.9232999999999998E-2</v>
      </c>
      <c r="E60" s="1">
        <v>5.5055000000000001E-6</v>
      </c>
      <c r="F60" s="1">
        <v>-7.4471300000000004E-2</v>
      </c>
      <c r="H60">
        <v>7</v>
      </c>
      <c r="I60" t="s">
        <v>3</v>
      </c>
      <c r="J60" s="1">
        <v>22.128900000000002</v>
      </c>
      <c r="K60" s="1">
        <v>0.44963999999999998</v>
      </c>
      <c r="L60" s="1">
        <v>4.2709100000000001E-5</v>
      </c>
      <c r="M60" s="1">
        <v>-1.6093300000000001E-2</v>
      </c>
      <c r="R60" s="20"/>
      <c r="S60" s="21"/>
      <c r="T60" s="22"/>
      <c r="U60" s="20"/>
      <c r="W60" s="22"/>
      <c r="X60" s="20"/>
      <c r="Y60" s="20"/>
      <c r="Z60" s="21">
        <v>613.6</v>
      </c>
      <c r="AA60" s="22">
        <v>0.4</v>
      </c>
      <c r="AB60" s="21">
        <v>1.1999999999999999E-3</v>
      </c>
      <c r="AC60" s="22">
        <v>4.0000000000000002E-4</v>
      </c>
      <c r="AD60" s="20" t="s">
        <v>196</v>
      </c>
    </row>
    <row r="61" spans="1:31" x14ac:dyDescent="0.3">
      <c r="A61">
        <v>2</v>
      </c>
      <c r="B61" t="s">
        <v>3</v>
      </c>
      <c r="C61" s="1">
        <v>11.488200000000001</v>
      </c>
      <c r="D61" s="1">
        <v>0.16770499999999999</v>
      </c>
      <c r="E61" s="1">
        <v>2.4897800000000001E-5</v>
      </c>
      <c r="F61" s="1">
        <v>0.12506</v>
      </c>
      <c r="H61">
        <v>8</v>
      </c>
      <c r="I61" t="s">
        <v>15</v>
      </c>
      <c r="J61" s="1">
        <v>2401.79</v>
      </c>
      <c r="K61" s="1">
        <v>50.783499999999997</v>
      </c>
      <c r="L61" s="1">
        <v>3.1362399999999998E-4</v>
      </c>
      <c r="M61" s="1">
        <v>-9.8992700000000004E-4</v>
      </c>
      <c r="R61" s="20"/>
      <c r="S61" s="21"/>
      <c r="T61" s="22"/>
      <c r="U61" s="20"/>
      <c r="W61" s="22"/>
      <c r="X61" s="20" t="s">
        <v>147</v>
      </c>
      <c r="Y61" s="20" t="s">
        <v>207</v>
      </c>
      <c r="Z61" s="21">
        <v>609.30999999999995</v>
      </c>
      <c r="AA61" s="22">
        <v>0.04</v>
      </c>
      <c r="AB61" s="21">
        <v>5.7000000000000002E-2</v>
      </c>
      <c r="AC61" s="22">
        <v>3.0000000000000001E-3</v>
      </c>
      <c r="AD61" s="20" t="s">
        <v>196</v>
      </c>
    </row>
    <row r="62" spans="1:31" x14ac:dyDescent="0.3">
      <c r="A62">
        <v>3</v>
      </c>
      <c r="B62" t="s">
        <v>15</v>
      </c>
      <c r="C62" s="1">
        <v>5092.72</v>
      </c>
      <c r="D62" s="1">
        <v>77.327600000000004</v>
      </c>
      <c r="E62" s="1">
        <v>1.0154600000000001E-4</v>
      </c>
      <c r="F62" s="1">
        <v>-3.26387E-2</v>
      </c>
      <c r="H62">
        <v>9</v>
      </c>
      <c r="I62" t="s">
        <v>16</v>
      </c>
      <c r="J62" s="1">
        <v>97.212900000000005</v>
      </c>
      <c r="K62" s="1">
        <v>23.5868</v>
      </c>
      <c r="L62" s="1">
        <v>8.9894499999999995E-4</v>
      </c>
      <c r="M62" s="1">
        <v>-1.17332E-3</v>
      </c>
      <c r="R62" s="20"/>
      <c r="S62" s="21"/>
      <c r="T62" s="22"/>
      <c r="U62" s="20"/>
      <c r="W62" s="22"/>
      <c r="X62" s="20" t="s">
        <v>147</v>
      </c>
      <c r="Y62" s="20" t="s">
        <v>163</v>
      </c>
      <c r="Z62" s="21">
        <v>610.64</v>
      </c>
      <c r="AA62" s="22">
        <v>0.1</v>
      </c>
      <c r="AB62" s="21">
        <v>2.3E-2</v>
      </c>
      <c r="AC62" s="22">
        <v>5.0000000000000001E-3</v>
      </c>
      <c r="AD62" s="20" t="s">
        <v>189</v>
      </c>
    </row>
    <row r="63" spans="1:31" ht="15" thickBot="1" x14ac:dyDescent="0.35">
      <c r="A63">
        <v>4</v>
      </c>
      <c r="B63" t="s">
        <v>16</v>
      </c>
      <c r="C63" s="1">
        <v>65.231700000000004</v>
      </c>
      <c r="D63" s="1">
        <v>12.2255</v>
      </c>
      <c r="E63" s="1">
        <v>2.7450500000000002E-3</v>
      </c>
      <c r="F63" s="1">
        <v>-3.44729E-5</v>
      </c>
      <c r="H63">
        <v>10</v>
      </c>
      <c r="I63" t="s">
        <v>17</v>
      </c>
      <c r="J63" s="1">
        <v>-7.9211899999999998E-3</v>
      </c>
      <c r="K63" s="1">
        <v>1.95751E-3</v>
      </c>
      <c r="L63" s="1">
        <v>7.4613799999999998E-8</v>
      </c>
      <c r="M63" s="1">
        <v>-2.6625200000000003E-4</v>
      </c>
      <c r="R63" s="9"/>
      <c r="S63" s="6"/>
      <c r="T63" s="7"/>
      <c r="U63" s="9"/>
      <c r="V63" s="46"/>
      <c r="W63" s="7"/>
      <c r="X63" s="9" t="s">
        <v>147</v>
      </c>
      <c r="Y63" s="9" t="s">
        <v>208</v>
      </c>
      <c r="Z63" s="6">
        <v>607.70000000000005</v>
      </c>
      <c r="AA63" s="7">
        <v>0.3</v>
      </c>
      <c r="AB63" s="6">
        <v>1.8E-5</v>
      </c>
      <c r="AC63" s="7">
        <v>3.9999999999999998E-6</v>
      </c>
      <c r="AD63" s="9" t="s">
        <v>196</v>
      </c>
    </row>
    <row r="64" spans="1:31" ht="15" thickBot="1" x14ac:dyDescent="0.35">
      <c r="A64">
        <v>5</v>
      </c>
      <c r="B64" t="s">
        <v>17</v>
      </c>
      <c r="C64" s="1">
        <v>-1.8577099999999999E-2</v>
      </c>
      <c r="D64" s="1">
        <v>5.87807E-3</v>
      </c>
      <c r="E64" s="1">
        <v>1.3198000000000001E-6</v>
      </c>
      <c r="F64" s="1">
        <v>-0.22101999999999999</v>
      </c>
      <c r="H64">
        <v>11</v>
      </c>
      <c r="M64" s="1">
        <v>-2.5110399999999999</v>
      </c>
      <c r="Q64">
        <v>3000</v>
      </c>
      <c r="R64" s="20" t="s">
        <v>179</v>
      </c>
      <c r="S64" s="1">
        <v>2995.28</v>
      </c>
      <c r="T64" s="1">
        <v>5.6564499999999997E-2</v>
      </c>
      <c r="U64" s="27">
        <f>(S64-$I$5)/$I$4</f>
        <v>352.62504405027607</v>
      </c>
      <c r="V64" s="15">
        <f>U64-5</f>
        <v>347.62504405027607</v>
      </c>
      <c r="W64" s="16">
        <f>U64+5</f>
        <v>357.62504405027607</v>
      </c>
      <c r="X64" s="20" t="s">
        <v>147</v>
      </c>
      <c r="Y64" s="129" t="s">
        <v>209</v>
      </c>
      <c r="Z64" s="130">
        <v>351.93209999999999</v>
      </c>
      <c r="AA64" s="131">
        <v>1.8E-3</v>
      </c>
      <c r="AB64" s="130">
        <v>35.6</v>
      </c>
      <c r="AC64" s="131">
        <v>7.0000000000000007E-2</v>
      </c>
      <c r="AD64" s="129" t="s">
        <v>191</v>
      </c>
    </row>
    <row r="65" spans="1:30" x14ac:dyDescent="0.3">
      <c r="A65">
        <v>344</v>
      </c>
      <c r="H65">
        <v>1408</v>
      </c>
      <c r="X65" s="20" t="s">
        <v>147</v>
      </c>
      <c r="Y65" s="129" t="s">
        <v>210</v>
      </c>
      <c r="Z65" s="130">
        <v>351.07</v>
      </c>
      <c r="AA65" s="131">
        <v>0.05</v>
      </c>
      <c r="AB65" s="130">
        <v>13.02</v>
      </c>
      <c r="AC65" s="131">
        <v>0.12</v>
      </c>
      <c r="AD65" s="129" t="s">
        <v>196</v>
      </c>
    </row>
    <row r="66" spans="1:30" ht="15" thickBot="1" x14ac:dyDescent="0.35">
      <c r="A66" t="s">
        <v>8</v>
      </c>
      <c r="B66" t="s">
        <v>9</v>
      </c>
      <c r="C66" t="s">
        <v>10</v>
      </c>
      <c r="D66" t="s">
        <v>11</v>
      </c>
      <c r="E66" t="s">
        <v>12</v>
      </c>
      <c r="F66" t="s">
        <v>13</v>
      </c>
      <c r="H66" t="s">
        <v>8</v>
      </c>
      <c r="M66" t="s">
        <v>13</v>
      </c>
      <c r="X66" s="9" t="s">
        <v>147</v>
      </c>
      <c r="Y66" s="9" t="s">
        <v>190</v>
      </c>
      <c r="Z66" s="6">
        <v>351.9</v>
      </c>
      <c r="AA66" s="7">
        <v>0.5</v>
      </c>
      <c r="AB66" s="6">
        <v>7.0000000000000007E-2</v>
      </c>
      <c r="AC66" s="7">
        <v>0.01</v>
      </c>
      <c r="AD66" s="9" t="s">
        <v>191</v>
      </c>
    </row>
    <row r="67" spans="1:30" ht="15" thickBot="1" x14ac:dyDescent="0.35">
      <c r="A67">
        <v>1</v>
      </c>
      <c r="B67" t="s">
        <v>14</v>
      </c>
      <c r="C67" s="1">
        <v>2931.66</v>
      </c>
      <c r="D67" s="1">
        <v>5.1617900000000001E-2</v>
      </c>
      <c r="E67" s="1">
        <v>4.5663599999999998E-6</v>
      </c>
      <c r="F67" s="1">
        <v>1.33221E-2</v>
      </c>
      <c r="H67">
        <v>1</v>
      </c>
      <c r="M67" s="1">
        <v>0.13758799999999999</v>
      </c>
      <c r="Q67">
        <v>2500</v>
      </c>
      <c r="R67" s="20" t="s">
        <v>179</v>
      </c>
      <c r="S67" s="1">
        <v>2511.23</v>
      </c>
      <c r="T67" s="1">
        <v>7.1101200000000003E-2</v>
      </c>
      <c r="U67" s="27">
        <f>(S67-$I$5)/$I$4</f>
        <v>295.76494772700579</v>
      </c>
      <c r="V67" s="15">
        <f>U67-5</f>
        <v>290.76494772700579</v>
      </c>
      <c r="W67" s="16">
        <f>U67+5</f>
        <v>300.76494772700579</v>
      </c>
      <c r="X67" s="20" t="s">
        <v>147</v>
      </c>
      <c r="Y67" s="20" t="s">
        <v>261</v>
      </c>
      <c r="Z67" s="21">
        <v>296</v>
      </c>
      <c r="AA67" s="22">
        <v>3</v>
      </c>
      <c r="AB67" s="21">
        <v>79</v>
      </c>
      <c r="AC67" s="22">
        <v>10</v>
      </c>
      <c r="AD67" s="20" t="s">
        <v>191</v>
      </c>
    </row>
    <row r="68" spans="1:30" x14ac:dyDescent="0.3">
      <c r="A68">
        <v>2</v>
      </c>
      <c r="B68" t="s">
        <v>3</v>
      </c>
      <c r="C68" s="1">
        <v>12.922599999999999</v>
      </c>
      <c r="D68" s="1">
        <v>0.106026</v>
      </c>
      <c r="E68" s="1">
        <v>2.2134299999999999E-5</v>
      </c>
      <c r="F68" s="1">
        <v>-8.7738399999999998E-3</v>
      </c>
      <c r="H68">
        <v>2</v>
      </c>
      <c r="M68" s="1">
        <v>2.9082400000000001E-2</v>
      </c>
      <c r="X68" s="20" t="s">
        <v>147</v>
      </c>
      <c r="Y68" s="129" t="s">
        <v>262</v>
      </c>
      <c r="Z68" s="130">
        <v>295.22280000000001</v>
      </c>
      <c r="AA68" s="131">
        <v>1.8E-3</v>
      </c>
      <c r="AB68" s="130">
        <v>18.420000000000002</v>
      </c>
      <c r="AC68" s="131">
        <v>0.04</v>
      </c>
      <c r="AD68" s="129" t="s">
        <v>191</v>
      </c>
    </row>
    <row r="69" spans="1:30" x14ac:dyDescent="0.3">
      <c r="A69">
        <v>3</v>
      </c>
      <c r="B69" t="s">
        <v>15</v>
      </c>
      <c r="C69" s="1">
        <v>13016.1</v>
      </c>
      <c r="D69" s="1">
        <v>116.736</v>
      </c>
      <c r="E69" s="1">
        <v>1.8161800000000001E-4</v>
      </c>
      <c r="F69" s="1">
        <v>-1.9971499999999999E-4</v>
      </c>
      <c r="H69">
        <v>3</v>
      </c>
      <c r="M69" s="1">
        <v>4.4790799999999999E-3</v>
      </c>
      <c r="X69" s="20" t="s">
        <v>147</v>
      </c>
      <c r="Y69" s="20" t="s">
        <v>263</v>
      </c>
      <c r="Z69" s="21">
        <v>292.8</v>
      </c>
      <c r="AA69" s="22">
        <v>0.01</v>
      </c>
      <c r="AB69" s="21">
        <v>0.42899999999999999</v>
      </c>
      <c r="AC69" s="22">
        <v>7.0000000000000001E-3</v>
      </c>
      <c r="AD69" s="20" t="s">
        <v>203</v>
      </c>
    </row>
    <row r="70" spans="1:30" x14ac:dyDescent="0.3">
      <c r="A70">
        <v>4</v>
      </c>
      <c r="B70" t="s">
        <v>16</v>
      </c>
      <c r="C70" s="1">
        <v>90.836500000000001</v>
      </c>
      <c r="D70" s="1">
        <v>7.9234400000000003</v>
      </c>
      <c r="E70" s="1">
        <v>3.0833599999999998E-3</v>
      </c>
      <c r="F70" s="1">
        <v>-3.1479199999999999E-4</v>
      </c>
      <c r="H70">
        <v>4</v>
      </c>
      <c r="M70" s="1">
        <v>-1.4186100000000001E-3</v>
      </c>
      <c r="X70" s="20" t="s">
        <v>147</v>
      </c>
      <c r="Y70" s="20" t="s">
        <v>264</v>
      </c>
      <c r="Z70" s="21">
        <v>298</v>
      </c>
      <c r="AA70" s="22">
        <v>1</v>
      </c>
      <c r="AB70" s="21">
        <v>5.1999999999999997E-5</v>
      </c>
      <c r="AC70" s="22">
        <v>1.7999999999999999E-6</v>
      </c>
      <c r="AD70" s="20" t="s">
        <v>191</v>
      </c>
    </row>
    <row r="71" spans="1:30" x14ac:dyDescent="0.3">
      <c r="A71">
        <v>5</v>
      </c>
      <c r="B71" t="s">
        <v>17</v>
      </c>
      <c r="C71" s="1">
        <v>-2.5467E-2</v>
      </c>
      <c r="D71" s="1">
        <v>2.6607100000000002E-3</v>
      </c>
      <c r="E71" s="1">
        <v>1.0356099999999999E-6</v>
      </c>
      <c r="F71" s="1">
        <v>0.43472</v>
      </c>
      <c r="H71">
        <v>5</v>
      </c>
      <c r="M71" s="1">
        <v>-17.125800000000002</v>
      </c>
      <c r="X71" s="20" t="s">
        <v>147</v>
      </c>
      <c r="Y71" s="20" t="s">
        <v>265</v>
      </c>
      <c r="Z71" s="21">
        <v>292.7</v>
      </c>
      <c r="AA71" s="22">
        <v>0.1</v>
      </c>
      <c r="AB71" s="21">
        <v>6.1999999999999998E-3</v>
      </c>
      <c r="AC71" s="22">
        <v>6.9999999999999999E-4</v>
      </c>
      <c r="AD71" s="20" t="s">
        <v>189</v>
      </c>
    </row>
    <row r="72" spans="1:30" x14ac:dyDescent="0.3">
      <c r="A72">
        <v>778</v>
      </c>
      <c r="X72" s="20" t="s">
        <v>147</v>
      </c>
      <c r="Y72" s="20" t="s">
        <v>266</v>
      </c>
      <c r="Z72" s="21">
        <v>298.60000000000002</v>
      </c>
      <c r="AA72" s="22">
        <v>0.3</v>
      </c>
      <c r="AB72" s="21">
        <v>1.8E-3</v>
      </c>
      <c r="AC72" s="22">
        <v>5.0000000000000001E-4</v>
      </c>
      <c r="AD72" s="20" t="s">
        <v>203</v>
      </c>
    </row>
    <row r="73" spans="1:30" x14ac:dyDescent="0.3">
      <c r="A73" t="s">
        <v>8</v>
      </c>
      <c r="B73" t="s">
        <v>9</v>
      </c>
      <c r="C73" t="s">
        <v>10</v>
      </c>
      <c r="D73" t="s">
        <v>11</v>
      </c>
      <c r="E73" t="s">
        <v>12</v>
      </c>
      <c r="F73" t="s">
        <v>13</v>
      </c>
      <c r="X73" s="20" t="s">
        <v>147</v>
      </c>
      <c r="Y73" s="20" t="s">
        <v>267</v>
      </c>
      <c r="Z73" s="21">
        <v>293.77999999999997</v>
      </c>
      <c r="AA73" s="22">
        <v>0.1</v>
      </c>
      <c r="AB73" s="21">
        <v>6.6E-3</v>
      </c>
      <c r="AC73" s="22">
        <v>8.0000000000000004E-4</v>
      </c>
      <c r="AD73" s="20" t="s">
        <v>203</v>
      </c>
    </row>
    <row r="74" spans="1:30" x14ac:dyDescent="0.3">
      <c r="A74">
        <v>1</v>
      </c>
      <c r="B74" t="s">
        <v>14</v>
      </c>
      <c r="C74" s="1">
        <v>6645.43</v>
      </c>
      <c r="D74" s="1">
        <v>0.164157</v>
      </c>
      <c r="E74" s="1">
        <v>1.18113E-5</v>
      </c>
      <c r="F74" s="1">
        <v>-0.14927799999999999</v>
      </c>
      <c r="X74" s="20"/>
      <c r="Y74" s="22"/>
      <c r="Z74">
        <v>296.20999999999998</v>
      </c>
      <c r="AA74" s="22">
        <v>0.1</v>
      </c>
      <c r="AB74" s="21">
        <v>1.6500000000000001E-2</v>
      </c>
      <c r="AC74" s="22">
        <v>1.8E-3</v>
      </c>
      <c r="AD74" s="20" t="s">
        <v>203</v>
      </c>
    </row>
    <row r="75" spans="1:30" x14ac:dyDescent="0.3">
      <c r="A75">
        <v>2</v>
      </c>
      <c r="B75" t="s">
        <v>3</v>
      </c>
      <c r="C75" s="1">
        <v>17.068100000000001</v>
      </c>
      <c r="D75" s="1">
        <v>0.36685099999999998</v>
      </c>
      <c r="E75" s="1">
        <v>5.29068E-5</v>
      </c>
      <c r="F75" s="1">
        <v>-3.8519100000000001E-3</v>
      </c>
      <c r="X75" s="20"/>
      <c r="Y75" s="22"/>
      <c r="Z75">
        <v>298.72000000000003</v>
      </c>
      <c r="AA75" s="22">
        <v>0.12</v>
      </c>
      <c r="AB75" s="21">
        <v>7.0000000000000001E-3</v>
      </c>
      <c r="AC75" s="22">
        <v>8.0000000000000004E-4</v>
      </c>
      <c r="AD75" s="20" t="s">
        <v>203</v>
      </c>
    </row>
    <row r="76" spans="1:30" x14ac:dyDescent="0.3">
      <c r="A76">
        <v>3</v>
      </c>
      <c r="B76" t="s">
        <v>15</v>
      </c>
      <c r="C76" s="1">
        <v>2638.59</v>
      </c>
      <c r="D76" s="1">
        <v>54.906100000000002</v>
      </c>
      <c r="E76" s="1">
        <v>2.14904E-4</v>
      </c>
      <c r="F76" s="1">
        <v>-1.7851E-3</v>
      </c>
      <c r="X76" s="20" t="s">
        <v>147</v>
      </c>
      <c r="Y76" s="20" t="s">
        <v>268</v>
      </c>
      <c r="Z76">
        <v>290.10000000000002</v>
      </c>
      <c r="AA76" s="22">
        <v>0.1</v>
      </c>
      <c r="AB76" s="21">
        <v>3.5000000000000001E-3</v>
      </c>
      <c r="AC76" s="22">
        <v>8.0000000000000004E-4</v>
      </c>
      <c r="AD76" s="20" t="s">
        <v>203</v>
      </c>
    </row>
    <row r="77" spans="1:30" x14ac:dyDescent="0.3">
      <c r="A77">
        <v>4</v>
      </c>
      <c r="B77" t="s">
        <v>16</v>
      </c>
      <c r="C77" s="1">
        <v>62.272300000000001</v>
      </c>
      <c r="D77" s="1">
        <v>13.7493</v>
      </c>
      <c r="E77" s="1">
        <v>1.7555699999999999E-3</v>
      </c>
      <c r="F77" s="1">
        <v>-2.9762899999999999E-4</v>
      </c>
      <c r="X77" s="20"/>
      <c r="Y77" s="20"/>
      <c r="Z77">
        <v>298.81</v>
      </c>
      <c r="AA77" s="22">
        <v>0.02</v>
      </c>
      <c r="AB77" s="21">
        <v>8.7999999999999995E-2</v>
      </c>
      <c r="AC77" s="22">
        <v>1.4E-2</v>
      </c>
      <c r="AD77" s="20" t="s">
        <v>203</v>
      </c>
    </row>
    <row r="78" spans="1:30" x14ac:dyDescent="0.3">
      <c r="A78">
        <v>5</v>
      </c>
      <c r="B78" t="s">
        <v>17</v>
      </c>
      <c r="C78" s="1">
        <v>-8.2739900000000002E-3</v>
      </c>
      <c r="D78" s="1">
        <v>2.0674600000000001E-3</v>
      </c>
      <c r="E78" s="1">
        <v>2.6398800000000002E-7</v>
      </c>
      <c r="F78" s="1">
        <v>-1.8586199999999999</v>
      </c>
      <c r="X78" s="20" t="s">
        <v>147</v>
      </c>
      <c r="Y78" s="20" t="s">
        <v>269</v>
      </c>
      <c r="Z78">
        <v>299</v>
      </c>
      <c r="AA78" s="22">
        <v>1</v>
      </c>
      <c r="AB78" s="21">
        <v>6.4999999999999997E-4</v>
      </c>
      <c r="AC78" s="22">
        <v>1.2999999999999999E-4</v>
      </c>
      <c r="AD78" s="20" t="s">
        <v>191</v>
      </c>
    </row>
    <row r="79" spans="1:30" x14ac:dyDescent="0.3">
      <c r="A79">
        <v>964</v>
      </c>
      <c r="X79" s="20" t="s">
        <v>147</v>
      </c>
      <c r="Y79" s="20" t="s">
        <v>270</v>
      </c>
      <c r="Z79">
        <v>291.35500000000002</v>
      </c>
      <c r="AA79" s="22">
        <v>8.9999999999999993E-3</v>
      </c>
      <c r="AB79" s="21">
        <v>4.6299999999999996E-3</v>
      </c>
      <c r="AC79" s="22">
        <v>2.5000000000000001E-4</v>
      </c>
      <c r="AD79" s="20" t="s">
        <v>203</v>
      </c>
    </row>
    <row r="80" spans="1:30" x14ac:dyDescent="0.3">
      <c r="A80" t="s">
        <v>8</v>
      </c>
      <c r="B80" t="s">
        <v>9</v>
      </c>
      <c r="C80" t="s">
        <v>10</v>
      </c>
      <c r="D80" t="s">
        <v>11</v>
      </c>
      <c r="E80" t="s">
        <v>120</v>
      </c>
      <c r="X80" s="20"/>
      <c r="Y80" s="20"/>
      <c r="Z80">
        <v>291.35500000000002</v>
      </c>
      <c r="AA80" s="22">
        <v>8.9999999999999993E-3</v>
      </c>
      <c r="AB80" s="21">
        <v>6.2E-4</v>
      </c>
      <c r="AC80" s="22">
        <v>2.5000000000000001E-4</v>
      </c>
      <c r="AD80" s="20" t="s">
        <v>203</v>
      </c>
    </row>
    <row r="81" spans="1:30" x14ac:dyDescent="0.3">
      <c r="A81">
        <v>1</v>
      </c>
      <c r="B81" t="s">
        <v>14</v>
      </c>
      <c r="C81" s="1">
        <v>8226.33</v>
      </c>
      <c r="D81" s="1">
        <v>0.18096499999999999</v>
      </c>
      <c r="E81" t="s">
        <v>282</v>
      </c>
      <c r="X81" s="20"/>
      <c r="Y81" s="22"/>
      <c r="Z81">
        <v>291.93</v>
      </c>
      <c r="AA81" s="22">
        <v>0.04</v>
      </c>
      <c r="AB81" s="21">
        <v>1.02E-4</v>
      </c>
      <c r="AC81" s="22">
        <v>1.5E-5</v>
      </c>
      <c r="AD81" s="20" t="s">
        <v>203</v>
      </c>
    </row>
    <row r="82" spans="1:30" ht="15" thickBot="1" x14ac:dyDescent="0.35">
      <c r="A82">
        <v>2</v>
      </c>
      <c r="B82" t="s">
        <v>3</v>
      </c>
      <c r="C82" s="1">
        <v>19.087499999999999</v>
      </c>
      <c r="D82" s="1">
        <v>0.39339099999999999</v>
      </c>
      <c r="E82" t="s">
        <v>283</v>
      </c>
      <c r="X82" s="9"/>
      <c r="Y82" s="7"/>
      <c r="Z82" s="46">
        <v>293.99599999999998</v>
      </c>
      <c r="AA82" s="7">
        <v>8.9999999999999993E-3</v>
      </c>
      <c r="AB82" s="6">
        <v>1.22E-4</v>
      </c>
      <c r="AC82" s="7">
        <v>6.9999999999999999E-6</v>
      </c>
      <c r="AD82" s="9" t="s">
        <v>203</v>
      </c>
    </row>
    <row r="83" spans="1:30" ht="15" thickBot="1" x14ac:dyDescent="0.35">
      <c r="A83">
        <v>3</v>
      </c>
      <c r="B83" t="s">
        <v>15</v>
      </c>
      <c r="C83" s="1">
        <v>2519.08</v>
      </c>
      <c r="D83" s="1">
        <v>52.771799999999999</v>
      </c>
      <c r="E83" t="s">
        <v>284</v>
      </c>
      <c r="Q83">
        <v>2000</v>
      </c>
      <c r="R83" s="20" t="s">
        <v>179</v>
      </c>
      <c r="S83" s="1">
        <v>2056.84</v>
      </c>
      <c r="T83" s="1">
        <v>0.110648</v>
      </c>
      <c r="U83" s="27">
        <f>(S83-$I$5)/$I$4</f>
        <v>242.38893457065669</v>
      </c>
      <c r="V83" s="15">
        <f>U83-5</f>
        <v>237.38893457065669</v>
      </c>
      <c r="W83" s="48">
        <f>U83+5</f>
        <v>247.38893457065669</v>
      </c>
      <c r="X83" s="20" t="s">
        <v>147</v>
      </c>
      <c r="Y83" s="129" t="s">
        <v>271</v>
      </c>
      <c r="Z83" s="126">
        <v>238.63200000000001</v>
      </c>
      <c r="AA83" s="126">
        <v>2E-3</v>
      </c>
      <c r="AB83" s="126">
        <v>43.6</v>
      </c>
      <c r="AC83" s="126">
        <v>0.5</v>
      </c>
      <c r="AD83" s="126" t="s">
        <v>189</v>
      </c>
    </row>
    <row r="84" spans="1:30" x14ac:dyDescent="0.3">
      <c r="A84">
        <v>4</v>
      </c>
      <c r="B84" t="s">
        <v>16</v>
      </c>
      <c r="C84" s="1">
        <v>144.78899999999999</v>
      </c>
      <c r="D84" s="1">
        <v>21.1629</v>
      </c>
      <c r="E84" t="s">
        <v>285</v>
      </c>
      <c r="X84" s="20" t="s">
        <v>147</v>
      </c>
      <c r="Y84" s="129" t="s">
        <v>262</v>
      </c>
      <c r="Z84" s="20">
        <v>238.4</v>
      </c>
      <c r="AA84" s="20" t="s">
        <v>192</v>
      </c>
      <c r="AB84" s="20">
        <v>8.0000000000000002E-3</v>
      </c>
      <c r="AC84" s="20">
        <v>8.0000000000000002E-3</v>
      </c>
      <c r="AD84" s="20" t="s">
        <v>191</v>
      </c>
    </row>
    <row r="85" spans="1:30" x14ac:dyDescent="0.3">
      <c r="A85">
        <v>5</v>
      </c>
      <c r="B85" t="s">
        <v>17</v>
      </c>
      <c r="C85" s="1">
        <v>-1.7122499999999999E-2</v>
      </c>
      <c r="D85" s="1">
        <v>2.5603000000000002E-3</v>
      </c>
      <c r="E85" t="s">
        <v>286</v>
      </c>
      <c r="X85" s="20"/>
      <c r="Y85" s="20"/>
      <c r="Z85" s="129">
        <v>241.995</v>
      </c>
      <c r="AA85" s="129">
        <v>2.3E-3</v>
      </c>
      <c r="AB85" s="129">
        <v>7.2510000000000003</v>
      </c>
      <c r="AC85" s="129">
        <v>1.6E-2</v>
      </c>
      <c r="AD85" s="129" t="s">
        <v>191</v>
      </c>
    </row>
    <row r="86" spans="1:30" x14ac:dyDescent="0.3">
      <c r="Z86" s="21"/>
      <c r="AA86" s="22"/>
      <c r="AB86" s="21"/>
      <c r="AC86" s="22"/>
    </row>
    <row r="89" spans="1:30" x14ac:dyDescent="0.3">
      <c r="X89" s="20" t="s">
        <v>147</v>
      </c>
      <c r="Y89" s="20" t="s">
        <v>272</v>
      </c>
      <c r="Z89" s="20">
        <v>245.6</v>
      </c>
      <c r="AA89" s="20">
        <v>0.05</v>
      </c>
      <c r="AB89" s="20">
        <v>2.9000000000000001E-2</v>
      </c>
      <c r="AC89" s="20">
        <v>8.0000000000000002E-3</v>
      </c>
      <c r="AD89" s="20" t="s">
        <v>196</v>
      </c>
    </row>
    <row r="90" spans="1:30" x14ac:dyDescent="0.3">
      <c r="X90" s="20" t="s">
        <v>147</v>
      </c>
      <c r="Y90" s="20" t="s">
        <v>265</v>
      </c>
      <c r="Z90" s="20">
        <v>240.98599999999999</v>
      </c>
      <c r="AA90" s="20">
        <v>6.0000000000000001E-3</v>
      </c>
      <c r="AB90" s="20">
        <v>4.0999999999999996</v>
      </c>
      <c r="AC90" s="20">
        <v>0.05</v>
      </c>
      <c r="AD90" s="20" t="s">
        <v>279</v>
      </c>
    </row>
    <row r="91" spans="1:30" x14ac:dyDescent="0.3">
      <c r="X91" s="20" t="s">
        <v>147</v>
      </c>
      <c r="Y91" s="20" t="s">
        <v>266</v>
      </c>
      <c r="Z91" s="20"/>
      <c r="AA91" s="20"/>
      <c r="AB91" s="20"/>
      <c r="AC91" s="20"/>
      <c r="AD91" s="20"/>
    </row>
    <row r="92" spans="1:30" x14ac:dyDescent="0.3">
      <c r="X92" s="20"/>
      <c r="Y92" s="20"/>
      <c r="Z92" s="22"/>
      <c r="AA92" s="20"/>
      <c r="AB92" s="20"/>
      <c r="AC92" s="20"/>
      <c r="AD92" s="20"/>
    </row>
    <row r="93" spans="1:30" x14ac:dyDescent="0.3">
      <c r="X93" s="20" t="s">
        <v>147</v>
      </c>
      <c r="Y93" s="20" t="s">
        <v>273</v>
      </c>
      <c r="Z93" s="20"/>
      <c r="AA93" s="20"/>
      <c r="AB93" s="20"/>
      <c r="AC93" s="20"/>
      <c r="AD93" s="20"/>
    </row>
    <row r="94" spans="1:30" x14ac:dyDescent="0.3">
      <c r="X94" s="20" t="s">
        <v>147</v>
      </c>
      <c r="Y94" s="20" t="s">
        <v>274</v>
      </c>
      <c r="Z94" s="20"/>
      <c r="AA94" s="20"/>
      <c r="AB94" s="20"/>
      <c r="AC94" s="20"/>
      <c r="AD94" s="20"/>
    </row>
    <row r="95" spans="1:30" x14ac:dyDescent="0.3">
      <c r="X95" s="20" t="s">
        <v>147</v>
      </c>
      <c r="Y95" s="20" t="s">
        <v>267</v>
      </c>
      <c r="Z95" s="20"/>
      <c r="AA95" s="20"/>
      <c r="AB95" s="20"/>
      <c r="AC95" s="20"/>
      <c r="AD95" s="20"/>
    </row>
    <row r="96" spans="1:30" x14ac:dyDescent="0.3">
      <c r="X96" s="20" t="s">
        <v>147</v>
      </c>
      <c r="Y96" s="20" t="s">
        <v>275</v>
      </c>
      <c r="Z96" s="20"/>
      <c r="AA96" s="20"/>
      <c r="AB96" s="20"/>
      <c r="AC96" s="20"/>
      <c r="AD96" s="20"/>
    </row>
    <row r="97" spans="17:30" x14ac:dyDescent="0.3">
      <c r="X97" s="20" t="s">
        <v>147</v>
      </c>
      <c r="Y97" s="20" t="s">
        <v>276</v>
      </c>
      <c r="Z97" s="20"/>
      <c r="AA97" s="20"/>
      <c r="AB97" s="20"/>
      <c r="AC97" s="20"/>
      <c r="AD97" s="20"/>
    </row>
    <row r="98" spans="17:30" x14ac:dyDescent="0.3">
      <c r="X98" s="20" t="s">
        <v>147</v>
      </c>
      <c r="Y98" s="20" t="s">
        <v>268</v>
      </c>
      <c r="Z98" s="20"/>
      <c r="AA98" s="20"/>
      <c r="AB98" s="20"/>
      <c r="AC98" s="20"/>
      <c r="AD98" s="20"/>
    </row>
    <row r="99" spans="17:30" x14ac:dyDescent="0.3">
      <c r="X99" s="20" t="s">
        <v>147</v>
      </c>
      <c r="Y99" s="20" t="s">
        <v>270</v>
      </c>
      <c r="Z99" s="20"/>
      <c r="AA99" s="20"/>
      <c r="AB99" s="20"/>
      <c r="AC99" s="20"/>
      <c r="AD99" s="20"/>
    </row>
    <row r="100" spans="17:30" x14ac:dyDescent="0.3">
      <c r="X100" s="20" t="s">
        <v>147</v>
      </c>
      <c r="Y100" s="20" t="s">
        <v>277</v>
      </c>
      <c r="Z100" s="20"/>
      <c r="AA100" s="20"/>
      <c r="AB100" s="20"/>
      <c r="AC100" s="20"/>
      <c r="AD100" s="20"/>
    </row>
    <row r="101" spans="17:30" x14ac:dyDescent="0.3">
      <c r="X101" s="20" t="s">
        <v>147</v>
      </c>
      <c r="Y101" s="20" t="s">
        <v>278</v>
      </c>
      <c r="Z101" s="20"/>
      <c r="AA101" s="20"/>
      <c r="AB101" s="20"/>
      <c r="AC101" s="20"/>
      <c r="AD101" s="20"/>
    </row>
    <row r="102" spans="17:30" x14ac:dyDescent="0.3">
      <c r="X102" s="20"/>
      <c r="Y102" s="20"/>
      <c r="Z102" s="20"/>
      <c r="AA102" s="20"/>
      <c r="AB102" s="20"/>
      <c r="AC102" s="20"/>
      <c r="AD102" s="20"/>
    </row>
    <row r="103" spans="17:30" ht="15" thickBot="1" x14ac:dyDescent="0.35">
      <c r="X103" s="20"/>
      <c r="Y103" s="20"/>
      <c r="Z103" s="20"/>
      <c r="AA103" s="20"/>
      <c r="AB103" s="20"/>
      <c r="AC103" s="20"/>
      <c r="AD103" s="20"/>
    </row>
    <row r="104" spans="17:30" ht="15" thickBot="1" x14ac:dyDescent="0.35">
      <c r="Q104">
        <v>1600</v>
      </c>
      <c r="R104" s="20" t="s">
        <v>179</v>
      </c>
      <c r="S104" s="1">
        <v>1578.4</v>
      </c>
      <c r="T104" s="1">
        <v>0.124818</v>
      </c>
      <c r="U104" s="27">
        <f>(S104-$I$5)/$I$4</f>
        <v>186.18783037707038</v>
      </c>
      <c r="V104" s="15">
        <f>U104-5</f>
        <v>181.18783037707038</v>
      </c>
      <c r="W104" s="48">
        <f>U104+5</f>
        <v>191.18783037707038</v>
      </c>
      <c r="X104" t="s">
        <v>147</v>
      </c>
      <c r="Y104" s="129" t="s">
        <v>359</v>
      </c>
      <c r="Z104" s="36">
        <v>186.21100000000001</v>
      </c>
      <c r="AA104" s="36">
        <v>1.2999999999999999E-2</v>
      </c>
      <c r="AB104" s="36">
        <v>3.64</v>
      </c>
      <c r="AC104" s="36">
        <v>0.04</v>
      </c>
      <c r="AD104" s="36" t="s">
        <v>191</v>
      </c>
    </row>
    <row r="105" spans="17:30" x14ac:dyDescent="0.3">
      <c r="Y105" s="20" t="s">
        <v>360</v>
      </c>
      <c r="Z105">
        <v>185.715</v>
      </c>
      <c r="AA105">
        <v>5.0000000000000001E-3</v>
      </c>
      <c r="AB105">
        <v>57</v>
      </c>
      <c r="AC105">
        <v>0.6</v>
      </c>
      <c r="AD105" t="s">
        <v>196</v>
      </c>
    </row>
    <row r="107" spans="17:30" ht="15" thickBot="1" x14ac:dyDescent="0.35"/>
    <row r="108" spans="17:30" ht="15" thickBot="1" x14ac:dyDescent="0.35">
      <c r="Q108">
        <v>6500</v>
      </c>
      <c r="R108" s="20" t="s">
        <v>179</v>
      </c>
      <c r="S108" s="1">
        <v>6550.26</v>
      </c>
      <c r="T108" s="1">
        <v>0.38413799999999998</v>
      </c>
      <c r="U108" s="27">
        <f>(S108-$I$5)/$I$4</f>
        <v>770.21931164101966</v>
      </c>
      <c r="V108" s="15">
        <f>U108-5</f>
        <v>765.21931164101966</v>
      </c>
      <c r="W108" s="16">
        <f>U108+5</f>
        <v>775.21931164101966</v>
      </c>
      <c r="X108" t="s">
        <v>358</v>
      </c>
      <c r="Y108" s="36" t="s">
        <v>190</v>
      </c>
      <c r="Z108" s="36">
        <v>768.36</v>
      </c>
      <c r="AA108" s="36">
        <v>5.0000000000000001E-3</v>
      </c>
      <c r="AB108" s="36">
        <v>4.8940000000000001</v>
      </c>
      <c r="AC108" s="36">
        <v>1.0999999999999999E-2</v>
      </c>
      <c r="AD108" s="36" t="s">
        <v>191</v>
      </c>
    </row>
    <row r="109" spans="17:30" ht="15" thickBot="1" x14ac:dyDescent="0.35">
      <c r="Q109">
        <v>10500</v>
      </c>
      <c r="R109" s="20" t="s">
        <v>179</v>
      </c>
      <c r="S109" s="1">
        <v>10562.4</v>
      </c>
      <c r="T109" s="1">
        <v>0.57284599999999997</v>
      </c>
      <c r="U109" s="27">
        <f>(S109-$I$5)/$I$4</f>
        <v>1241.5149770938565</v>
      </c>
      <c r="X109" t="s">
        <v>358</v>
      </c>
      <c r="Y109" s="36" t="s">
        <v>190</v>
      </c>
      <c r="Z109" s="36">
        <v>1238.1220000000001</v>
      </c>
      <c r="AA109" s="36">
        <v>7.0000000000000001E-3</v>
      </c>
      <c r="AB109" s="36">
        <v>5.8339999999999996</v>
      </c>
      <c r="AC109" s="36">
        <v>1.4999999999999999E-2</v>
      </c>
      <c r="AD109" s="36" t="s">
        <v>191</v>
      </c>
    </row>
    <row r="110" spans="17:30" ht="15" thickBot="1" x14ac:dyDescent="0.35">
      <c r="Q110">
        <v>11600</v>
      </c>
      <c r="R110" s="20" t="s">
        <v>179</v>
      </c>
      <c r="S110" s="1">
        <v>11754.9</v>
      </c>
      <c r="T110" s="1">
        <v>0.64606699999999995</v>
      </c>
      <c r="U110" s="27">
        <f>(S110-$I$5)/$I$4</f>
        <v>1381.5948549277575</v>
      </c>
      <c r="X110" t="s">
        <v>147</v>
      </c>
      <c r="Y110" t="s">
        <v>192</v>
      </c>
    </row>
    <row r="111" spans="17:30" ht="15" thickBot="1" x14ac:dyDescent="0.35">
      <c r="Q111" t="s">
        <v>364</v>
      </c>
      <c r="R111" s="20" t="s">
        <v>179</v>
      </c>
      <c r="S111" s="1">
        <v>629.25699999999995</v>
      </c>
      <c r="T111" s="1">
        <v>0.17566200000000001</v>
      </c>
      <c r="U111" s="27">
        <f t="shared" ref="U111:U113" si="17">(S111-$I$5)/$I$4</f>
        <v>74.694467285328315</v>
      </c>
    </row>
    <row r="112" spans="17:30" ht="15" thickBot="1" x14ac:dyDescent="0.35">
      <c r="S112" s="1">
        <v>648.05399999999997</v>
      </c>
      <c r="T112" s="1">
        <v>0.123379</v>
      </c>
      <c r="U112" s="27">
        <f t="shared" si="17"/>
        <v>76.902502055679548</v>
      </c>
    </row>
    <row r="113" spans="17:24" ht="15" thickBot="1" x14ac:dyDescent="0.35">
      <c r="Q113">
        <v>1000</v>
      </c>
      <c r="R113" t="s">
        <v>179</v>
      </c>
      <c r="S113" s="1">
        <v>939.803</v>
      </c>
      <c r="T113" s="1">
        <v>0.56822499999999998</v>
      </c>
      <c r="U113" s="27">
        <f t="shared" si="17"/>
        <v>111.17349935392929</v>
      </c>
      <c r="X113" t="s">
        <v>147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4"/>
  <sheetViews>
    <sheetView topLeftCell="A22" zoomScale="55" zoomScaleNormal="55" workbookViewId="0">
      <selection activeCell="C51" activeCellId="2" sqref="C45:D45 C48:D48 C51:D51"/>
    </sheetView>
  </sheetViews>
  <sheetFormatPr defaultRowHeight="14.4" x14ac:dyDescent="0.3"/>
  <cols>
    <col min="1" max="1" width="11.5546875" customWidth="1"/>
    <col min="6" max="6" width="11.5546875" customWidth="1"/>
    <col min="8" max="8" width="10.5546875" customWidth="1"/>
    <col min="9" max="9" width="11.5546875" customWidth="1"/>
    <col min="13" max="13" width="11.44140625" bestFit="1" customWidth="1"/>
    <col min="17" max="17" width="9" bestFit="1" customWidth="1"/>
    <col min="18" max="18" width="8.5546875" bestFit="1" customWidth="1"/>
    <col min="19" max="19" width="9" bestFit="1" customWidth="1"/>
    <col min="20" max="20" width="11.44140625" bestFit="1" customWidth="1"/>
    <col min="22" max="22" width="10.33203125" bestFit="1" customWidth="1"/>
  </cols>
  <sheetData>
    <row r="1" spans="1:41" ht="15" thickBot="1" x14ac:dyDescent="0.35">
      <c r="A1" s="61" t="s">
        <v>113</v>
      </c>
      <c r="H1" s="67" t="s">
        <v>150</v>
      </c>
      <c r="V1" s="87" t="s">
        <v>179</v>
      </c>
    </row>
    <row r="2" spans="1:41" ht="15" thickBot="1" x14ac:dyDescent="0.35">
      <c r="A2" s="25" t="s">
        <v>92</v>
      </c>
      <c r="B2" t="s">
        <v>128</v>
      </c>
      <c r="H2" s="25" t="s">
        <v>151</v>
      </c>
      <c r="O2" s="25" t="s">
        <v>176</v>
      </c>
      <c r="V2" s="88" t="s">
        <v>180</v>
      </c>
      <c r="AC2" s="25" t="s">
        <v>183</v>
      </c>
      <c r="AJ2" s="25" t="s">
        <v>186</v>
      </c>
    </row>
    <row r="3" spans="1:41" x14ac:dyDescent="0.3">
      <c r="A3">
        <v>1</v>
      </c>
      <c r="B3" t="s">
        <v>14</v>
      </c>
      <c r="C3" s="1">
        <v>12465.2</v>
      </c>
      <c r="D3" s="1">
        <v>0.47758200000000001</v>
      </c>
      <c r="E3" s="1">
        <v>-5.5328800000000003E-6</v>
      </c>
      <c r="F3" s="1">
        <v>-2.10127E-5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O3" t="s">
        <v>8</v>
      </c>
      <c r="P3" t="s">
        <v>9</v>
      </c>
      <c r="Q3" t="s">
        <v>10</v>
      </c>
      <c r="R3" t="s">
        <v>11</v>
      </c>
      <c r="S3" t="s">
        <v>12</v>
      </c>
      <c r="T3" t="s">
        <v>13</v>
      </c>
      <c r="V3" t="s">
        <v>8</v>
      </c>
      <c r="W3" t="s">
        <v>9</v>
      </c>
      <c r="X3" t="s">
        <v>10</v>
      </c>
      <c r="Y3" t="s">
        <v>11</v>
      </c>
      <c r="Z3" t="s">
        <v>12</v>
      </c>
      <c r="AA3" t="s">
        <v>13</v>
      </c>
      <c r="AC3" t="s">
        <v>8</v>
      </c>
      <c r="AD3" t="s">
        <v>9</v>
      </c>
      <c r="AE3" t="s">
        <v>10</v>
      </c>
      <c r="AF3" t="s">
        <v>11</v>
      </c>
      <c r="AG3" t="s">
        <v>12</v>
      </c>
      <c r="AH3" t="s">
        <v>13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3">
      <c r="A4">
        <v>2</v>
      </c>
      <c r="B4" t="s">
        <v>3</v>
      </c>
      <c r="C4" s="1">
        <v>22.1813</v>
      </c>
      <c r="D4" s="1">
        <v>1.17655</v>
      </c>
      <c r="E4" s="1">
        <v>-3.1179200000000001E-5</v>
      </c>
      <c r="F4" s="1">
        <v>-3.01651E-5</v>
      </c>
      <c r="H4">
        <v>1</v>
      </c>
      <c r="I4" t="s">
        <v>14</v>
      </c>
      <c r="J4" s="1">
        <v>7771.49</v>
      </c>
      <c r="K4" s="1">
        <v>0.23519499999999999</v>
      </c>
      <c r="L4" s="1">
        <v>1.5396600000000001E-5</v>
      </c>
      <c r="M4" s="1">
        <v>-2.1935000000000001E-3</v>
      </c>
      <c r="O4">
        <v>1</v>
      </c>
      <c r="P4" t="s">
        <v>14</v>
      </c>
      <c r="Q4" s="1">
        <v>6200.71</v>
      </c>
      <c r="R4" s="1">
        <v>0.41578100000000001</v>
      </c>
      <c r="S4" s="1">
        <v>1.8262199999999999E-6</v>
      </c>
      <c r="T4" s="1">
        <v>4.4958899999999997E-6</v>
      </c>
      <c r="V4">
        <v>1</v>
      </c>
      <c r="W4" t="s">
        <v>14</v>
      </c>
      <c r="X4" s="1">
        <v>15058.9</v>
      </c>
      <c r="Y4" s="1">
        <v>0.39296900000000001</v>
      </c>
      <c r="Z4" s="1">
        <v>1.29402E-5</v>
      </c>
      <c r="AA4" s="1">
        <v>-0.21828700000000001</v>
      </c>
      <c r="AC4">
        <v>1</v>
      </c>
      <c r="AD4" t="s">
        <v>14</v>
      </c>
      <c r="AE4" s="1">
        <v>2995.28</v>
      </c>
      <c r="AF4" s="1">
        <v>5.6564499999999997E-2</v>
      </c>
      <c r="AG4" s="1">
        <v>3.3993900000000002E-6</v>
      </c>
      <c r="AH4" s="1">
        <v>1.6819899999999999E-2</v>
      </c>
      <c r="AJ4">
        <v>1</v>
      </c>
      <c r="AK4" t="s">
        <v>14</v>
      </c>
      <c r="AL4" s="1">
        <v>1578.4</v>
      </c>
      <c r="AM4" s="1">
        <v>0.124818</v>
      </c>
      <c r="AN4" s="1">
        <v>7.9325000000000007E-6</v>
      </c>
      <c r="AO4" s="1">
        <v>4.7351900000000002E-2</v>
      </c>
    </row>
    <row r="5" spans="1:41" x14ac:dyDescent="0.3">
      <c r="A5">
        <v>3</v>
      </c>
      <c r="B5" t="s">
        <v>15</v>
      </c>
      <c r="C5" s="1">
        <v>539.33100000000002</v>
      </c>
      <c r="D5" s="1">
        <v>28.466999999999999</v>
      </c>
      <c r="E5" s="1">
        <v>-9.9570399999999998E-5</v>
      </c>
      <c r="F5" s="1">
        <v>6.97059E-6</v>
      </c>
      <c r="H5">
        <v>2</v>
      </c>
      <c r="I5" t="s">
        <v>3</v>
      </c>
      <c r="J5" s="1">
        <v>16.953099999999999</v>
      </c>
      <c r="K5" s="1">
        <v>0.43189</v>
      </c>
      <c r="L5" s="1">
        <v>4.7607600000000001E-5</v>
      </c>
      <c r="M5" s="1">
        <v>-7.6174800000000003E-4</v>
      </c>
      <c r="O5">
        <v>2</v>
      </c>
      <c r="P5" t="s">
        <v>3</v>
      </c>
      <c r="Q5" s="1">
        <v>17.966000000000001</v>
      </c>
      <c r="R5" s="1">
        <v>0.83876399999999995</v>
      </c>
      <c r="S5" s="1">
        <v>5.7841500000000003E-6</v>
      </c>
      <c r="T5" s="1">
        <v>-2.9165800000000001E-5</v>
      </c>
      <c r="V5">
        <v>2</v>
      </c>
      <c r="W5" t="s">
        <v>3</v>
      </c>
      <c r="X5" s="1">
        <v>25.421299999999999</v>
      </c>
      <c r="Y5" s="1">
        <v>0.75714199999999998</v>
      </c>
      <c r="Z5" s="1">
        <v>4.3795999999999999E-5</v>
      </c>
      <c r="AA5" s="1">
        <v>1.9008899999999999E-2</v>
      </c>
      <c r="AC5">
        <v>2</v>
      </c>
      <c r="AD5" t="s">
        <v>3</v>
      </c>
      <c r="AE5" s="1">
        <v>13.409800000000001</v>
      </c>
      <c r="AF5" s="1">
        <v>0.112646</v>
      </c>
      <c r="AG5" s="1">
        <v>2.0290799999999999E-5</v>
      </c>
      <c r="AH5" s="1">
        <v>1.21163E-2</v>
      </c>
      <c r="AJ5">
        <v>2</v>
      </c>
      <c r="AK5" t="s">
        <v>3</v>
      </c>
      <c r="AL5" s="1">
        <v>12.976100000000001</v>
      </c>
      <c r="AM5" s="1">
        <v>0.26620700000000003</v>
      </c>
      <c r="AN5" s="1">
        <v>3.7682000000000003E-5</v>
      </c>
      <c r="AO5" s="1">
        <v>-1.3593100000000001E-3</v>
      </c>
    </row>
    <row r="6" spans="1:41" x14ac:dyDescent="0.3">
      <c r="A6">
        <v>4</v>
      </c>
      <c r="B6" t="s">
        <v>16</v>
      </c>
      <c r="C6" s="1">
        <v>74.580200000000005</v>
      </c>
      <c r="D6" s="1">
        <v>68.884799999999998</v>
      </c>
      <c r="E6" s="1">
        <v>-0.21577199999999999</v>
      </c>
      <c r="F6" s="1">
        <v>1.56677E-6</v>
      </c>
      <c r="H6">
        <v>3</v>
      </c>
      <c r="I6" t="s">
        <v>15</v>
      </c>
      <c r="J6" s="1">
        <v>1226.24</v>
      </c>
      <c r="K6" s="1">
        <v>36.622900000000001</v>
      </c>
      <c r="L6" s="1">
        <v>3.03923E-4</v>
      </c>
      <c r="M6" s="1">
        <v>1.01711E-4</v>
      </c>
      <c r="O6">
        <v>3</v>
      </c>
      <c r="P6" t="s">
        <v>15</v>
      </c>
      <c r="Q6" s="1">
        <v>502.53399999999999</v>
      </c>
      <c r="R6" s="1">
        <v>25.483799999999999</v>
      </c>
      <c r="S6" s="1">
        <v>1.7571499999999999E-5</v>
      </c>
      <c r="T6" s="1">
        <v>-3.9080599999999996E-6</v>
      </c>
      <c r="V6">
        <v>3</v>
      </c>
      <c r="W6" t="s">
        <v>15</v>
      </c>
      <c r="X6" s="1">
        <v>1010.34</v>
      </c>
      <c r="Y6" s="1">
        <v>33.996499999999997</v>
      </c>
      <c r="Z6" s="1">
        <v>2.7789200000000002E-4</v>
      </c>
      <c r="AA6" s="1">
        <v>-9.1326299999999992E-3</v>
      </c>
      <c r="AC6">
        <v>3</v>
      </c>
      <c r="AD6" t="s">
        <v>15</v>
      </c>
      <c r="AE6" s="1">
        <v>12315.9</v>
      </c>
      <c r="AF6" s="1">
        <v>113.989</v>
      </c>
      <c r="AG6" s="1">
        <v>1.5844399999999999E-4</v>
      </c>
      <c r="AH6" s="1">
        <v>-1.7693099999999999E-4</v>
      </c>
      <c r="AJ6">
        <v>3</v>
      </c>
      <c r="AK6" t="s">
        <v>15</v>
      </c>
      <c r="AL6" s="1">
        <v>3474.48</v>
      </c>
      <c r="AM6" s="1">
        <v>71.006399999999999</v>
      </c>
      <c r="AN6" s="1">
        <v>8.9899099999999994E-5</v>
      </c>
      <c r="AO6" s="1">
        <v>9.0113400000000005E-4</v>
      </c>
    </row>
    <row r="7" spans="1:41" ht="15" thickBot="1" x14ac:dyDescent="0.35">
      <c r="A7">
        <v>5</v>
      </c>
      <c r="B7" t="s">
        <v>17</v>
      </c>
      <c r="C7" s="1">
        <v>-5.89078E-3</v>
      </c>
      <c r="D7" s="1">
        <v>5.5398399999999999E-3</v>
      </c>
      <c r="E7" s="1">
        <v>1.7352900000000001E-5</v>
      </c>
      <c r="F7" s="1">
        <v>1.9729E-2</v>
      </c>
      <c r="H7">
        <v>4</v>
      </c>
      <c r="I7" t="s">
        <v>16</v>
      </c>
      <c r="J7" s="1">
        <v>38.515999999999998</v>
      </c>
      <c r="K7" s="1">
        <v>16.141400000000001</v>
      </c>
      <c r="L7" s="1">
        <v>7.6850900000000001E-4</v>
      </c>
      <c r="M7" s="1">
        <v>-2.85875E-5</v>
      </c>
      <c r="O7">
        <v>4</v>
      </c>
      <c r="P7" t="s">
        <v>16</v>
      </c>
      <c r="Q7" s="1">
        <v>16.447700000000001</v>
      </c>
      <c r="R7" s="1">
        <v>12.993</v>
      </c>
      <c r="S7" s="1">
        <v>0.10048799999999999</v>
      </c>
      <c r="T7" s="1">
        <v>-5.4078899999999999E-7</v>
      </c>
      <c r="V7">
        <v>4</v>
      </c>
      <c r="W7" t="s">
        <v>16</v>
      </c>
      <c r="X7" s="1">
        <v>8.5807199999999995</v>
      </c>
      <c r="Y7" s="1">
        <v>14.674799999999999</v>
      </c>
      <c r="Z7" s="1">
        <v>5.1320700000000001E-4</v>
      </c>
      <c r="AA7" s="1">
        <v>-1.3897100000000001E-2</v>
      </c>
      <c r="AC7">
        <v>4</v>
      </c>
      <c r="AD7" t="s">
        <v>16</v>
      </c>
      <c r="AE7" s="1">
        <v>64.839799999999997</v>
      </c>
      <c r="AF7" s="1">
        <v>4.0828699999999998</v>
      </c>
      <c r="AG7" s="1">
        <v>2.8674500000000001E-3</v>
      </c>
      <c r="AH7" s="1">
        <v>-3.7791799999999998E-4</v>
      </c>
      <c r="AJ7">
        <v>4</v>
      </c>
      <c r="AK7" t="s">
        <v>16</v>
      </c>
      <c r="AL7" s="1">
        <v>74.837500000000006</v>
      </c>
      <c r="AM7" s="1">
        <v>8.20303</v>
      </c>
      <c r="AN7" s="1">
        <v>3.6074900000000001E-3</v>
      </c>
      <c r="AO7" s="1">
        <v>7.0779700000000003E-5</v>
      </c>
    </row>
    <row r="8" spans="1:41" ht="15" thickBot="1" x14ac:dyDescent="0.35">
      <c r="A8" s="25" t="s">
        <v>93</v>
      </c>
      <c r="B8" t="s">
        <v>127</v>
      </c>
      <c r="H8">
        <v>5</v>
      </c>
      <c r="I8" t="s">
        <v>17</v>
      </c>
      <c r="J8" s="1">
        <v>-4.7276100000000001E-3</v>
      </c>
      <c r="K8" s="1">
        <v>2.07865E-3</v>
      </c>
      <c r="L8" s="1">
        <v>9.8957299999999994E-8</v>
      </c>
      <c r="M8" s="1">
        <v>-0.222273</v>
      </c>
      <c r="O8">
        <v>5</v>
      </c>
      <c r="P8" t="s">
        <v>17</v>
      </c>
      <c r="Q8" s="1">
        <v>-2.2536100000000001E-3</v>
      </c>
      <c r="R8" s="1">
        <v>2.1000200000000002E-3</v>
      </c>
      <c r="S8" s="1">
        <v>-1.62415E-5</v>
      </c>
      <c r="T8" s="1">
        <v>-3.5284600000000002E-3</v>
      </c>
      <c r="V8">
        <v>5</v>
      </c>
      <c r="W8" t="s">
        <v>17</v>
      </c>
      <c r="X8" s="1">
        <v>-4.7903699999999997E-4</v>
      </c>
      <c r="Y8" s="1">
        <v>9.7825600000000005E-4</v>
      </c>
      <c r="Z8" s="1">
        <v>3.4201000000000003E-8</v>
      </c>
      <c r="AA8" s="1">
        <v>-208.76499999999999</v>
      </c>
      <c r="AC8">
        <v>5</v>
      </c>
      <c r="AD8" t="s">
        <v>17</v>
      </c>
      <c r="AE8" s="1">
        <v>-1.56531E-2</v>
      </c>
      <c r="AF8" s="1">
        <v>1.32956E-3</v>
      </c>
      <c r="AG8" s="1">
        <v>9.3397900000000003E-7</v>
      </c>
      <c r="AH8" s="1">
        <v>1.19051</v>
      </c>
      <c r="AJ8">
        <v>5</v>
      </c>
      <c r="AK8" t="s">
        <v>17</v>
      </c>
      <c r="AL8" s="1">
        <v>-1.9695000000000001E-2</v>
      </c>
      <c r="AM8" s="1">
        <v>5.1775500000000004E-3</v>
      </c>
      <c r="AN8" s="1">
        <v>2.2773799999999999E-6</v>
      </c>
      <c r="AO8" s="1">
        <v>-9.6211000000000005E-2</v>
      </c>
    </row>
    <row r="9" spans="1:41" ht="15" thickBot="1" x14ac:dyDescent="0.35">
      <c r="A9" t="s">
        <v>8</v>
      </c>
      <c r="B9" t="s">
        <v>9</v>
      </c>
      <c r="C9" t="s">
        <v>10</v>
      </c>
      <c r="D9" t="s">
        <v>11</v>
      </c>
      <c r="E9" t="s">
        <v>12</v>
      </c>
      <c r="F9" t="s">
        <v>13</v>
      </c>
      <c r="H9" s="17" t="s">
        <v>152</v>
      </c>
      <c r="I9" s="19"/>
      <c r="O9" s="25" t="s">
        <v>177</v>
      </c>
      <c r="V9" s="25" t="s">
        <v>181</v>
      </c>
      <c r="AC9" s="25" t="s">
        <v>184</v>
      </c>
      <c r="AJ9" s="25" t="s">
        <v>187</v>
      </c>
    </row>
    <row r="10" spans="1:41" x14ac:dyDescent="0.3">
      <c r="B10" t="s">
        <v>14</v>
      </c>
      <c r="C10" s="1">
        <v>5640.24</v>
      </c>
      <c r="D10" s="1">
        <v>0.77578000000000003</v>
      </c>
      <c r="E10" s="1">
        <v>2.3221700000000002E-5</v>
      </c>
      <c r="F10" s="1">
        <v>2.9281600000000001E-2</v>
      </c>
      <c r="H10" t="s">
        <v>8</v>
      </c>
      <c r="I10" t="s">
        <v>9</v>
      </c>
      <c r="J10" t="s">
        <v>10</v>
      </c>
      <c r="K10" t="s">
        <v>11</v>
      </c>
      <c r="L10" t="s">
        <v>12</v>
      </c>
      <c r="M10" t="s">
        <v>13</v>
      </c>
      <c r="O10" t="s">
        <v>8</v>
      </c>
      <c r="P10" t="s">
        <v>9</v>
      </c>
      <c r="Q10" t="s">
        <v>10</v>
      </c>
      <c r="R10" t="s">
        <v>11</v>
      </c>
      <c r="S10" t="s">
        <v>12</v>
      </c>
      <c r="T10" t="s">
        <v>13</v>
      </c>
      <c r="V10" t="s">
        <v>8</v>
      </c>
      <c r="W10" t="s">
        <v>9</v>
      </c>
      <c r="X10" t="s">
        <v>10</v>
      </c>
      <c r="Y10" t="s">
        <v>11</v>
      </c>
      <c r="Z10" t="s">
        <v>12</v>
      </c>
      <c r="AA10" t="s">
        <v>13</v>
      </c>
      <c r="AC10" t="s">
        <v>8</v>
      </c>
      <c r="AD10" t="s">
        <v>9</v>
      </c>
      <c r="AE10" t="s">
        <v>10</v>
      </c>
      <c r="AF10" t="s">
        <v>11</v>
      </c>
      <c r="AG10" t="s">
        <v>12</v>
      </c>
      <c r="AH10" t="s">
        <v>13</v>
      </c>
      <c r="AJ10" t="s">
        <v>8</v>
      </c>
      <c r="AK10" t="s">
        <v>9</v>
      </c>
      <c r="AL10" t="s">
        <v>10</v>
      </c>
      <c r="AM10" t="s">
        <v>11</v>
      </c>
      <c r="AN10" t="s">
        <v>12</v>
      </c>
      <c r="AO10" t="s">
        <v>13</v>
      </c>
    </row>
    <row r="11" spans="1:41" x14ac:dyDescent="0.3">
      <c r="A11">
        <v>2</v>
      </c>
      <c r="B11" t="s">
        <v>3</v>
      </c>
      <c r="C11" s="1">
        <v>14.3428</v>
      </c>
      <c r="D11" s="1">
        <v>1.7981400000000001</v>
      </c>
      <c r="E11" s="1">
        <v>1.9227799999999999E-4</v>
      </c>
      <c r="F11" s="1">
        <v>1.7379699999999999E-3</v>
      </c>
      <c r="H11">
        <v>1</v>
      </c>
      <c r="I11" t="s">
        <v>21</v>
      </c>
      <c r="J11" s="1">
        <v>8227.39</v>
      </c>
      <c r="K11" s="1">
        <v>0.61974499999999999</v>
      </c>
      <c r="L11" s="1">
        <v>1.6334E-5</v>
      </c>
      <c r="M11" s="1">
        <v>2.17417E-3</v>
      </c>
      <c r="O11">
        <v>1</v>
      </c>
      <c r="P11" t="s">
        <v>14</v>
      </c>
      <c r="Q11" s="1">
        <v>6778.76</v>
      </c>
      <c r="R11" s="1">
        <v>0.72280599999999995</v>
      </c>
      <c r="S11" s="1">
        <v>3.3540700000000002E-5</v>
      </c>
      <c r="T11" s="1">
        <v>-5.92921E-2</v>
      </c>
      <c r="V11">
        <v>1</v>
      </c>
      <c r="W11" t="s">
        <v>14</v>
      </c>
      <c r="X11" s="1">
        <v>9555.59</v>
      </c>
      <c r="Y11" s="1">
        <v>0.27668399999999999</v>
      </c>
      <c r="Z11" s="1">
        <v>1.07635E-5</v>
      </c>
      <c r="AA11" s="1">
        <v>-6.2114999999999997E-2</v>
      </c>
      <c r="AC11">
        <v>1</v>
      </c>
      <c r="AD11" t="s">
        <v>14</v>
      </c>
      <c r="AE11" s="1">
        <v>2511.23</v>
      </c>
      <c r="AF11" s="1">
        <v>7.1101200000000003E-2</v>
      </c>
      <c r="AG11" s="1">
        <v>3.70501E-6</v>
      </c>
      <c r="AH11" s="1">
        <v>1.25234</v>
      </c>
      <c r="AJ11">
        <v>1</v>
      </c>
      <c r="AK11" t="s">
        <v>14</v>
      </c>
      <c r="AL11" s="1">
        <v>6550.26</v>
      </c>
      <c r="AM11" s="1">
        <v>0.38413799999999998</v>
      </c>
      <c r="AN11" s="1">
        <v>1.49882E-5</v>
      </c>
      <c r="AO11" s="1">
        <v>0.245396</v>
      </c>
    </row>
    <row r="12" spans="1:41" x14ac:dyDescent="0.3">
      <c r="A12">
        <v>3</v>
      </c>
      <c r="B12" t="s">
        <v>15</v>
      </c>
      <c r="C12" s="1">
        <v>126.81100000000001</v>
      </c>
      <c r="D12" s="1">
        <v>14.421799999999999</v>
      </c>
      <c r="E12" s="1">
        <v>3.0396600000000002E-4</v>
      </c>
      <c r="F12" s="1">
        <v>3.3887600000000002E-3</v>
      </c>
      <c r="H12">
        <v>2</v>
      </c>
      <c r="I12" t="s">
        <v>22</v>
      </c>
      <c r="J12" s="1">
        <v>17.0885</v>
      </c>
      <c r="K12" s="1">
        <v>1.5660499999999999</v>
      </c>
      <c r="L12" s="1">
        <v>1.06802E-4</v>
      </c>
      <c r="M12" s="1">
        <v>7.3826199999999995E-4</v>
      </c>
      <c r="O12">
        <v>2</v>
      </c>
      <c r="P12" t="s">
        <v>3</v>
      </c>
      <c r="Q12" s="1">
        <v>17.593900000000001</v>
      </c>
      <c r="R12" s="1">
        <v>1.64297</v>
      </c>
      <c r="S12" s="1">
        <v>1.51075E-4</v>
      </c>
      <c r="T12" s="1">
        <v>-1.9632299999999998E-2</v>
      </c>
      <c r="V12">
        <v>2</v>
      </c>
      <c r="W12" t="s">
        <v>3</v>
      </c>
      <c r="X12" s="1">
        <v>20.490200000000002</v>
      </c>
      <c r="Y12" s="1">
        <v>0.526532</v>
      </c>
      <c r="Z12" s="1">
        <v>5.3541300000000002E-5</v>
      </c>
      <c r="AA12" s="1">
        <v>-0.110875</v>
      </c>
      <c r="AC12">
        <v>2</v>
      </c>
      <c r="AD12" t="s">
        <v>3</v>
      </c>
      <c r="AE12" s="1">
        <v>12.5595</v>
      </c>
      <c r="AF12" s="1">
        <v>0.13792699999999999</v>
      </c>
      <c r="AG12" s="1">
        <v>2.1135400000000001E-5</v>
      </c>
      <c r="AH12" s="1">
        <v>9.5203200000000002E-2</v>
      </c>
      <c r="AJ12">
        <v>2</v>
      </c>
      <c r="AK12" t="s">
        <v>3</v>
      </c>
      <c r="AL12" s="1">
        <v>17.8218</v>
      </c>
      <c r="AM12" s="1">
        <v>0.86703699999999995</v>
      </c>
      <c r="AN12" s="1">
        <v>1.07392E-4</v>
      </c>
      <c r="AO12" s="1">
        <v>-4.6194300000000001E-2</v>
      </c>
    </row>
    <row r="13" spans="1:41" x14ac:dyDescent="0.3">
      <c r="A13">
        <v>4</v>
      </c>
      <c r="B13" t="s">
        <v>16</v>
      </c>
      <c r="C13" s="1">
        <v>2.8838300000000001</v>
      </c>
      <c r="D13" s="1">
        <v>1.3212200000000001</v>
      </c>
      <c r="E13" s="1">
        <v>6.6171199999999996E-4</v>
      </c>
      <c r="F13" s="1">
        <v>-6.8835299999999995E-4</v>
      </c>
      <c r="H13">
        <v>3</v>
      </c>
      <c r="I13" t="s">
        <v>23</v>
      </c>
      <c r="J13" s="1">
        <v>232.31700000000001</v>
      </c>
      <c r="K13" s="1">
        <v>17.485399999999998</v>
      </c>
      <c r="L13" s="1">
        <v>2.0651600000000001E-4</v>
      </c>
      <c r="M13" s="1">
        <v>1.27637E-3</v>
      </c>
      <c r="O13">
        <v>3</v>
      </c>
      <c r="P13" t="s">
        <v>15</v>
      </c>
      <c r="Q13" s="1">
        <v>211.733</v>
      </c>
      <c r="R13" s="1">
        <v>17.932600000000001</v>
      </c>
      <c r="S13" s="1">
        <v>2.9310000000000002E-4</v>
      </c>
      <c r="T13" s="1">
        <v>1.41446E-2</v>
      </c>
      <c r="V13">
        <v>3</v>
      </c>
      <c r="W13" t="s">
        <v>15</v>
      </c>
      <c r="X13" s="1">
        <v>1519.04</v>
      </c>
      <c r="Y13" s="1">
        <v>41.101399999999998</v>
      </c>
      <c r="Z13" s="1">
        <v>2.6799300000000001E-4</v>
      </c>
      <c r="AA13" s="1">
        <v>-8.8552500000000003E-3</v>
      </c>
      <c r="AC13">
        <v>3</v>
      </c>
      <c r="AD13" t="s">
        <v>15</v>
      </c>
      <c r="AE13" s="1">
        <v>7295.41</v>
      </c>
      <c r="AF13" s="1">
        <v>89.989699999999999</v>
      </c>
      <c r="AG13" s="1">
        <v>1.1726399999999999E-4</v>
      </c>
      <c r="AH13" s="1">
        <v>-1.5728099999999998E-2</v>
      </c>
      <c r="AJ13">
        <v>3</v>
      </c>
      <c r="AK13" t="s">
        <v>15</v>
      </c>
      <c r="AL13" s="1">
        <v>689.84299999999996</v>
      </c>
      <c r="AM13" s="1">
        <v>30.081700000000001</v>
      </c>
      <c r="AN13" s="1">
        <v>2.6116399999999998E-4</v>
      </c>
      <c r="AO13" s="1">
        <v>1.8164699999999999E-2</v>
      </c>
    </row>
    <row r="14" spans="1:41" x14ac:dyDescent="0.3">
      <c r="A14">
        <v>5</v>
      </c>
      <c r="B14" t="s">
        <v>17</v>
      </c>
      <c r="C14" s="1">
        <v>-1.16276E-4</v>
      </c>
      <c r="D14" s="1">
        <v>2.34047E-4</v>
      </c>
      <c r="E14" s="1">
        <v>1.17221E-7</v>
      </c>
      <c r="F14" s="1">
        <v>-3.89032</v>
      </c>
      <c r="H14">
        <v>4</v>
      </c>
      <c r="I14" t="s">
        <v>24</v>
      </c>
      <c r="J14" s="1">
        <v>8263.7800000000007</v>
      </c>
      <c r="K14" s="1">
        <v>0.30957099999999999</v>
      </c>
      <c r="L14" s="1">
        <v>8.5908700000000006E-6</v>
      </c>
      <c r="M14" s="1">
        <v>7.5593500000000003E-3</v>
      </c>
      <c r="O14">
        <v>4</v>
      </c>
      <c r="P14" t="s">
        <v>16</v>
      </c>
      <c r="Q14" s="1">
        <v>25.924700000000001</v>
      </c>
      <c r="R14" s="1">
        <v>7.4234600000000004</v>
      </c>
      <c r="S14" s="1">
        <v>6.6066699999999998E-4</v>
      </c>
      <c r="T14" s="1">
        <v>-9.2536400000000003E-4</v>
      </c>
      <c r="V14">
        <v>4</v>
      </c>
      <c r="W14" t="s">
        <v>16</v>
      </c>
      <c r="X14" s="1">
        <v>4.1735899999999999</v>
      </c>
      <c r="Y14" s="1">
        <v>4.3446499999999997</v>
      </c>
      <c r="Z14" s="1">
        <v>9.0809699999999996E-4</v>
      </c>
      <c r="AA14" s="1">
        <v>1.183E-2</v>
      </c>
      <c r="AC14">
        <v>4</v>
      </c>
      <c r="AD14" t="s">
        <v>16</v>
      </c>
      <c r="AE14" s="1">
        <v>77.238900000000001</v>
      </c>
      <c r="AF14" s="1">
        <v>4.6560199999999998</v>
      </c>
      <c r="AG14" s="1">
        <v>2.6901E-3</v>
      </c>
      <c r="AH14" s="1">
        <v>9.2932300000000005E-5</v>
      </c>
      <c r="AJ14">
        <v>4</v>
      </c>
      <c r="AK14" t="s">
        <v>16</v>
      </c>
      <c r="AL14" s="1">
        <v>3.8847299999999998</v>
      </c>
      <c r="AM14" s="1">
        <v>2.2534200000000002</v>
      </c>
      <c r="AN14" s="1">
        <v>1.2338099999999999E-3</v>
      </c>
      <c r="AO14" s="1">
        <v>5.2296699999999996E-3</v>
      </c>
    </row>
    <row r="15" spans="1:41" ht="15" thickBot="1" x14ac:dyDescent="0.35">
      <c r="H15">
        <v>5</v>
      </c>
      <c r="I15" t="s">
        <v>25</v>
      </c>
      <c r="J15" s="1">
        <v>16.1023</v>
      </c>
      <c r="K15" s="1">
        <v>0.59781300000000004</v>
      </c>
      <c r="L15" s="1">
        <v>4.5058400000000002E-5</v>
      </c>
      <c r="M15" s="1">
        <v>1.5784900000000001E-3</v>
      </c>
      <c r="O15">
        <v>5</v>
      </c>
      <c r="P15" t="s">
        <v>17</v>
      </c>
      <c r="Q15" s="1">
        <v>-3.5126100000000002E-3</v>
      </c>
      <c r="R15" s="1">
        <v>1.09435E-3</v>
      </c>
      <c r="S15" s="1">
        <v>9.73988E-8</v>
      </c>
      <c r="T15" s="1">
        <v>-6.2499599999999997</v>
      </c>
      <c r="V15">
        <v>5</v>
      </c>
      <c r="W15" t="s">
        <v>17</v>
      </c>
      <c r="X15" s="1">
        <v>-1.3521099999999999E-4</v>
      </c>
      <c r="Y15" s="1">
        <v>4.5574599999999998E-4</v>
      </c>
      <c r="Z15" s="1">
        <v>9.5251499999999998E-8</v>
      </c>
      <c r="AA15" s="1">
        <v>112.548</v>
      </c>
      <c r="AC15">
        <v>5</v>
      </c>
      <c r="AD15" t="s">
        <v>17</v>
      </c>
      <c r="AE15" s="1">
        <v>-2.1600899999999999E-2</v>
      </c>
      <c r="AF15" s="1">
        <v>1.8314900000000001E-3</v>
      </c>
      <c r="AG15" s="1">
        <v>1.0583699999999999E-6</v>
      </c>
      <c r="AH15" s="1">
        <v>-0.43779899999999999</v>
      </c>
      <c r="AJ15">
        <v>5</v>
      </c>
      <c r="AK15" t="s">
        <v>17</v>
      </c>
      <c r="AL15" s="1">
        <v>9.2427000000000001E-5</v>
      </c>
      <c r="AM15" s="1">
        <v>3.3934600000000003E-4</v>
      </c>
      <c r="AN15" s="1">
        <v>1.8585499999999999E-7</v>
      </c>
      <c r="AO15" s="1">
        <v>34.647399999999998</v>
      </c>
    </row>
    <row r="16" spans="1:41" ht="15" thickBot="1" x14ac:dyDescent="0.35">
      <c r="A16" s="61" t="s">
        <v>117</v>
      </c>
      <c r="H16">
        <v>6</v>
      </c>
      <c r="I16" t="s">
        <v>26</v>
      </c>
      <c r="J16" s="1">
        <v>628.03899999999999</v>
      </c>
      <c r="K16" s="1">
        <v>26.402100000000001</v>
      </c>
      <c r="L16" s="1">
        <v>2.34701E-4</v>
      </c>
      <c r="M16" s="1">
        <v>4.3428500000000003E-6</v>
      </c>
      <c r="O16" s="25" t="s">
        <v>178</v>
      </c>
      <c r="V16" s="25" t="s">
        <v>182</v>
      </c>
      <c r="AC16" s="25" t="s">
        <v>185</v>
      </c>
      <c r="AJ16" s="25" t="s">
        <v>361</v>
      </c>
    </row>
    <row r="17" spans="1:41" ht="15" thickBot="1" x14ac:dyDescent="0.35">
      <c r="A17" s="25" t="s">
        <v>118</v>
      </c>
      <c r="B17" t="s">
        <v>126</v>
      </c>
      <c r="H17">
        <v>7</v>
      </c>
      <c r="I17" t="s">
        <v>16</v>
      </c>
      <c r="J17" s="1">
        <v>3.01999</v>
      </c>
      <c r="K17" s="1">
        <v>3.8800300000000001</v>
      </c>
      <c r="L17" s="1">
        <v>4.8022199999999998E-4</v>
      </c>
      <c r="M17" s="1">
        <v>2.1882800000000001E-4</v>
      </c>
      <c r="O17" t="s">
        <v>8</v>
      </c>
      <c r="P17" t="s">
        <v>9</v>
      </c>
      <c r="Q17" t="s">
        <v>10</v>
      </c>
      <c r="R17" t="s">
        <v>11</v>
      </c>
      <c r="S17" t="s">
        <v>12</v>
      </c>
      <c r="T17" t="s">
        <v>13</v>
      </c>
      <c r="V17" t="s">
        <v>8</v>
      </c>
      <c r="W17" t="s">
        <v>9</v>
      </c>
      <c r="X17" t="s">
        <v>10</v>
      </c>
      <c r="Y17" t="s">
        <v>11</v>
      </c>
      <c r="Z17" t="s">
        <v>12</v>
      </c>
      <c r="AA17" t="s">
        <v>13</v>
      </c>
      <c r="AC17" t="s">
        <v>8</v>
      </c>
      <c r="AD17" t="s">
        <v>9</v>
      </c>
      <c r="AE17" t="s">
        <v>10</v>
      </c>
      <c r="AF17" t="s">
        <v>11</v>
      </c>
      <c r="AG17" t="s">
        <v>12</v>
      </c>
      <c r="AH17" t="s">
        <v>13</v>
      </c>
      <c r="AJ17">
        <v>1</v>
      </c>
      <c r="AK17" t="s">
        <v>14</v>
      </c>
      <c r="AL17" s="1">
        <v>6550.25</v>
      </c>
      <c r="AM17" s="1">
        <v>0.38413199999999997</v>
      </c>
      <c r="AN17" s="1">
        <v>-4.9862800000000003E-6</v>
      </c>
      <c r="AO17" s="1">
        <v>4.1919499999999997E-4</v>
      </c>
    </row>
    <row r="18" spans="1:41" ht="15" thickBot="1" x14ac:dyDescent="0.35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H18">
        <v>8</v>
      </c>
      <c r="I18" t="s">
        <v>17</v>
      </c>
      <c r="J18" s="1">
        <v>-1.9648300000000001E-4</v>
      </c>
      <c r="K18" s="1">
        <v>4.71609E-4</v>
      </c>
      <c r="L18" s="1">
        <v>5.8364800000000003E-8</v>
      </c>
      <c r="M18" s="1">
        <v>1.7998000000000001</v>
      </c>
      <c r="O18">
        <v>1</v>
      </c>
      <c r="P18" t="s">
        <v>14</v>
      </c>
      <c r="Q18" s="1">
        <v>7340.69</v>
      </c>
      <c r="R18" s="1">
        <v>0.58320300000000003</v>
      </c>
      <c r="S18" s="1">
        <v>2.0914500000000001E-5</v>
      </c>
      <c r="T18" s="1">
        <v>-1.43263E-2</v>
      </c>
      <c r="V18">
        <v>1</v>
      </c>
      <c r="W18" t="s">
        <v>14</v>
      </c>
      <c r="X18" s="1">
        <v>5193.28</v>
      </c>
      <c r="Y18" s="1">
        <v>8.2083799999999998E-2</v>
      </c>
      <c r="Z18" s="1">
        <v>5.42383E-6</v>
      </c>
      <c r="AA18" s="1">
        <v>1.28437</v>
      </c>
      <c r="AC18">
        <v>1</v>
      </c>
      <c r="AD18" t="s">
        <v>14</v>
      </c>
      <c r="AE18" s="1">
        <v>2056.84</v>
      </c>
      <c r="AF18" s="1">
        <v>0.110648</v>
      </c>
      <c r="AG18" s="1">
        <v>1.3635700000000001E-5</v>
      </c>
      <c r="AH18" s="1">
        <v>-0.145038</v>
      </c>
      <c r="AJ18">
        <v>2</v>
      </c>
      <c r="AK18" t="s">
        <v>3</v>
      </c>
      <c r="AL18" s="1">
        <v>18.163699999999999</v>
      </c>
      <c r="AM18" s="1">
        <v>0.89922599999999997</v>
      </c>
      <c r="AN18" s="1">
        <v>4.3315400000000002E-5</v>
      </c>
      <c r="AO18" s="1">
        <v>7.3412E-3</v>
      </c>
    </row>
    <row r="19" spans="1:41" ht="15" thickBot="1" x14ac:dyDescent="0.35">
      <c r="A19">
        <v>1</v>
      </c>
      <c r="B19" t="s">
        <v>14</v>
      </c>
      <c r="C19" s="1">
        <v>9074.9599999999991</v>
      </c>
      <c r="D19" s="1">
        <v>0.75186699999999995</v>
      </c>
      <c r="E19" s="1">
        <v>1.57869E-6</v>
      </c>
      <c r="F19" s="1">
        <v>-4.2414000000000002E-3</v>
      </c>
      <c r="H19" s="17" t="s">
        <v>153</v>
      </c>
      <c r="I19" s="19"/>
      <c r="O19">
        <v>2</v>
      </c>
      <c r="P19" t="s">
        <v>3</v>
      </c>
      <c r="Q19" s="1">
        <v>14.827199999999999</v>
      </c>
      <c r="R19" s="1">
        <v>1.1686000000000001</v>
      </c>
      <c r="S19" s="1">
        <v>1.03038E-4</v>
      </c>
      <c r="T19" s="1">
        <v>2.1056100000000001E-2</v>
      </c>
      <c r="V19">
        <v>2</v>
      </c>
      <c r="W19" t="s">
        <v>3</v>
      </c>
      <c r="X19" s="1">
        <v>15.905099999999999</v>
      </c>
      <c r="Y19" s="1">
        <v>0.16634299999999999</v>
      </c>
      <c r="Z19" s="1">
        <v>2.7590399999999999E-5</v>
      </c>
      <c r="AA19" s="1">
        <v>0.22992599999999999</v>
      </c>
      <c r="AC19">
        <v>2</v>
      </c>
      <c r="AD19" t="s">
        <v>3</v>
      </c>
      <c r="AE19" s="1">
        <v>11.6381</v>
      </c>
      <c r="AF19" s="1">
        <v>0.23413700000000001</v>
      </c>
      <c r="AG19" s="1">
        <v>3.5083799999999998E-5</v>
      </c>
      <c r="AH19" s="1">
        <v>-2.01432E-2</v>
      </c>
      <c r="AJ19">
        <v>3</v>
      </c>
      <c r="AK19" t="s">
        <v>15</v>
      </c>
      <c r="AL19" s="1">
        <v>702.00300000000004</v>
      </c>
      <c r="AM19" s="1">
        <v>30.7974</v>
      </c>
      <c r="AN19" s="1">
        <v>3.9728899999999998E-5</v>
      </c>
      <c r="AO19" s="1">
        <v>-9.0345300000000003E-4</v>
      </c>
    </row>
    <row r="20" spans="1:41" x14ac:dyDescent="0.3">
      <c r="A20">
        <v>2</v>
      </c>
      <c r="B20" t="s">
        <v>3</v>
      </c>
      <c r="C20" s="1">
        <v>15.469799999999999</v>
      </c>
      <c r="D20" s="1">
        <v>1.92378</v>
      </c>
      <c r="E20" s="1">
        <v>1.3953800000000001E-3</v>
      </c>
      <c r="F20" s="1">
        <v>-2.7368700000000002E-3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  <c r="O20">
        <v>3</v>
      </c>
      <c r="P20" t="s">
        <v>15</v>
      </c>
      <c r="Q20" s="1">
        <v>194.32499999999999</v>
      </c>
      <c r="R20" s="1">
        <v>16.152100000000001</v>
      </c>
      <c r="S20" s="1">
        <v>2.8312200000000002E-4</v>
      </c>
      <c r="T20" s="1">
        <v>-6.8048400000000004E-3</v>
      </c>
      <c r="V20">
        <v>3</v>
      </c>
      <c r="W20" t="s">
        <v>15</v>
      </c>
      <c r="X20" s="1">
        <v>7920.79</v>
      </c>
      <c r="Y20" s="1">
        <v>90.649900000000002</v>
      </c>
      <c r="Z20" s="1">
        <v>2.3849200000000001E-4</v>
      </c>
      <c r="AA20" s="1">
        <v>-5.3059599999999998E-2</v>
      </c>
      <c r="AC20">
        <v>3</v>
      </c>
      <c r="AD20" t="s">
        <v>15</v>
      </c>
      <c r="AE20" s="1">
        <v>3273.65</v>
      </c>
      <c r="AF20" s="1">
        <v>69.849199999999996</v>
      </c>
      <c r="AG20" s="1">
        <v>1.01619E-4</v>
      </c>
      <c r="AH20" s="1">
        <v>-4.0825599999999998E-3</v>
      </c>
      <c r="AJ20">
        <v>4</v>
      </c>
      <c r="AK20" t="s">
        <v>16</v>
      </c>
      <c r="AL20" s="1">
        <v>31.761099999999999</v>
      </c>
      <c r="AM20" s="1">
        <v>0.13076299999999999</v>
      </c>
      <c r="AN20" s="1">
        <v>7.4941699999999998E-6</v>
      </c>
      <c r="AO20" s="1">
        <v>7.4157100000000001E-4</v>
      </c>
    </row>
    <row r="21" spans="1:41" x14ac:dyDescent="0.3">
      <c r="A21">
        <v>3</v>
      </c>
      <c r="B21" t="s">
        <v>15</v>
      </c>
      <c r="C21" s="1">
        <v>139.93299999999999</v>
      </c>
      <c r="D21" s="1">
        <v>15.3766</v>
      </c>
      <c r="E21" s="1">
        <v>4.9120300000000004E-3</v>
      </c>
      <c r="F21" s="1">
        <v>-2.0960200000000001E-3</v>
      </c>
      <c r="H21">
        <v>1</v>
      </c>
      <c r="I21" t="s">
        <v>21</v>
      </c>
      <c r="J21" s="1">
        <v>2028.21</v>
      </c>
      <c r="K21" s="1">
        <v>6.0403499999999999E-2</v>
      </c>
      <c r="L21" s="1">
        <v>-5.3251499999999999E-8</v>
      </c>
      <c r="M21" s="1">
        <v>-1.1908399999999999</v>
      </c>
      <c r="O21">
        <v>4</v>
      </c>
      <c r="P21" t="s">
        <v>16</v>
      </c>
      <c r="Q21" s="1">
        <v>7.1775599999999997</v>
      </c>
      <c r="R21" s="1">
        <v>5.0035100000000003</v>
      </c>
      <c r="S21" s="1">
        <v>5.0024399999999995E-4</v>
      </c>
      <c r="T21" s="1">
        <v>7.4048400000000002E-4</v>
      </c>
      <c r="V21">
        <v>4</v>
      </c>
      <c r="W21" t="s">
        <v>16</v>
      </c>
      <c r="X21" s="1">
        <v>42.884999999999998</v>
      </c>
      <c r="Y21" s="1">
        <v>5.6681299999999997</v>
      </c>
      <c r="Z21" s="1">
        <v>1.76194E-3</v>
      </c>
      <c r="AA21" s="1">
        <v>-4.5684799999999999E-4</v>
      </c>
      <c r="AC21">
        <v>4</v>
      </c>
      <c r="AD21" t="s">
        <v>16</v>
      </c>
      <c r="AE21" s="1">
        <v>429.26900000000001</v>
      </c>
      <c r="AF21" s="1">
        <v>77.666700000000006</v>
      </c>
      <c r="AG21" s="1">
        <v>3.3766500000000001E-3</v>
      </c>
      <c r="AH21" s="1">
        <v>-1.9032700000000001E-4</v>
      </c>
      <c r="AJ21">
        <v>5</v>
      </c>
      <c r="AK21" t="s">
        <v>17</v>
      </c>
      <c r="AL21" s="1">
        <v>-4.2039099999999999E-3</v>
      </c>
      <c r="AM21" s="1">
        <v>2.00597E-5</v>
      </c>
      <c r="AN21" s="1">
        <v>1.9415699999999999E-9</v>
      </c>
      <c r="AO21" s="1">
        <v>2.4013800000000001</v>
      </c>
    </row>
    <row r="22" spans="1:41" ht="15" thickBot="1" x14ac:dyDescent="0.35">
      <c r="A22">
        <v>4</v>
      </c>
      <c r="B22" t="s">
        <v>16</v>
      </c>
      <c r="C22" s="1">
        <v>13.4979</v>
      </c>
      <c r="D22" s="1">
        <v>25.096900000000002</v>
      </c>
      <c r="E22" s="1">
        <v>3.6848100000000001</v>
      </c>
      <c r="F22" s="1">
        <v>9.0343300000000004E-4</v>
      </c>
      <c r="H22">
        <v>2</v>
      </c>
      <c r="I22" t="s">
        <v>22</v>
      </c>
      <c r="J22" s="1">
        <v>11.754300000000001</v>
      </c>
      <c r="K22" s="1">
        <v>0.13050999999999999</v>
      </c>
      <c r="L22" s="1">
        <v>-2.6564300000000001E-6</v>
      </c>
      <c r="M22" s="1">
        <v>-1.4474900000000001E-2</v>
      </c>
      <c r="O22">
        <v>5</v>
      </c>
      <c r="P22" t="s">
        <v>17</v>
      </c>
      <c r="Q22" s="1">
        <v>-7.5876000000000003E-4</v>
      </c>
      <c r="R22" s="1">
        <v>6.8252999999999999E-4</v>
      </c>
      <c r="S22" s="1">
        <v>6.8234000000000001E-8</v>
      </c>
      <c r="T22" s="1">
        <v>5.4291</v>
      </c>
      <c r="V22">
        <v>5</v>
      </c>
      <c r="W22" t="s">
        <v>17</v>
      </c>
      <c r="X22" s="1">
        <v>-7.0208500000000004E-3</v>
      </c>
      <c r="Y22" s="1">
        <v>1.08417E-3</v>
      </c>
      <c r="Z22" s="1">
        <v>3.3703699999999998E-7</v>
      </c>
      <c r="AA22" s="1">
        <v>-0.53362699999999996</v>
      </c>
      <c r="AC22">
        <v>5</v>
      </c>
      <c r="AD22" t="s">
        <v>17</v>
      </c>
      <c r="AE22" s="1">
        <v>-0.19352</v>
      </c>
      <c r="AF22" s="1">
        <v>3.7626199999999999E-2</v>
      </c>
      <c r="AG22" s="1">
        <v>1.63688E-6</v>
      </c>
      <c r="AH22" s="1">
        <v>-0.43625199999999997</v>
      </c>
    </row>
    <row r="23" spans="1:41" ht="15" thickBot="1" x14ac:dyDescent="0.35">
      <c r="A23">
        <v>5</v>
      </c>
      <c r="B23" t="s">
        <v>17</v>
      </c>
      <c r="C23" s="1">
        <v>-1.3676300000000001E-3</v>
      </c>
      <c r="D23" s="1">
        <v>2.7787599999999999E-3</v>
      </c>
      <c r="E23" s="1">
        <v>-4.0798700000000001E-4</v>
      </c>
      <c r="F23" s="1">
        <v>8.1888799999999993</v>
      </c>
      <c r="H23">
        <v>3</v>
      </c>
      <c r="I23" t="s">
        <v>23</v>
      </c>
      <c r="J23" s="1">
        <v>8066.43</v>
      </c>
      <c r="K23" s="1">
        <v>93.289000000000001</v>
      </c>
      <c r="L23" s="1">
        <v>1.34842E-5</v>
      </c>
      <c r="M23" s="1">
        <v>7.1108100000000004E-3</v>
      </c>
      <c r="O23" s="25" t="s">
        <v>348</v>
      </c>
      <c r="V23" s="25" t="s">
        <v>366</v>
      </c>
      <c r="AJ23" s="25" t="s">
        <v>362</v>
      </c>
    </row>
    <row r="24" spans="1:41" ht="15" thickBot="1" x14ac:dyDescent="0.35">
      <c r="A24" s="25" t="s">
        <v>119</v>
      </c>
      <c r="B24" t="s">
        <v>126</v>
      </c>
      <c r="H24">
        <v>4</v>
      </c>
      <c r="I24" t="s">
        <v>24</v>
      </c>
      <c r="J24" s="1">
        <v>2049.09</v>
      </c>
      <c r="K24" s="1">
        <v>0.264463</v>
      </c>
      <c r="L24" s="1">
        <v>-2.1139199999999999E-6</v>
      </c>
      <c r="M24" s="1">
        <v>4.8716599999999999E-2</v>
      </c>
      <c r="O24">
        <v>1</v>
      </c>
      <c r="P24" t="s">
        <v>14</v>
      </c>
      <c r="Q24" s="1">
        <v>4351.8900000000003</v>
      </c>
      <c r="R24" s="1">
        <v>0.34487499999999999</v>
      </c>
      <c r="S24" s="1">
        <v>2.3175499999999999E-5</v>
      </c>
      <c r="T24" s="1">
        <v>8.8401400000000005E-2</v>
      </c>
      <c r="V24" t="s">
        <v>8</v>
      </c>
      <c r="W24" t="s">
        <v>9</v>
      </c>
      <c r="X24" t="s">
        <v>10</v>
      </c>
      <c r="Y24" t="s">
        <v>11</v>
      </c>
      <c r="Z24" t="s">
        <v>12</v>
      </c>
      <c r="AA24" t="s">
        <v>13</v>
      </c>
      <c r="AJ24" t="s">
        <v>8</v>
      </c>
      <c r="AK24" t="s">
        <v>9</v>
      </c>
      <c r="AL24" t="s">
        <v>10</v>
      </c>
      <c r="AM24" t="s">
        <v>11</v>
      </c>
      <c r="AN24" t="s">
        <v>12</v>
      </c>
      <c r="AO24" t="s">
        <v>13</v>
      </c>
    </row>
    <row r="25" spans="1:41" x14ac:dyDescent="0.3">
      <c r="A25" t="s">
        <v>8</v>
      </c>
      <c r="B25" t="s">
        <v>9</v>
      </c>
      <c r="C25" t="s">
        <v>10</v>
      </c>
      <c r="D25" t="s">
        <v>11</v>
      </c>
      <c r="E25" t="s">
        <v>120</v>
      </c>
      <c r="H25">
        <v>5</v>
      </c>
      <c r="I25" t="s">
        <v>25</v>
      </c>
      <c r="J25" s="1">
        <v>10.6675</v>
      </c>
      <c r="K25" s="1">
        <v>0.55878099999999997</v>
      </c>
      <c r="L25" s="1">
        <v>-2.7397600000000002E-6</v>
      </c>
      <c r="M25" s="1">
        <v>-3.0813500000000001E-3</v>
      </c>
      <c r="O25">
        <v>2</v>
      </c>
      <c r="P25" t="s">
        <v>3</v>
      </c>
      <c r="Q25" s="1">
        <v>19.038399999999999</v>
      </c>
      <c r="R25" s="1">
        <v>0.86005200000000004</v>
      </c>
      <c r="S25" s="1">
        <v>1.07954E-4</v>
      </c>
      <c r="T25" s="1">
        <v>1.9237500000000001E-2</v>
      </c>
      <c r="V25">
        <v>1</v>
      </c>
      <c r="W25" t="s">
        <v>14</v>
      </c>
      <c r="X25" s="1">
        <v>939.803</v>
      </c>
      <c r="Y25" s="1">
        <v>0.56822499999999998</v>
      </c>
      <c r="Z25" s="1">
        <v>2.2304900000000001E-8</v>
      </c>
      <c r="AA25" s="1">
        <v>3.9030899999999998E-4</v>
      </c>
      <c r="AJ25">
        <v>1</v>
      </c>
      <c r="AK25" t="s">
        <v>14</v>
      </c>
      <c r="AL25" s="1">
        <v>10562.4</v>
      </c>
      <c r="AM25" s="1">
        <v>0.57284599999999997</v>
      </c>
      <c r="AN25" s="1">
        <v>2.73545E-5</v>
      </c>
      <c r="AO25" s="1">
        <v>-3.9882800000000003E-2</v>
      </c>
    </row>
    <row r="26" spans="1:41" x14ac:dyDescent="0.3">
      <c r="A26">
        <v>1</v>
      </c>
      <c r="B26" t="s">
        <v>14</v>
      </c>
      <c r="C26" s="1">
        <v>5640.24</v>
      </c>
      <c r="D26" s="1">
        <v>0.77578000000000003</v>
      </c>
      <c r="E26" t="s">
        <v>121</v>
      </c>
      <c r="H26">
        <v>6</v>
      </c>
      <c r="I26" t="s">
        <v>26</v>
      </c>
      <c r="J26" s="1">
        <v>701.86699999999996</v>
      </c>
      <c r="K26" s="1">
        <v>35.112000000000002</v>
      </c>
      <c r="L26" s="1">
        <v>-2.9683200000000002E-6</v>
      </c>
      <c r="M26" s="1">
        <v>-9.0802799999999996E-4</v>
      </c>
      <c r="O26">
        <v>3</v>
      </c>
      <c r="P26" t="s">
        <v>15</v>
      </c>
      <c r="Q26" s="1">
        <v>823.36699999999996</v>
      </c>
      <c r="R26" s="1">
        <v>32.576300000000003</v>
      </c>
      <c r="S26" s="1">
        <v>2.6314300000000002E-4</v>
      </c>
      <c r="T26" s="1">
        <v>2.4313899999999999E-3</v>
      </c>
      <c r="V26">
        <v>2</v>
      </c>
      <c r="W26" t="s">
        <v>3</v>
      </c>
      <c r="X26" s="1">
        <v>17.636700000000001</v>
      </c>
      <c r="Y26" s="1">
        <v>1.77342</v>
      </c>
      <c r="Z26" s="1">
        <v>-1.46489E-4</v>
      </c>
      <c r="AA26" s="1">
        <v>-2.10459E-4</v>
      </c>
      <c r="AJ26">
        <v>2</v>
      </c>
      <c r="AK26" t="s">
        <v>3</v>
      </c>
      <c r="AL26" s="1">
        <v>21.943300000000001</v>
      </c>
      <c r="AM26" s="1">
        <v>1.08666</v>
      </c>
      <c r="AN26" s="1">
        <v>9.62553E-5</v>
      </c>
      <c r="AO26" s="1">
        <v>-9.4755800000000008E-3</v>
      </c>
    </row>
    <row r="27" spans="1:41" x14ac:dyDescent="0.3">
      <c r="A27">
        <v>2</v>
      </c>
      <c r="B27" t="s">
        <v>3</v>
      </c>
      <c r="C27" s="1">
        <v>14.3428</v>
      </c>
      <c r="D27" s="1">
        <v>1.7981400000000001</v>
      </c>
      <c r="E27" t="s">
        <v>122</v>
      </c>
      <c r="H27">
        <v>7</v>
      </c>
      <c r="I27" t="s">
        <v>16</v>
      </c>
      <c r="J27" s="1">
        <v>51.874099999999999</v>
      </c>
      <c r="K27" s="1">
        <v>0.163046</v>
      </c>
      <c r="L27" s="1">
        <v>2.2350399999999999E-5</v>
      </c>
      <c r="M27" s="1">
        <v>2.2244100000000001E-4</v>
      </c>
      <c r="O27">
        <v>4</v>
      </c>
      <c r="P27" t="s">
        <v>16</v>
      </c>
      <c r="Q27" s="1">
        <v>10.632</v>
      </c>
      <c r="R27" s="1">
        <v>6.6207599999999998</v>
      </c>
      <c r="S27" s="1">
        <v>1.2102599999999999E-3</v>
      </c>
      <c r="T27" s="1">
        <v>2.7902399999999998E-3</v>
      </c>
      <c r="V27">
        <v>3</v>
      </c>
      <c r="W27" t="s">
        <v>15</v>
      </c>
      <c r="X27" s="1">
        <v>852.66200000000003</v>
      </c>
      <c r="Y27" s="1">
        <v>69.128399999999999</v>
      </c>
      <c r="Z27" s="1">
        <v>-1.44089E-4</v>
      </c>
      <c r="AA27" s="1">
        <v>7.6361300000000004E-5</v>
      </c>
      <c r="AJ27">
        <v>3</v>
      </c>
      <c r="AK27" t="s">
        <v>15</v>
      </c>
      <c r="AL27" s="1">
        <v>504.78500000000003</v>
      </c>
      <c r="AM27" s="1">
        <v>25.639399999999998</v>
      </c>
      <c r="AN27" s="1">
        <v>2.93095E-4</v>
      </c>
      <c r="AO27" s="1">
        <v>-1.3877799999999999E-3</v>
      </c>
    </row>
    <row r="28" spans="1:41" ht="15" thickBot="1" x14ac:dyDescent="0.35">
      <c r="A28">
        <v>3</v>
      </c>
      <c r="B28" t="s">
        <v>15</v>
      </c>
      <c r="C28" s="1">
        <v>126.81100000000001</v>
      </c>
      <c r="D28" s="1">
        <v>14.421799999999999</v>
      </c>
      <c r="E28" t="s">
        <v>123</v>
      </c>
      <c r="H28">
        <v>8</v>
      </c>
      <c r="I28" t="s">
        <v>17</v>
      </c>
      <c r="J28" s="1">
        <v>-1.9531799999999998E-2</v>
      </c>
      <c r="K28" s="1">
        <v>7.9567799999999994E-5</v>
      </c>
      <c r="L28" s="1">
        <v>1.85101E-8</v>
      </c>
      <c r="M28" s="1">
        <v>-1.2913300000000001</v>
      </c>
      <c r="O28">
        <v>5</v>
      </c>
      <c r="P28" t="s">
        <v>17</v>
      </c>
      <c r="Q28" s="1">
        <v>-1.50555E-3</v>
      </c>
      <c r="R28" s="1">
        <v>1.5232100000000001E-3</v>
      </c>
      <c r="S28" s="1">
        <v>2.7841800000000003E-7</v>
      </c>
      <c r="T28" s="1">
        <v>12.1511</v>
      </c>
      <c r="V28">
        <v>4</v>
      </c>
      <c r="W28" t="s">
        <v>16</v>
      </c>
      <c r="X28" s="1">
        <v>87.611199999999997</v>
      </c>
      <c r="Y28" s="1">
        <v>12.256</v>
      </c>
      <c r="Z28" s="1">
        <v>0.18798699999999999</v>
      </c>
      <c r="AA28" s="1">
        <v>2.7346099999999999E-6</v>
      </c>
      <c r="AJ28">
        <v>4</v>
      </c>
      <c r="AK28" t="s">
        <v>16</v>
      </c>
      <c r="AL28" s="1">
        <v>-1.74485</v>
      </c>
      <c r="AM28" s="1">
        <v>10.1539</v>
      </c>
      <c r="AN28" s="1">
        <v>7.5276E-4</v>
      </c>
      <c r="AO28" s="1">
        <v>-2.01731E-4</v>
      </c>
    </row>
    <row r="29" spans="1:41" ht="15" thickBot="1" x14ac:dyDescent="0.35">
      <c r="A29">
        <v>4</v>
      </c>
      <c r="B29" t="s">
        <v>16</v>
      </c>
      <c r="C29" s="1">
        <v>2.8838300000000001</v>
      </c>
      <c r="D29" s="1">
        <v>1.3212200000000001</v>
      </c>
      <c r="E29" t="s">
        <v>124</v>
      </c>
      <c r="H29" s="25" t="s">
        <v>156</v>
      </c>
      <c r="O29" s="25" t="s">
        <v>349</v>
      </c>
      <c r="V29">
        <v>5</v>
      </c>
      <c r="W29" t="s">
        <v>17</v>
      </c>
      <c r="X29" s="1">
        <v>-3.8811900000000003E-2</v>
      </c>
      <c r="Y29" s="1">
        <v>1.24665E-2</v>
      </c>
      <c r="Z29" s="1">
        <v>-1.9121200000000001E-4</v>
      </c>
      <c r="AA29" s="1">
        <v>2.5729500000000001E-3</v>
      </c>
      <c r="AJ29">
        <v>5</v>
      </c>
      <c r="AK29" t="s">
        <v>17</v>
      </c>
      <c r="AL29" s="1">
        <v>3.7378500000000001E-4</v>
      </c>
      <c r="AM29" s="1">
        <v>9.6388799999999998E-4</v>
      </c>
      <c r="AN29" s="1">
        <v>7.1443600000000006E-8</v>
      </c>
      <c r="AO29" s="1">
        <v>-3.52196</v>
      </c>
    </row>
    <row r="30" spans="1:41" ht="15" thickBot="1" x14ac:dyDescent="0.35">
      <c r="A30">
        <v>5</v>
      </c>
      <c r="B30" t="s">
        <v>17</v>
      </c>
      <c r="C30" s="1">
        <v>-1.16276E-4</v>
      </c>
      <c r="D30" s="1">
        <v>2.34047E-4</v>
      </c>
      <c r="E30" t="s">
        <v>125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  <c r="M30" t="s">
        <v>13</v>
      </c>
      <c r="O30" t="s">
        <v>8</v>
      </c>
      <c r="P30" t="s">
        <v>9</v>
      </c>
      <c r="Q30" t="s">
        <v>10</v>
      </c>
      <c r="R30" t="s">
        <v>11</v>
      </c>
      <c r="S30" t="s">
        <v>12</v>
      </c>
      <c r="T30" t="s">
        <v>13</v>
      </c>
      <c r="AJ30" s="25" t="s">
        <v>363</v>
      </c>
    </row>
    <row r="31" spans="1:41" ht="15" thickBot="1" x14ac:dyDescent="0.35">
      <c r="A31" s="25" t="s">
        <v>129</v>
      </c>
      <c r="B31" t="s">
        <v>130</v>
      </c>
      <c r="H31">
        <v>1</v>
      </c>
      <c r="I31" t="s">
        <v>14</v>
      </c>
      <c r="J31" s="1">
        <v>4970.2700000000004</v>
      </c>
      <c r="K31" s="1">
        <v>0.157078</v>
      </c>
      <c r="L31" s="1">
        <v>6.9615399999999996E-6</v>
      </c>
      <c r="M31" s="1">
        <v>-3.1095699999999999E-3</v>
      </c>
      <c r="O31">
        <v>1</v>
      </c>
      <c r="P31" t="s">
        <v>14</v>
      </c>
      <c r="Q31" s="1">
        <v>3944.11</v>
      </c>
      <c r="R31" s="1">
        <v>0.38987300000000003</v>
      </c>
      <c r="S31" s="1">
        <v>2.91312E-5</v>
      </c>
      <c r="T31" s="1">
        <v>-1.9355500000000001E-2</v>
      </c>
      <c r="AJ31" t="s">
        <v>8</v>
      </c>
      <c r="AK31" t="s">
        <v>9</v>
      </c>
      <c r="AL31" t="s">
        <v>10</v>
      </c>
      <c r="AM31" t="s">
        <v>11</v>
      </c>
      <c r="AN31" t="s">
        <v>12</v>
      </c>
      <c r="AO31" t="s">
        <v>13</v>
      </c>
    </row>
    <row r="32" spans="1:41" x14ac:dyDescent="0.3">
      <c r="A32">
        <v>1</v>
      </c>
      <c r="B32" t="s">
        <v>21</v>
      </c>
      <c r="C32" s="1">
        <v>612.75800000000004</v>
      </c>
      <c r="D32" s="1">
        <v>0.47656900000000002</v>
      </c>
      <c r="E32" s="1">
        <v>2.3670299999999999E-5</v>
      </c>
      <c r="F32" s="1">
        <v>-3.3135199999999997E-2</v>
      </c>
      <c r="H32">
        <v>2</v>
      </c>
      <c r="I32" t="s">
        <v>3</v>
      </c>
      <c r="J32" s="1">
        <v>15.522399999999999</v>
      </c>
      <c r="K32" s="1">
        <v>0.30746899999999999</v>
      </c>
      <c r="L32" s="1">
        <v>4.0725800000000002E-5</v>
      </c>
      <c r="M32" s="1">
        <v>-4.1133000000000001E-4</v>
      </c>
      <c r="O32">
        <v>2</v>
      </c>
      <c r="P32" t="s">
        <v>3</v>
      </c>
      <c r="Q32" s="1">
        <v>13.6448</v>
      </c>
      <c r="R32" s="1">
        <v>0.83192100000000002</v>
      </c>
      <c r="S32" s="1">
        <v>1.1602E-4</v>
      </c>
      <c r="T32" s="1">
        <v>-4.5887400000000001E-4</v>
      </c>
      <c r="AJ32">
        <v>1</v>
      </c>
      <c r="AK32" t="s">
        <v>14</v>
      </c>
      <c r="AL32" s="1">
        <v>11754.9</v>
      </c>
      <c r="AM32" s="1">
        <v>0.64606699999999995</v>
      </c>
      <c r="AN32" s="1">
        <v>3.3209300000000001E-5</v>
      </c>
      <c r="AO32" s="1">
        <v>1.19685E-2</v>
      </c>
    </row>
    <row r="33" spans="1:41" x14ac:dyDescent="0.3">
      <c r="A33">
        <v>2</v>
      </c>
      <c r="B33" t="s">
        <v>22</v>
      </c>
      <c r="C33" s="1">
        <v>11.7256</v>
      </c>
      <c r="D33" s="1">
        <v>1.48319</v>
      </c>
      <c r="E33" s="1">
        <v>1.8111099999999999E-4</v>
      </c>
      <c r="F33" s="1">
        <v>-4.6361800000000002E-3</v>
      </c>
      <c r="H33">
        <v>3</v>
      </c>
      <c r="I33" t="s">
        <v>15</v>
      </c>
      <c r="J33" s="1">
        <v>2175.46</v>
      </c>
      <c r="K33" s="1">
        <v>48.310400000000001</v>
      </c>
      <c r="L33" s="1">
        <v>2.4967899999999999E-4</v>
      </c>
      <c r="M33" s="1">
        <v>-6.37464E-7</v>
      </c>
      <c r="O33">
        <v>3</v>
      </c>
      <c r="P33" t="s">
        <v>15</v>
      </c>
      <c r="Q33" s="1">
        <v>394.73099999999999</v>
      </c>
      <c r="R33" s="1">
        <v>23.963000000000001</v>
      </c>
      <c r="S33" s="1">
        <v>2.5408700000000001E-4</v>
      </c>
      <c r="T33" s="1">
        <v>-2.47999E-4</v>
      </c>
      <c r="AJ33">
        <v>2</v>
      </c>
      <c r="AK33" t="s">
        <v>3</v>
      </c>
      <c r="AL33" s="1">
        <v>22.73</v>
      </c>
      <c r="AM33" s="1">
        <v>1.4606399999999999</v>
      </c>
      <c r="AN33" s="1">
        <v>1.32075E-4</v>
      </c>
      <c r="AO33" s="1">
        <v>-6.4211099999999998E-3</v>
      </c>
    </row>
    <row r="34" spans="1:41" x14ac:dyDescent="0.3">
      <c r="A34">
        <v>3</v>
      </c>
      <c r="B34" t="s">
        <v>23</v>
      </c>
      <c r="C34" s="1">
        <v>254.065</v>
      </c>
      <c r="D34" s="1">
        <v>22.703600000000002</v>
      </c>
      <c r="E34" s="1">
        <v>2.5685200000000001E-4</v>
      </c>
      <c r="F34" s="1">
        <v>-6.7931800000000002E-3</v>
      </c>
      <c r="H34">
        <v>4</v>
      </c>
      <c r="I34" t="s">
        <v>16</v>
      </c>
      <c r="J34" s="1">
        <v>11.9666</v>
      </c>
      <c r="K34" s="1">
        <v>2.5871</v>
      </c>
      <c r="L34" s="1">
        <v>1.0466799999999999E-3</v>
      </c>
      <c r="M34" s="1">
        <v>-3.0280500000000001E-4</v>
      </c>
      <c r="O34">
        <v>4</v>
      </c>
      <c r="P34" t="s">
        <v>16</v>
      </c>
      <c r="Q34" s="1">
        <v>32.981299999999997</v>
      </c>
      <c r="R34" s="1">
        <v>10.255800000000001</v>
      </c>
      <c r="S34" s="1">
        <v>1.20312E-3</v>
      </c>
      <c r="T34" s="1">
        <v>-8.0020700000000004E-5</v>
      </c>
      <c r="AJ34">
        <v>3</v>
      </c>
      <c r="AK34" t="s">
        <v>15</v>
      </c>
      <c r="AL34" s="1">
        <v>366.17599999999999</v>
      </c>
      <c r="AM34" s="1">
        <v>22.805099999999999</v>
      </c>
      <c r="AN34" s="1">
        <v>2.9256900000000001E-4</v>
      </c>
      <c r="AO34" s="1">
        <v>1.42786E-3</v>
      </c>
    </row>
    <row r="35" spans="1:41" ht="15" thickBot="1" x14ac:dyDescent="0.35">
      <c r="A35">
        <v>4</v>
      </c>
      <c r="B35" t="s">
        <v>24</v>
      </c>
      <c r="C35" s="1">
        <v>630.62900000000002</v>
      </c>
      <c r="D35" s="1">
        <v>0.30099500000000001</v>
      </c>
      <c r="E35" s="1">
        <v>1.38216E-5</v>
      </c>
      <c r="F35" s="1">
        <v>-1.3454300000000001E-2</v>
      </c>
      <c r="H35">
        <v>5</v>
      </c>
      <c r="I35" t="s">
        <v>17</v>
      </c>
      <c r="J35" s="1">
        <v>-1.6699499999999999E-3</v>
      </c>
      <c r="K35" s="1">
        <v>5.1723299999999997E-4</v>
      </c>
      <c r="L35" s="1">
        <v>2.09275E-7</v>
      </c>
      <c r="M35" s="1">
        <v>-1.5142899999999999</v>
      </c>
      <c r="O35">
        <v>5</v>
      </c>
      <c r="P35" t="s">
        <v>17</v>
      </c>
      <c r="Q35" s="1">
        <v>-7.2463500000000004E-3</v>
      </c>
      <c r="R35" s="1">
        <v>2.6126600000000002E-3</v>
      </c>
      <c r="S35" s="1">
        <v>3.0638000000000002E-7</v>
      </c>
      <c r="T35" s="1">
        <v>0.45449499999999998</v>
      </c>
      <c r="AJ35">
        <v>4</v>
      </c>
      <c r="AK35" t="s">
        <v>16</v>
      </c>
      <c r="AL35" s="1">
        <v>12.6126</v>
      </c>
      <c r="AM35" s="1">
        <v>12.340400000000001</v>
      </c>
      <c r="AN35" s="1">
        <v>7.1681499999999999E-4</v>
      </c>
      <c r="AO35" s="1">
        <v>-5.8558999999999998E-4</v>
      </c>
    </row>
    <row r="36" spans="1:41" ht="15" thickBot="1" x14ac:dyDescent="0.35">
      <c r="A36">
        <v>5</v>
      </c>
      <c r="B36" t="s">
        <v>25</v>
      </c>
      <c r="C36" s="1">
        <v>10.2552</v>
      </c>
      <c r="D36" s="1">
        <v>0.604958</v>
      </c>
      <c r="E36" s="1">
        <v>8.5404700000000006E-5</v>
      </c>
      <c r="F36" s="1">
        <v>-5.2706900000000001E-2</v>
      </c>
      <c r="H36" s="17" t="s">
        <v>159</v>
      </c>
      <c r="I36" s="19"/>
      <c r="O36" s="25" t="s">
        <v>350</v>
      </c>
      <c r="AJ36">
        <v>5</v>
      </c>
      <c r="AK36" t="s">
        <v>17</v>
      </c>
      <c r="AL36" s="1">
        <v>-8.8708099999999996E-4</v>
      </c>
      <c r="AM36" s="1">
        <v>1.0483300000000001E-3</v>
      </c>
      <c r="AN36" s="1">
        <v>6.09013E-8</v>
      </c>
      <c r="AO36" s="1">
        <v>-6.8977199999999996</v>
      </c>
    </row>
    <row r="37" spans="1:41" ht="15" thickBot="1" x14ac:dyDescent="0.35">
      <c r="A37">
        <v>6</v>
      </c>
      <c r="B37" t="s">
        <v>26</v>
      </c>
      <c r="C37" s="1">
        <v>437.589</v>
      </c>
      <c r="D37" s="1">
        <v>25.5227</v>
      </c>
      <c r="E37" s="1">
        <v>2.4850000000000002E-4</v>
      </c>
      <c r="F37" s="1">
        <v>1.8278300000000001E-2</v>
      </c>
      <c r="H37" t="s">
        <v>8</v>
      </c>
      <c r="I37" t="s">
        <v>9</v>
      </c>
      <c r="J37" t="s">
        <v>10</v>
      </c>
      <c r="K37" t="s">
        <v>11</v>
      </c>
      <c r="L37" t="s">
        <v>12</v>
      </c>
      <c r="M37" t="s">
        <v>13</v>
      </c>
      <c r="O37">
        <v>1</v>
      </c>
      <c r="P37" t="s">
        <v>14</v>
      </c>
      <c r="Q37" s="1">
        <v>3487.44</v>
      </c>
      <c r="R37" s="1">
        <v>0.55423999999999995</v>
      </c>
      <c r="S37" s="1">
        <v>4.20041E-5</v>
      </c>
      <c r="T37" s="1">
        <v>-5.7891499999999999E-2</v>
      </c>
      <c r="AJ37" s="25" t="s">
        <v>365</v>
      </c>
    </row>
    <row r="38" spans="1:41" x14ac:dyDescent="0.3">
      <c r="A38">
        <v>7</v>
      </c>
      <c r="B38" t="s">
        <v>78</v>
      </c>
      <c r="C38" s="1">
        <v>713.54700000000003</v>
      </c>
      <c r="D38" s="1">
        <v>0.46251500000000001</v>
      </c>
      <c r="E38" s="1">
        <v>2.1178500000000001E-5</v>
      </c>
      <c r="F38" s="1">
        <v>0.104646</v>
      </c>
      <c r="H38">
        <v>1</v>
      </c>
      <c r="I38" t="s">
        <v>21</v>
      </c>
      <c r="J38" s="1">
        <v>712.86500000000001</v>
      </c>
      <c r="K38" s="1">
        <v>0.31124400000000002</v>
      </c>
      <c r="L38" s="1">
        <v>2.0525799999999999E-6</v>
      </c>
      <c r="M38" s="1">
        <v>5.0092900000000003E-2</v>
      </c>
      <c r="O38">
        <v>2</v>
      </c>
      <c r="P38" t="s">
        <v>3</v>
      </c>
      <c r="Q38" s="1">
        <v>11.661199999999999</v>
      </c>
      <c r="R38" s="1">
        <v>1.0363199999999999</v>
      </c>
      <c r="S38" s="1">
        <v>1.5141500000000001E-4</v>
      </c>
      <c r="T38" s="1">
        <v>-1.18627E-2</v>
      </c>
      <c r="AJ38" t="s">
        <v>8</v>
      </c>
      <c r="AK38" t="s">
        <v>9</v>
      </c>
      <c r="AL38" t="s">
        <v>10</v>
      </c>
      <c r="AM38" t="s">
        <v>11</v>
      </c>
      <c r="AN38" t="s">
        <v>12</v>
      </c>
      <c r="AO38" t="s">
        <v>13</v>
      </c>
    </row>
    <row r="39" spans="1:41" x14ac:dyDescent="0.3">
      <c r="A39">
        <v>8</v>
      </c>
      <c r="B39" t="s">
        <v>79</v>
      </c>
      <c r="C39" s="1">
        <v>9.9680900000000001</v>
      </c>
      <c r="D39" s="1">
        <v>0.89996500000000001</v>
      </c>
      <c r="E39" s="1">
        <v>1.37639E-4</v>
      </c>
      <c r="F39" s="1">
        <v>2.3700300000000001E-2</v>
      </c>
      <c r="H39">
        <v>2</v>
      </c>
      <c r="I39" t="s">
        <v>22</v>
      </c>
      <c r="J39" s="1">
        <v>11.9011</v>
      </c>
      <c r="K39" s="1">
        <v>0.64944800000000003</v>
      </c>
      <c r="L39" s="1">
        <v>-1.21043E-5</v>
      </c>
      <c r="M39" s="1">
        <v>-1.093E-3</v>
      </c>
      <c r="O39">
        <v>3</v>
      </c>
      <c r="P39" t="s">
        <v>15</v>
      </c>
      <c r="Q39" s="1">
        <v>207.167</v>
      </c>
      <c r="R39" s="1">
        <v>19.6126</v>
      </c>
      <c r="S39" s="1">
        <v>2.5767200000000002E-4</v>
      </c>
      <c r="T39" s="1">
        <v>-1.82523E-4</v>
      </c>
      <c r="AJ39">
        <v>1</v>
      </c>
      <c r="AK39" t="s">
        <v>21</v>
      </c>
      <c r="AL39" s="1">
        <v>629.25699999999995</v>
      </c>
      <c r="AM39" s="1">
        <v>0.17566200000000001</v>
      </c>
      <c r="AN39" s="1">
        <v>2.5106400000000001E-5</v>
      </c>
      <c r="AO39" s="1">
        <v>-4.9464099999999997E-2</v>
      </c>
    </row>
    <row r="40" spans="1:41" x14ac:dyDescent="0.3">
      <c r="A40">
        <v>9</v>
      </c>
      <c r="B40" t="s">
        <v>80</v>
      </c>
      <c r="C40" s="1">
        <v>184.30699999999999</v>
      </c>
      <c r="D40" s="1">
        <v>16.575700000000001</v>
      </c>
      <c r="E40" s="1">
        <v>2.5214399999999999E-4</v>
      </c>
      <c r="F40" s="1">
        <v>-1.8539299999999999E-3</v>
      </c>
      <c r="H40">
        <v>3</v>
      </c>
      <c r="I40" t="s">
        <v>23</v>
      </c>
      <c r="J40" s="1">
        <v>770.33299999999997</v>
      </c>
      <c r="K40" s="1">
        <v>41.649500000000003</v>
      </c>
      <c r="L40" s="1">
        <v>-1.5798E-5</v>
      </c>
      <c r="M40" s="1">
        <v>1.6983999999999999E-2</v>
      </c>
      <c r="O40">
        <v>4</v>
      </c>
      <c r="P40" t="s">
        <v>16</v>
      </c>
      <c r="Q40" s="1">
        <v>59.164900000000003</v>
      </c>
      <c r="R40" s="1">
        <v>11.648099999999999</v>
      </c>
      <c r="S40" s="1">
        <v>1.3304300000000001E-3</v>
      </c>
      <c r="T40" s="1">
        <v>3.3593400000000003E-4</v>
      </c>
      <c r="AJ40">
        <v>2</v>
      </c>
      <c r="AK40" t="s">
        <v>22</v>
      </c>
      <c r="AL40" s="1">
        <v>10.4526</v>
      </c>
      <c r="AM40" s="1">
        <v>0.56968799999999997</v>
      </c>
      <c r="AN40" s="1">
        <v>5.8001200000000003E-5</v>
      </c>
      <c r="AO40" s="1">
        <v>-8.0445699999999992E-3</v>
      </c>
    </row>
    <row r="41" spans="1:41" ht="15" thickBot="1" x14ac:dyDescent="0.35">
      <c r="A41">
        <v>10</v>
      </c>
      <c r="B41" t="s">
        <v>16</v>
      </c>
      <c r="C41" s="1">
        <v>6.3907400000000001</v>
      </c>
      <c r="D41" s="1">
        <v>0.50469299999999995</v>
      </c>
      <c r="E41" s="1">
        <v>1.05291E-3</v>
      </c>
      <c r="F41" s="1">
        <v>7.2136399999999995E-4</v>
      </c>
      <c r="H41">
        <v>4</v>
      </c>
      <c r="I41" t="s">
        <v>24</v>
      </c>
      <c r="J41" s="1">
        <v>734.98400000000004</v>
      </c>
      <c r="K41" s="1">
        <v>0.21928</v>
      </c>
      <c r="L41" s="1">
        <v>-2.2959999999999998E-8</v>
      </c>
      <c r="M41" s="1">
        <v>-2.7730399999999999E-2</v>
      </c>
      <c r="O41">
        <v>5</v>
      </c>
      <c r="P41" t="s">
        <v>17</v>
      </c>
      <c r="Q41" s="1">
        <v>-1.5356699999999999E-2</v>
      </c>
      <c r="R41" s="1">
        <v>3.3373999999999999E-3</v>
      </c>
      <c r="S41" s="1">
        <v>3.8121699999999999E-7</v>
      </c>
      <c r="T41" s="1">
        <v>0.50060099999999996</v>
      </c>
      <c r="AJ41">
        <v>3</v>
      </c>
      <c r="AK41" t="s">
        <v>23</v>
      </c>
      <c r="AL41" s="1">
        <v>2069.09</v>
      </c>
      <c r="AM41" s="1">
        <v>137.81399999999999</v>
      </c>
      <c r="AN41" s="1">
        <v>5.7572699999999999E-5</v>
      </c>
      <c r="AO41" s="1">
        <v>1.7514499999999999E-2</v>
      </c>
    </row>
    <row r="42" spans="1:41" ht="15" thickBot="1" x14ac:dyDescent="0.35">
      <c r="A42">
        <v>11</v>
      </c>
      <c r="B42" t="s">
        <v>17</v>
      </c>
      <c r="C42" s="1">
        <v>-4.0170099999999997E-3</v>
      </c>
      <c r="D42" s="1">
        <v>6.6682700000000004E-4</v>
      </c>
      <c r="E42" s="1">
        <v>1.3994000000000001E-6</v>
      </c>
      <c r="F42" s="1">
        <v>0.55886999999999998</v>
      </c>
      <c r="H42">
        <v>5</v>
      </c>
      <c r="I42" t="s">
        <v>25</v>
      </c>
      <c r="J42" s="1">
        <v>11.5145</v>
      </c>
      <c r="K42" s="1">
        <v>0.51787700000000003</v>
      </c>
      <c r="L42" s="1">
        <v>-5.0660399999999995E-7</v>
      </c>
      <c r="M42" s="1">
        <v>2.65349E-2</v>
      </c>
      <c r="O42" s="25" t="s">
        <v>351</v>
      </c>
      <c r="AJ42">
        <v>4</v>
      </c>
      <c r="AK42" t="s">
        <v>24</v>
      </c>
      <c r="AL42" s="1">
        <v>648.05399999999997</v>
      </c>
      <c r="AM42" s="1">
        <v>0.123379</v>
      </c>
      <c r="AN42" s="1">
        <v>1.6633199999999999E-5</v>
      </c>
      <c r="AO42" s="1">
        <v>-9.2465900000000007E-3</v>
      </c>
    </row>
    <row r="43" spans="1:41" ht="15" thickBot="1" x14ac:dyDescent="0.35">
      <c r="A43" s="25" t="s">
        <v>367</v>
      </c>
      <c r="H43">
        <v>6</v>
      </c>
      <c r="I43" t="s">
        <v>26</v>
      </c>
      <c r="J43" s="1">
        <v>1128.48</v>
      </c>
      <c r="K43" s="1">
        <v>46.5182</v>
      </c>
      <c r="L43" s="1">
        <v>-1.41996E-5</v>
      </c>
      <c r="M43" s="1">
        <v>-2.3093599999999999E-3</v>
      </c>
      <c r="O43">
        <v>1</v>
      </c>
      <c r="P43" t="s">
        <v>14</v>
      </c>
      <c r="Q43" s="1">
        <v>1777.6</v>
      </c>
      <c r="R43" s="1">
        <v>0.239343</v>
      </c>
      <c r="S43" s="1">
        <v>1.8377999999999999E-5</v>
      </c>
      <c r="T43" s="1">
        <v>2.5307099999999999E-2</v>
      </c>
      <c r="AJ43">
        <v>5</v>
      </c>
      <c r="AK43" t="s">
        <v>25</v>
      </c>
      <c r="AL43" s="1">
        <v>9.2962900000000008</v>
      </c>
      <c r="AM43" s="1">
        <v>0.28906799999999999</v>
      </c>
      <c r="AN43" s="1">
        <v>4.2583699999999997E-5</v>
      </c>
      <c r="AO43" s="1">
        <v>1.06841E-2</v>
      </c>
    </row>
    <row r="44" spans="1:41" x14ac:dyDescent="0.3">
      <c r="A44" t="s">
        <v>8</v>
      </c>
      <c r="B44" t="s">
        <v>9</v>
      </c>
      <c r="C44" t="s">
        <v>10</v>
      </c>
      <c r="D44" t="s">
        <v>11</v>
      </c>
      <c r="E44" t="s">
        <v>12</v>
      </c>
      <c r="F44" t="s">
        <v>13</v>
      </c>
      <c r="H44">
        <v>7</v>
      </c>
      <c r="I44" t="s">
        <v>78</v>
      </c>
      <c r="J44" s="1">
        <v>758.13499999999999</v>
      </c>
      <c r="K44" s="1">
        <v>0.264486</v>
      </c>
      <c r="L44" s="1">
        <v>5.6268500000000004E-7</v>
      </c>
      <c r="M44" s="1">
        <v>3.3304800000000002E-2</v>
      </c>
      <c r="O44">
        <v>2</v>
      </c>
      <c r="P44" t="s">
        <v>3</v>
      </c>
      <c r="Q44" s="1">
        <v>11.1449</v>
      </c>
      <c r="R44" s="1">
        <v>0.54295199999999999</v>
      </c>
      <c r="S44" s="1">
        <v>8.4406499999999999E-5</v>
      </c>
      <c r="T44" s="1">
        <v>-1.5092799999999999E-4</v>
      </c>
      <c r="AJ44">
        <v>6</v>
      </c>
      <c r="AK44" t="s">
        <v>26</v>
      </c>
      <c r="AL44" s="1">
        <v>2563.9699999999998</v>
      </c>
      <c r="AM44" s="1">
        <v>88.216999999999999</v>
      </c>
      <c r="AN44" s="1">
        <v>5.58674E-5</v>
      </c>
      <c r="AO44" s="1">
        <v>-9.3990299999999996E-4</v>
      </c>
    </row>
    <row r="45" spans="1:41" x14ac:dyDescent="0.3">
      <c r="A45">
        <v>1</v>
      </c>
      <c r="B45" t="s">
        <v>21</v>
      </c>
      <c r="C45" s="1">
        <v>612.80499999999995</v>
      </c>
      <c r="D45" s="1">
        <v>0.46803699999999998</v>
      </c>
      <c r="E45" s="1">
        <v>3.4446699999999997E-5</v>
      </c>
      <c r="F45" s="1">
        <v>-2.4240500000000002E-2</v>
      </c>
      <c r="H45">
        <v>8</v>
      </c>
      <c r="I45" t="s">
        <v>79</v>
      </c>
      <c r="J45" s="1">
        <v>11.7369</v>
      </c>
      <c r="K45" s="1">
        <v>0.661165</v>
      </c>
      <c r="L45" s="1">
        <v>-1.29402E-5</v>
      </c>
      <c r="M45" s="1">
        <v>-2.7173200000000001E-3</v>
      </c>
      <c r="O45">
        <v>3</v>
      </c>
      <c r="P45" t="s">
        <v>15</v>
      </c>
      <c r="Q45" s="1">
        <v>765.79200000000003</v>
      </c>
      <c r="R45" s="1">
        <v>35.497900000000001</v>
      </c>
      <c r="S45" s="1">
        <v>1.5700800000000001E-4</v>
      </c>
      <c r="T45" s="1">
        <v>-4.6811500000000001E-4</v>
      </c>
      <c r="AJ45">
        <v>7</v>
      </c>
      <c r="AK45" t="s">
        <v>16</v>
      </c>
      <c r="AL45" s="1">
        <v>170.29599999999999</v>
      </c>
      <c r="AM45" s="1">
        <v>104.452</v>
      </c>
      <c r="AN45" s="1">
        <v>6.0319900000000001E-3</v>
      </c>
      <c r="AO45" s="1">
        <v>1.4814299999999999E-4</v>
      </c>
    </row>
    <row r="46" spans="1:41" x14ac:dyDescent="0.3">
      <c r="A46">
        <v>2</v>
      </c>
      <c r="B46" t="s">
        <v>22</v>
      </c>
      <c r="C46" s="1">
        <v>11.174099999999999</v>
      </c>
      <c r="D46" s="1">
        <v>1.36656</v>
      </c>
      <c r="E46" s="1">
        <v>1.7159200000000001E-4</v>
      </c>
      <c r="F46" s="1">
        <v>2.4370400000000001E-3</v>
      </c>
      <c r="H46">
        <v>9</v>
      </c>
      <c r="I46" t="s">
        <v>80</v>
      </c>
      <c r="J46" s="1">
        <v>852.12699999999995</v>
      </c>
      <c r="K46" s="1">
        <v>44.461199999999998</v>
      </c>
      <c r="L46" s="1">
        <v>-1.97875E-5</v>
      </c>
      <c r="M46" s="1">
        <v>6.3237600000000003E-3</v>
      </c>
      <c r="O46">
        <v>4</v>
      </c>
      <c r="P46" t="s">
        <v>16</v>
      </c>
      <c r="Q46" s="1">
        <v>29.323799999999999</v>
      </c>
      <c r="R46" s="1">
        <v>7.1521499999999998</v>
      </c>
      <c r="S46" s="1">
        <v>2.2211599999999998E-3</v>
      </c>
      <c r="T46" s="1">
        <v>1.94799E-4</v>
      </c>
      <c r="AJ46">
        <v>8</v>
      </c>
      <c r="AK46" t="s">
        <v>17</v>
      </c>
      <c r="AL46" s="1">
        <v>-0.12790699999999999</v>
      </c>
      <c r="AM46" s="1">
        <v>0.15884000000000001</v>
      </c>
      <c r="AN46" s="1">
        <v>9.3464799999999997E-6</v>
      </c>
      <c r="AO46" s="1">
        <v>9.2174199999999998E-2</v>
      </c>
    </row>
    <row r="47" spans="1:41" ht="15" thickBot="1" x14ac:dyDescent="0.35">
      <c r="A47">
        <v>3</v>
      </c>
      <c r="B47" t="s">
        <v>23</v>
      </c>
      <c r="C47" s="1">
        <v>241.84200000000001</v>
      </c>
      <c r="D47" s="1">
        <v>22.337599999999998</v>
      </c>
      <c r="E47" s="1">
        <v>2.2356399999999999E-4</v>
      </c>
      <c r="F47" s="1">
        <v>-2.8811599999999998E-3</v>
      </c>
      <c r="H47">
        <v>10</v>
      </c>
      <c r="I47" t="s">
        <v>105</v>
      </c>
      <c r="J47" s="1">
        <v>787.24800000000005</v>
      </c>
      <c r="K47" s="1">
        <v>0.22645899999999999</v>
      </c>
      <c r="L47" s="1">
        <v>-3.1099500000000002E-6</v>
      </c>
      <c r="M47" s="1">
        <v>-5.3446800000000003E-2</v>
      </c>
      <c r="O47">
        <v>5</v>
      </c>
      <c r="P47" t="s">
        <v>17</v>
      </c>
      <c r="Q47" s="1">
        <v>-7.8709599999999998E-3</v>
      </c>
      <c r="R47" s="1">
        <v>4.1192599999999996E-3</v>
      </c>
      <c r="S47" s="1">
        <v>1.2774099999999999E-6</v>
      </c>
      <c r="T47" s="1">
        <v>-0.239287</v>
      </c>
    </row>
    <row r="48" spans="1:41" ht="15" thickBot="1" x14ac:dyDescent="0.35">
      <c r="A48">
        <v>4</v>
      </c>
      <c r="B48" t="s">
        <v>24</v>
      </c>
      <c r="C48" s="1">
        <v>630.58500000000004</v>
      </c>
      <c r="D48" s="1">
        <v>0.29722300000000001</v>
      </c>
      <c r="E48" s="1">
        <v>1.9482399999999998E-5</v>
      </c>
      <c r="F48" s="1">
        <v>5.7459900000000003E-3</v>
      </c>
      <c r="H48">
        <v>11</v>
      </c>
      <c r="I48" t="s">
        <v>106</v>
      </c>
      <c r="J48" s="1">
        <v>11.2729</v>
      </c>
      <c r="K48" s="1">
        <v>0.46157799999999999</v>
      </c>
      <c r="L48" s="1">
        <v>4.4239199999999998E-6</v>
      </c>
      <c r="M48" s="1">
        <v>3.5208999999999997E-2</v>
      </c>
      <c r="O48" s="25" t="s">
        <v>354</v>
      </c>
    </row>
    <row r="49" spans="1:20" x14ac:dyDescent="0.3">
      <c r="A49">
        <v>5</v>
      </c>
      <c r="B49" t="s">
        <v>25</v>
      </c>
      <c r="C49" s="1">
        <v>10.182</v>
      </c>
      <c r="D49" s="1">
        <v>0.59585699999999997</v>
      </c>
      <c r="E49" s="1">
        <v>8.4143500000000005E-5</v>
      </c>
      <c r="F49" s="1">
        <v>4.7032899999999997E-3</v>
      </c>
      <c r="H49">
        <v>12</v>
      </c>
      <c r="I49" t="s">
        <v>107</v>
      </c>
      <c r="J49" s="1">
        <v>942.47299999999996</v>
      </c>
      <c r="K49" s="1">
        <v>35.3474</v>
      </c>
      <c r="L49" s="1">
        <v>5.3989600000000001E-6</v>
      </c>
      <c r="M49" s="1">
        <v>6.3412499999999997E-2</v>
      </c>
      <c r="O49" t="s">
        <v>8</v>
      </c>
      <c r="P49" t="s">
        <v>9</v>
      </c>
      <c r="Q49" t="s">
        <v>10</v>
      </c>
      <c r="R49" t="s">
        <v>11</v>
      </c>
      <c r="S49" t="s">
        <v>12</v>
      </c>
      <c r="T49" t="s">
        <v>13</v>
      </c>
    </row>
    <row r="50" spans="1:20" x14ac:dyDescent="0.3">
      <c r="A50">
        <v>6</v>
      </c>
      <c r="B50" t="s">
        <v>26</v>
      </c>
      <c r="C50" s="1">
        <v>431.44299999999998</v>
      </c>
      <c r="D50" s="1">
        <v>25.2182</v>
      </c>
      <c r="E50" s="1">
        <v>2.20263E-4</v>
      </c>
      <c r="F50" s="1">
        <v>-6.4224599999999996E-3</v>
      </c>
      <c r="H50">
        <v>13</v>
      </c>
      <c r="I50" t="s">
        <v>16</v>
      </c>
      <c r="J50" s="1">
        <v>33.396099999999997</v>
      </c>
      <c r="K50" s="1">
        <v>0.50773000000000001</v>
      </c>
      <c r="L50" s="1">
        <v>2.1084599999999999E-4</v>
      </c>
      <c r="M50" s="1">
        <v>-1.6781000000000001E-4</v>
      </c>
      <c r="O50">
        <v>1</v>
      </c>
      <c r="P50" t="s">
        <v>21</v>
      </c>
      <c r="Q50" s="1">
        <v>2298.13</v>
      </c>
      <c r="R50" s="1">
        <v>0.30739300000000003</v>
      </c>
      <c r="S50" s="1">
        <v>4.2756E-7</v>
      </c>
      <c r="T50" s="1">
        <v>6.9747099999999996E-4</v>
      </c>
    </row>
    <row r="51" spans="1:20" ht="15" thickBot="1" x14ac:dyDescent="0.35">
      <c r="A51">
        <v>7</v>
      </c>
      <c r="B51" t="s">
        <v>78</v>
      </c>
      <c r="C51" s="1">
        <v>713.57299999999998</v>
      </c>
      <c r="D51" s="1">
        <v>0.46181699999999998</v>
      </c>
      <c r="E51" s="1">
        <v>3.1752099999999997E-5</v>
      </c>
      <c r="F51" s="1">
        <v>2.7327000000000001E-2</v>
      </c>
      <c r="H51">
        <v>14</v>
      </c>
      <c r="I51" t="s">
        <v>17</v>
      </c>
      <c r="J51" s="1">
        <v>-1.37246E-2</v>
      </c>
      <c r="K51" s="1">
        <v>7.6555600000000003E-4</v>
      </c>
      <c r="L51" s="1">
        <v>6.2769200000000003E-7</v>
      </c>
      <c r="M51" s="1">
        <v>-0.67659000000000002</v>
      </c>
      <c r="O51">
        <v>2</v>
      </c>
      <c r="P51" t="s">
        <v>22</v>
      </c>
      <c r="Q51" s="1">
        <v>11.1287</v>
      </c>
      <c r="R51" s="1">
        <v>0.67252100000000004</v>
      </c>
      <c r="S51" s="1">
        <v>2.4985100000000002E-6</v>
      </c>
      <c r="T51" s="1">
        <v>-4.1718899999999999E-4</v>
      </c>
    </row>
    <row r="52" spans="1:20" ht="15" thickBot="1" x14ac:dyDescent="0.35">
      <c r="A52">
        <v>8</v>
      </c>
      <c r="B52" t="s">
        <v>79</v>
      </c>
      <c r="C52" s="1">
        <v>9.8968900000000009</v>
      </c>
      <c r="D52" s="1">
        <v>0.90593900000000005</v>
      </c>
      <c r="E52" s="1">
        <v>1.3510599999999999E-4</v>
      </c>
      <c r="F52" s="1">
        <v>4.1344299999999997E-3</v>
      </c>
      <c r="H52" s="17" t="s">
        <v>161</v>
      </c>
      <c r="I52" s="19"/>
      <c r="O52">
        <v>3</v>
      </c>
      <c r="P52" t="s">
        <v>23</v>
      </c>
      <c r="Q52" s="1">
        <v>471.78899999999999</v>
      </c>
      <c r="R52" s="1">
        <v>27.522600000000001</v>
      </c>
      <c r="S52" s="1">
        <v>-1.0767800000000001E-6</v>
      </c>
      <c r="T52" s="1">
        <v>1.6589099999999999E-4</v>
      </c>
    </row>
    <row r="53" spans="1:20" x14ac:dyDescent="0.3">
      <c r="A53">
        <v>9</v>
      </c>
      <c r="B53" t="s">
        <v>80</v>
      </c>
      <c r="C53" s="1">
        <v>182.85599999999999</v>
      </c>
      <c r="D53" s="1">
        <v>16.858000000000001</v>
      </c>
      <c r="E53" s="1">
        <v>2.1655200000000001E-4</v>
      </c>
      <c r="F53" s="1">
        <v>4.9841E-3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O53">
        <v>4</v>
      </c>
      <c r="P53" t="s">
        <v>24</v>
      </c>
      <c r="Q53" s="1">
        <v>2359.4899999999998</v>
      </c>
      <c r="R53" s="1">
        <v>0.40859000000000001</v>
      </c>
      <c r="S53" s="1">
        <v>-8.7176800000000003E-8</v>
      </c>
      <c r="T53" s="1">
        <v>2.43642E-5</v>
      </c>
    </row>
    <row r="54" spans="1:20" x14ac:dyDescent="0.3">
      <c r="A54">
        <v>10</v>
      </c>
      <c r="B54" t="s">
        <v>16</v>
      </c>
      <c r="C54" s="1">
        <v>9.1993200000000002</v>
      </c>
      <c r="D54" s="1">
        <v>1.54711</v>
      </c>
      <c r="E54" s="1">
        <v>1.14532E-3</v>
      </c>
      <c r="F54" s="1">
        <v>4.2436399999999999E-4</v>
      </c>
      <c r="H54">
        <v>1</v>
      </c>
      <c r="I54" t="s">
        <v>21</v>
      </c>
      <c r="J54" s="1">
        <v>2790.97</v>
      </c>
      <c r="K54" s="1">
        <v>0.45361499999999999</v>
      </c>
      <c r="L54" s="1">
        <v>-1.49947E-6</v>
      </c>
      <c r="M54" s="1">
        <v>5.5759599999999996E-3</v>
      </c>
      <c r="O54">
        <v>5</v>
      </c>
      <c r="P54" t="s">
        <v>25</v>
      </c>
      <c r="Q54" s="1">
        <v>11.2994</v>
      </c>
      <c r="R54" s="1">
        <v>0.80455500000000002</v>
      </c>
      <c r="S54" s="1">
        <v>7.2187099999999999E-6</v>
      </c>
      <c r="T54" s="1">
        <v>-8.5372900000000001E-4</v>
      </c>
    </row>
    <row r="55" spans="1:20" x14ac:dyDescent="0.3">
      <c r="A55">
        <v>11</v>
      </c>
      <c r="B55" t="s">
        <v>17</v>
      </c>
      <c r="C55" s="1">
        <v>-7.8668499999999999E-3</v>
      </c>
      <c r="D55" s="1">
        <v>2.2347199999999999E-3</v>
      </c>
      <c r="E55" s="1">
        <v>1.6620600000000001E-6</v>
      </c>
      <c r="F55" s="1">
        <v>0.31261</v>
      </c>
      <c r="H55">
        <v>2</v>
      </c>
      <c r="I55" t="s">
        <v>22</v>
      </c>
      <c r="J55" s="1">
        <v>13.0524</v>
      </c>
      <c r="K55" s="1">
        <v>1.1140099999999999</v>
      </c>
      <c r="L55" s="1">
        <v>6.3936500000000002E-6</v>
      </c>
      <c r="M55" s="1">
        <v>-7.6850499999999995E-4</v>
      </c>
      <c r="O55">
        <v>6</v>
      </c>
      <c r="P55" t="s">
        <v>26</v>
      </c>
      <c r="Q55" s="1">
        <v>326.28699999999998</v>
      </c>
      <c r="R55" s="1">
        <v>24.299800000000001</v>
      </c>
      <c r="S55" s="1">
        <v>1.0210100000000001E-5</v>
      </c>
      <c r="T55" s="1">
        <v>2.13749E-4</v>
      </c>
    </row>
    <row r="56" spans="1:20" x14ac:dyDescent="0.3">
      <c r="H56">
        <v>3</v>
      </c>
      <c r="I56" t="s">
        <v>23</v>
      </c>
      <c r="J56" s="1">
        <v>347.25700000000001</v>
      </c>
      <c r="K56" s="1">
        <v>24.967500000000001</v>
      </c>
      <c r="L56" s="1">
        <v>-4.3819200000000001E-6</v>
      </c>
      <c r="M56" s="1">
        <v>-3.4863E-4</v>
      </c>
      <c r="O56">
        <v>7</v>
      </c>
      <c r="P56" t="s">
        <v>78</v>
      </c>
      <c r="Q56" s="1">
        <v>2553.8200000000002</v>
      </c>
      <c r="R56" s="1">
        <v>0.31670700000000002</v>
      </c>
      <c r="S56" s="1">
        <v>3.0688699999999999E-7</v>
      </c>
      <c r="T56" s="1">
        <v>1.8322299999999999E-4</v>
      </c>
    </row>
    <row r="57" spans="1:20" x14ac:dyDescent="0.3">
      <c r="H57">
        <v>4</v>
      </c>
      <c r="I57" t="s">
        <v>24</v>
      </c>
      <c r="J57" s="1">
        <v>2879.69</v>
      </c>
      <c r="K57" s="1">
        <v>0.16597300000000001</v>
      </c>
      <c r="L57" s="1">
        <v>-4.3195499999999998E-7</v>
      </c>
      <c r="M57" s="1">
        <v>5.92004E-2</v>
      </c>
      <c r="O57">
        <v>8</v>
      </c>
      <c r="P57" t="s">
        <v>79</v>
      </c>
      <c r="Q57" s="1">
        <v>11.295</v>
      </c>
      <c r="R57" s="1">
        <v>0.78154599999999996</v>
      </c>
      <c r="S57" s="1">
        <v>-3.4613900000000002E-6</v>
      </c>
      <c r="T57" s="1">
        <v>-8.4195699999999998E-5</v>
      </c>
    </row>
    <row r="58" spans="1:20" x14ac:dyDescent="0.3">
      <c r="H58">
        <v>5</v>
      </c>
      <c r="I58" t="s">
        <v>25</v>
      </c>
      <c r="J58" s="1">
        <v>12.451499999999999</v>
      </c>
      <c r="K58" s="1">
        <v>0.35821999999999998</v>
      </c>
      <c r="L58" s="1">
        <v>-9.9856900000000005E-7</v>
      </c>
      <c r="M58" s="1">
        <v>9.2876699999999996E-3</v>
      </c>
      <c r="O58">
        <v>9</v>
      </c>
      <c r="P58" t="s">
        <v>80</v>
      </c>
      <c r="Q58" s="1">
        <v>453.46199999999999</v>
      </c>
      <c r="R58" s="1">
        <v>27.053100000000001</v>
      </c>
      <c r="S58" s="1">
        <v>-3.4193500000000001E-6</v>
      </c>
      <c r="T58" s="1">
        <v>1.89674E-4</v>
      </c>
    </row>
    <row r="59" spans="1:20" x14ac:dyDescent="0.3">
      <c r="H59">
        <v>6</v>
      </c>
      <c r="I59" t="s">
        <v>26</v>
      </c>
      <c r="J59" s="1">
        <v>1424.44</v>
      </c>
      <c r="K59" s="1">
        <v>40.849800000000002</v>
      </c>
      <c r="L59" s="1">
        <v>-6.2993600000000004E-7</v>
      </c>
      <c r="M59" s="1">
        <v>1.2231500000000001E-3</v>
      </c>
      <c r="O59">
        <v>10</v>
      </c>
      <c r="P59" t="s">
        <v>16</v>
      </c>
      <c r="Q59" s="1">
        <v>17.270800000000001</v>
      </c>
      <c r="R59" s="1">
        <v>2.6316999999999999</v>
      </c>
      <c r="S59" s="1">
        <v>-6.8380000000000003E-3</v>
      </c>
      <c r="T59" s="1">
        <v>-4.5185800000000002E-7</v>
      </c>
    </row>
    <row r="60" spans="1:20" x14ac:dyDescent="0.3">
      <c r="H60">
        <v>7</v>
      </c>
      <c r="I60" t="s">
        <v>16</v>
      </c>
      <c r="J60" s="1">
        <v>22.729199999999999</v>
      </c>
      <c r="K60" s="1">
        <v>0.119925</v>
      </c>
      <c r="L60" s="1">
        <v>-2.6651800000000002E-6</v>
      </c>
      <c r="M60" s="1">
        <v>-9.86628E-5</v>
      </c>
      <c r="O60">
        <v>11</v>
      </c>
      <c r="P60" t="s">
        <v>17</v>
      </c>
      <c r="Q60" s="1">
        <v>-3.3706600000000001E-3</v>
      </c>
      <c r="R60" s="1">
        <v>1.0838099999999999E-3</v>
      </c>
      <c r="S60" s="1">
        <v>2.81599E-6</v>
      </c>
      <c r="T60" s="1">
        <v>-1.00486E-3</v>
      </c>
    </row>
    <row r="61" spans="1:20" ht="15" thickBot="1" x14ac:dyDescent="0.35">
      <c r="H61">
        <v>8</v>
      </c>
      <c r="I61" t="s">
        <v>17</v>
      </c>
      <c r="J61" s="1">
        <v>-5.28482E-3</v>
      </c>
      <c r="K61" s="1">
        <v>4.1532899999999997E-5</v>
      </c>
      <c r="L61" s="1">
        <v>-3.8147500000000002E-10</v>
      </c>
      <c r="M61" s="1">
        <v>-0.83358100000000002</v>
      </c>
    </row>
    <row r="62" spans="1:20" ht="15" thickBot="1" x14ac:dyDescent="0.35">
      <c r="H62" s="25" t="s">
        <v>175</v>
      </c>
      <c r="I62" s="25"/>
    </row>
    <row r="63" spans="1:20" x14ac:dyDescent="0.3">
      <c r="H63" t="s">
        <v>8</v>
      </c>
      <c r="I63" t="s">
        <v>9</v>
      </c>
      <c r="J63" t="s">
        <v>10</v>
      </c>
      <c r="K63" t="s">
        <v>11</v>
      </c>
      <c r="L63" t="s">
        <v>12</v>
      </c>
      <c r="M63" t="s">
        <v>13</v>
      </c>
    </row>
    <row r="64" spans="1:20" x14ac:dyDescent="0.3">
      <c r="H64">
        <v>1</v>
      </c>
      <c r="I64" t="s">
        <v>21</v>
      </c>
      <c r="J64" s="1">
        <v>3487.34</v>
      </c>
      <c r="K64" s="1">
        <v>0.55628900000000003</v>
      </c>
      <c r="L64" s="1">
        <v>2.10035E-5</v>
      </c>
      <c r="M64" s="1">
        <v>0.170099</v>
      </c>
    </row>
    <row r="65" spans="8:13" x14ac:dyDescent="0.3">
      <c r="H65">
        <v>2</v>
      </c>
      <c r="I65" t="s">
        <v>22</v>
      </c>
      <c r="J65" s="1">
        <v>11.804399999999999</v>
      </c>
      <c r="K65" s="1">
        <v>1.0324500000000001</v>
      </c>
      <c r="L65" s="1">
        <v>1.46649E-4</v>
      </c>
      <c r="M65" s="1">
        <v>8.5083299999999997E-3</v>
      </c>
    </row>
    <row r="66" spans="8:13" x14ac:dyDescent="0.3">
      <c r="H66">
        <v>3</v>
      </c>
      <c r="I66" t="s">
        <v>23</v>
      </c>
      <c r="J66" s="1">
        <v>210.23099999999999</v>
      </c>
      <c r="K66" s="1">
        <v>19.209199999999999</v>
      </c>
      <c r="L66" s="1">
        <v>2.5747699999999999E-4</v>
      </c>
      <c r="M66" s="1">
        <v>1.3178199999999999E-2</v>
      </c>
    </row>
    <row r="67" spans="8:13" x14ac:dyDescent="0.3">
      <c r="H67">
        <v>4</v>
      </c>
      <c r="I67" t="s">
        <v>24</v>
      </c>
      <c r="J67" s="1">
        <v>3944.1</v>
      </c>
      <c r="K67" s="1">
        <v>0.39026499999999997</v>
      </c>
      <c r="L67" s="1">
        <v>1.1410099999999999E-5</v>
      </c>
      <c r="M67" s="1">
        <v>-6.71712E-2</v>
      </c>
    </row>
    <row r="68" spans="8:13" x14ac:dyDescent="0.3">
      <c r="H68">
        <v>5</v>
      </c>
      <c r="I68" t="s">
        <v>25</v>
      </c>
      <c r="J68" s="1">
        <v>13.414999999999999</v>
      </c>
      <c r="K68" s="1">
        <v>0.80948699999999996</v>
      </c>
      <c r="L68" s="1">
        <v>1.13652E-4</v>
      </c>
      <c r="M68" s="1">
        <v>1.1328899999999999E-2</v>
      </c>
    </row>
    <row r="69" spans="8:13" x14ac:dyDescent="0.3">
      <c r="H69">
        <v>6</v>
      </c>
      <c r="I69" t="s">
        <v>26</v>
      </c>
      <c r="J69" s="1">
        <v>387.392</v>
      </c>
      <c r="K69" s="1">
        <v>23.293600000000001</v>
      </c>
      <c r="L69" s="1">
        <v>2.3849299999999999E-4</v>
      </c>
      <c r="M69" s="1">
        <v>-8.4376299999999998E-3</v>
      </c>
    </row>
    <row r="70" spans="8:13" x14ac:dyDescent="0.3">
      <c r="H70">
        <v>7</v>
      </c>
      <c r="I70" t="s">
        <v>78</v>
      </c>
      <c r="J70" s="1">
        <v>4351.87</v>
      </c>
      <c r="K70" s="1">
        <v>0.34479300000000002</v>
      </c>
      <c r="L70" s="1">
        <v>1.3346099999999999E-5</v>
      </c>
      <c r="M70" s="1">
        <v>-0.22847400000000001</v>
      </c>
    </row>
    <row r="71" spans="8:13" x14ac:dyDescent="0.3">
      <c r="H71">
        <v>8</v>
      </c>
      <c r="I71" t="s">
        <v>79</v>
      </c>
      <c r="J71" s="1">
        <v>19.365300000000001</v>
      </c>
      <c r="K71" s="1">
        <v>0.86183299999999996</v>
      </c>
      <c r="L71" s="1">
        <v>1.01939E-4</v>
      </c>
      <c r="M71" s="1">
        <v>6.65871E-3</v>
      </c>
    </row>
    <row r="72" spans="8:13" x14ac:dyDescent="0.3">
      <c r="H72">
        <v>9</v>
      </c>
      <c r="I72" t="s">
        <v>80</v>
      </c>
      <c r="J72" s="1">
        <v>835.13199999999995</v>
      </c>
      <c r="K72" s="1">
        <v>32.250799999999998</v>
      </c>
      <c r="L72" s="1">
        <v>2.3285299999999999E-4</v>
      </c>
      <c r="M72" s="1">
        <v>-2.2086100000000002E-3</v>
      </c>
    </row>
    <row r="73" spans="8:13" x14ac:dyDescent="0.3">
      <c r="H73">
        <v>10</v>
      </c>
      <c r="I73" t="s">
        <v>16</v>
      </c>
      <c r="J73" s="1">
        <v>12.195</v>
      </c>
      <c r="K73" s="1">
        <v>0.65885400000000005</v>
      </c>
      <c r="L73" s="1">
        <v>1.1838E-3</v>
      </c>
      <c r="M73" s="1">
        <v>3.0061900000000002E-3</v>
      </c>
    </row>
    <row r="74" spans="8:13" x14ac:dyDescent="0.3">
      <c r="H74">
        <v>11</v>
      </c>
      <c r="I74" t="s">
        <v>17</v>
      </c>
      <c r="J74" s="1">
        <v>-1.9206900000000001E-3</v>
      </c>
      <c r="K74" s="1">
        <v>1.6509700000000001E-4</v>
      </c>
      <c r="L74" s="1">
        <v>2.9657600000000002E-7</v>
      </c>
      <c r="M74" s="1">
        <v>11.773999999999999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Resolution and Bias Voltage</vt:lpstr>
      <vt:lpstr>Elevated Buffit Week 2</vt:lpstr>
      <vt:lpstr>Reso Cali with Energy Week 2</vt:lpstr>
      <vt:lpstr>Unknown Samples Week 2</vt:lpstr>
      <vt:lpstr>Week 3 calibration</vt:lpstr>
      <vt:lpstr>Unknown Samples Week 3</vt:lpstr>
    </vt:vector>
  </TitlesOfParts>
  <Company>UoB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McKinney (MSc Phys + Tech Nuc React FT)</dc:creator>
  <cp:lastModifiedBy>Jack McKinney</cp:lastModifiedBy>
  <cp:lastPrinted>2019-03-12T18:21:12Z</cp:lastPrinted>
  <dcterms:created xsi:type="dcterms:W3CDTF">2019-01-18T16:22:50Z</dcterms:created>
  <dcterms:modified xsi:type="dcterms:W3CDTF">2019-03-26T09:58:40Z</dcterms:modified>
</cp:coreProperties>
</file>