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p Bias V" sheetId="1" state="visible" r:id="rId2"/>
    <sheet name="Calibration" sheetId="2" state="visible" r:id="rId3"/>
    <sheet name="Moseley" sheetId="3" state="visible" r:id="rId4"/>
    <sheet name="Attenuat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<sst xmlns="http://schemas.openxmlformats.org/spreadsheetml/2006/main" count="210" uniqueCount="113">
  <si>
    <t xml:space="preserve">V Bias (V)</t>
  </si>
  <si>
    <t xml:space="preserve">FWHM (chn)</t>
  </si>
  <si>
    <t xml:space="preserve">Centroid   Energy - and diff in energy levels within alpha beta etc</t>
  </si>
  <si>
    <t xml:space="preserve">Other elements available</t>
  </si>
  <si>
    <t xml:space="preserve">Kα3</t>
  </si>
  <si>
    <t xml:space="preserve">Kα2</t>
  </si>
  <si>
    <t xml:space="preserve">Kα1</t>
  </si>
  <si>
    <t xml:space="preserve">Kβ5</t>
  </si>
  <si>
    <t xml:space="preserve">Kβ4</t>
  </si>
  <si>
    <t xml:space="preserve">Kβ3</t>
  </si>
  <si>
    <t xml:space="preserve">Kβ2</t>
  </si>
  <si>
    <t xml:space="preserve">Kβ1</t>
  </si>
  <si>
    <t xml:space="preserve">Kγ5</t>
  </si>
  <si>
    <t xml:space="preserve">Kγ4</t>
  </si>
  <si>
    <t xml:space="preserve">Kγ3</t>
  </si>
  <si>
    <t xml:space="preserve">Kγ2</t>
  </si>
  <si>
    <t xml:space="preserve">Kγ1</t>
  </si>
  <si>
    <t xml:space="preserve">Cu</t>
  </si>
  <si>
    <t xml:space="preserve">Rb</t>
  </si>
  <si>
    <t xml:space="preserve">Mo</t>
  </si>
  <si>
    <t xml:space="preserve">Ag</t>
  </si>
  <si>
    <t xml:space="preserve">Ba</t>
  </si>
  <si>
    <t xml:space="preserve">Tb</t>
  </si>
  <si>
    <t xml:space="preserve">Vbias (V)</t>
  </si>
  <si>
    <t xml:space="preserve">Kalpha1 FWHM</t>
  </si>
  <si>
    <t xml:space="preserve">Energy (keV)</t>
  </si>
  <si>
    <t xml:space="preserve">Live time (s)</t>
  </si>
  <si>
    <t xml:space="preserve">Centroid (chn)</t>
  </si>
  <si>
    <t xml:space="preserve">Source</t>
  </si>
  <si>
    <r>
      <rPr>
        <sz val="11"/>
        <color rgb="FF000000"/>
        <rFont val="Calibri"/>
        <family val="2"/>
        <charset val="1"/>
      </rPr>
      <t xml:space="preserve">Kα1 or Kα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</si>
  <si>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r>
      <rPr>
        <sz val="11"/>
        <color rgb="FF000000"/>
        <rFont val="Calibri"/>
        <family val="2"/>
        <charset val="1"/>
      </rPr>
      <t xml:space="preserve">Kβ1 or Kβ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</si>
  <si>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error</t>
  </si>
  <si>
    <r>
      <rPr>
        <sz val="11"/>
        <color rgb="FF000000"/>
        <rFont val="Calibri"/>
        <family val="2"/>
        <charset val="1"/>
      </rPr>
      <t xml:space="preserve">Kα1 or Kα</t>
    </r>
    <r>
      <rPr>
        <vertAlign val="subscript"/>
        <sz val="11"/>
        <color rgb="FF000000"/>
        <rFont val="Calibri"/>
        <family val="2"/>
        <charset val="1"/>
      </rPr>
      <t xml:space="preserve">mean </t>
    </r>
  </si>
  <si>
    <t xml:space="preserve">Cu1</t>
  </si>
  <si>
    <t xml:space="preserve">Weighted mean Kalpha</t>
  </si>
  <si>
    <t xml:space="preserve">Element</t>
  </si>
  <si>
    <t xml:space="preserve">Type</t>
  </si>
  <si>
    <t xml:space="preserve">Centroid </t>
  </si>
  <si>
    <t xml:space="preserve">Error</t>
  </si>
  <si>
    <t xml:space="preserve">Weighted mean Kbeta</t>
  </si>
  <si>
    <t xml:space="preserve">Rb1</t>
  </si>
  <si>
    <t xml:space="preserve">Ag1</t>
  </si>
  <si>
    <t xml:space="preserve">Ba1</t>
  </si>
  <si>
    <t xml:space="preserve">Weighted mean Kbeta1+3+5</t>
  </si>
  <si>
    <t xml:space="preserve">Weighted mean Kbeta2+4</t>
  </si>
  <si>
    <t xml:space="preserve">Calibration</t>
  </si>
  <si>
    <t xml:space="preserve">Chi2</t>
  </si>
  <si>
    <t xml:space="preserve">NDf</t>
  </si>
  <si>
    <t xml:space="preserve">Test input</t>
  </si>
  <si>
    <t xml:space="preserve">Output</t>
  </si>
  <si>
    <t xml:space="preserve">p0</t>
  </si>
  <si>
    <t xml:space="preserve">E2C</t>
  </si>
  <si>
    <t xml:space="preserve">p1</t>
  </si>
  <si>
    <t xml:space="preserve">C2E</t>
  </si>
  <si>
    <t xml:space="preserve">Z #</t>
  </si>
  <si>
    <t xml:space="preserve">Elem
-ent</t>
  </si>
  <si>
    <t xml:space="preserve">Calibrated
-Energy
(keV)</t>
  </si>
  <si>
    <t xml:space="preserve">Error (keV)</t>
  </si>
  <si>
    <t xml:space="preserve">Frequency of Xray (Hz)</t>
  </si>
  <si>
    <t xml:space="preserve">Error (Hz)</t>
  </si>
  <si>
    <t xml:space="preserve">SQRT(freq)</t>
  </si>
  <si>
    <t xml:space="preserve">Kalpha xray Calibrated (keV)</t>
  </si>
  <si>
    <t xml:space="preserve">Z</t>
  </si>
  <si>
    <t xml:space="preserve">Frequency (Hz)</t>
  </si>
  <si>
    <r>
      <rPr>
        <sz val="11"/>
        <color rgb="FF000000"/>
        <rFont val="Calibri"/>
        <family val="2"/>
        <charset val="1"/>
      </rPr>
      <t xml:space="preserve">Kα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</si>
  <si>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r>
      <rPr>
        <sz val="11"/>
        <color rgb="FF000000"/>
        <rFont val="Calibri"/>
        <family val="2"/>
        <charset val="1"/>
      </rPr>
      <t xml:space="preserve">Kβ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</si>
  <si>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Kbeta xray Calibrated (keV)</t>
  </si>
  <si>
    <r>
      <rPr>
        <sz val="11"/>
        <color rgb="FF000000"/>
        <rFont val="Calibri"/>
        <family val="2"/>
        <charset val="1"/>
      </rPr>
      <t xml:space="preserve">Kβ</t>
    </r>
    <r>
      <rPr>
        <vertAlign val="subscript"/>
        <sz val="11"/>
        <color rgb="FF000000"/>
        <rFont val="Calibri"/>
        <family val="2"/>
        <charset val="1"/>
      </rPr>
      <t xml:space="preserve">2mean</t>
    </r>
  </si>
  <si>
    <r>
      <rPr>
        <sz val="11"/>
        <color rgb="FF000000"/>
        <rFont val="Calibri"/>
        <family val="2"/>
        <charset val="1"/>
      </rPr>
      <t xml:space="preserve">Kβ</t>
    </r>
    <r>
      <rPr>
        <vertAlign val="subscript"/>
        <sz val="11"/>
        <color rgb="FF000000"/>
        <rFont val="Calibri"/>
        <family val="2"/>
        <charset val="1"/>
      </rPr>
      <t xml:space="preserve">1mean</t>
    </r>
  </si>
  <si>
    <t xml:space="preserve">^f=E/h</t>
  </si>
  <si>
    <t xml:space="preserve">Planck Constant</t>
  </si>
  <si>
    <t xml:space="preserve">c</t>
  </si>
  <si>
    <t xml:space="preserve">m</t>
  </si>
  <si>
    <t xml:space="preserve">Constant Cu source</t>
  </si>
  <si>
    <t xml:space="preserve">Fe</t>
  </si>
  <si>
    <t xml:space="preserve">Ni</t>
  </si>
  <si>
    <t xml:space="preserve">Zr</t>
  </si>
  <si>
    <t xml:space="preserve">thickness (mg/cm2)</t>
  </si>
  <si>
    <t xml:space="preserve">Sample number</t>
  </si>
  <si>
    <t xml:space="preserve">No shield</t>
  </si>
  <si>
    <t xml:space="preserve">Ni Shield</t>
  </si>
  <si>
    <t xml:space="preserve">only one peak visible</t>
  </si>
  <si>
    <t xml:space="preserve">In energies (keV)</t>
  </si>
  <si>
    <t xml:space="preserve">1-Centroid</t>
  </si>
  <si>
    <t xml:space="preserve">NO.</t>
  </si>
  <si>
    <t xml:space="preserve">NAME</t>
  </si>
  <si>
    <t xml:space="preserve">VALUE</t>
  </si>
  <si>
    <t xml:space="preserve">ERROR</t>
  </si>
  <si>
    <t xml:space="preserve">SIZE</t>
  </si>
  <si>
    <t xml:space="preserve">DERIVATIVE</t>
  </si>
  <si>
    <t xml:space="preserve">K-edge</t>
  </si>
  <si>
    <t xml:space="preserve">1-FWHM</t>
  </si>
  <si>
    <t xml:space="preserve">Centroid</t>
  </si>
  <si>
    <t xml:space="preserve">K-β1</t>
  </si>
  <si>
    <t xml:space="preserve">1-Counts</t>
  </si>
  <si>
    <t xml:space="preserve">FWHM</t>
  </si>
  <si>
    <r>
      <rPr>
        <sz val="11"/>
        <color rgb="FF000000"/>
        <rFont val="Calibri"/>
        <family val="2"/>
        <charset val="1"/>
      </rPr>
      <t xml:space="preserve">K-</t>
    </r>
    <r>
      <rPr>
        <sz val="11"/>
        <color rgb="FF000000"/>
        <rFont val="Calibri"/>
        <family val="2"/>
      </rPr>
      <t xml:space="preserve">α</t>
    </r>
    <r>
      <rPr>
        <sz val="11"/>
        <color rgb="FF000000"/>
        <rFont val="Calibri"/>
        <family val="2"/>
        <charset val="1"/>
      </rPr>
      <t xml:space="preserve">1</t>
    </r>
  </si>
  <si>
    <t xml:space="preserve">2-Centroid</t>
  </si>
  <si>
    <t xml:space="preserve">Counts</t>
  </si>
  <si>
    <t xml:space="preserve">L-edge</t>
  </si>
  <si>
    <t xml:space="preserve">2-FWHM</t>
  </si>
  <si>
    <t xml:space="preserve">Intercept</t>
  </si>
  <si>
    <t xml:space="preserve">L-β1</t>
  </si>
  <si>
    <t xml:space="preserve">2-Counts</t>
  </si>
  <si>
    <t xml:space="preserve">Slope</t>
  </si>
  <si>
    <t xml:space="preserve">L-α1</t>
  </si>
  <si>
    <t xml:space="preserve">3-Centroid</t>
  </si>
  <si>
    <t xml:space="preserve">3-FWHM</t>
  </si>
  <si>
    <t xml:space="preserve">3-Counts</t>
  </si>
  <si>
    <t xml:space="preserve">Cu shield</t>
  </si>
  <si>
    <r>
      <rPr>
        <sz val="11"/>
        <color rgb="FF000000"/>
        <rFont val="Calibri"/>
        <family val="2"/>
        <charset val="1"/>
      </rPr>
      <t xml:space="preserve">L-</t>
    </r>
    <r>
      <rPr>
        <sz val="11"/>
        <color rgb="FF000000"/>
        <rFont val="Calibri"/>
        <family val="2"/>
      </rPr>
      <t xml:space="preserve">α</t>
    </r>
    <r>
      <rPr>
        <sz val="11"/>
        <color rgb="FF000000"/>
        <rFont val="Calibri"/>
        <family val="2"/>
        <charset val="1"/>
      </rPr>
      <t xml:space="preserve">1</t>
    </r>
  </si>
  <si>
    <t xml:space="preserve">Fe shield</t>
  </si>
  <si>
    <t xml:space="preserve">Peaks at or below background level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</si>
</sst>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vertAlign val="subscript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5B9BD5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339966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Voltage Bias against FWHM Kalpha1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'Op Bias V'!$A$3:$A$17</c:f>
              <c:numCache>
                <c:formatCode>General</c:formatCode>
                <c:ptCount val="14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350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'Op Bias V'!$D$3:$D$17</c:f>
              <c:numCache>
                <c:formatCode>General</c:formatCode>
                <c:ptCount val="14"/>
                <c:pt idx="0">
                  <c:v>23.79</c:v>
                </c:pt>
                <c:pt idx="1">
                  <c:v>23.81</c:v>
                </c:pt>
                <c:pt idx="2">
                  <c:v>23.2</c:v>
                </c:pt>
                <c:pt idx="3">
                  <c:v>23.6</c:v>
                </c:pt>
                <c:pt idx="4">
                  <c:v>22.12</c:v>
                </c:pt>
                <c:pt idx="5">
                  <c:v>22.71</c:v>
                </c:pt>
                <c:pt idx="6">
                  <c:v>17.66</c:v>
                </c:pt>
                <c:pt idx="7">
                  <c:v>17.73</c:v>
                </c:pt>
                <c:pt idx="8">
                  <c:v>18.21</c:v>
                </c:pt>
                <c:pt idx="9">
                  <c:v>18.04</c:v>
                </c:pt>
                <c:pt idx="10">
                  <c:v>18.3468</c:v>
                </c:pt>
                <c:pt idx="11">
                  <c:v>18.19</c:v>
                </c:pt>
                <c:pt idx="12">
                  <c:v>18.54</c:v>
                </c:pt>
                <c:pt idx="13">
                  <c:v>19.13</c:v>
                </c:pt>
              </c:numCache>
            </c:numRef>
          </c:yVal>
          <c:smooth val="1"/>
        </c:ser>
        <c:axId val="69093918"/>
        <c:axId val="32814569"/>
      </c:scatterChart>
      <c:valAx>
        <c:axId val="69093918"/>
        <c:scaling>
          <c:orientation val="minMax"/>
          <c:max val="500"/>
          <c:min val="2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Voltage Bias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814569"/>
        <c:crosses val="autoZero"/>
        <c:crossBetween val="midCat"/>
      </c:valAx>
      <c:valAx>
        <c:axId val="32814569"/>
        <c:scaling>
          <c:orientation val="minMax"/>
          <c:min val="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FWHM Kalpha1 (chn)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093918"/>
        <c:crosses val="autoZero"/>
        <c:crossBetween val="midCat"/>
        <c:majorUnit val="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533520</xdr:colOff>
      <xdr:row>18</xdr:row>
      <xdr:rowOff>71280</xdr:rowOff>
    </xdr:from>
    <xdr:to>
      <xdr:col>9</xdr:col>
      <xdr:colOff>256680</xdr:colOff>
      <xdr:row>32</xdr:row>
      <xdr:rowOff>146880</xdr:rowOff>
    </xdr:to>
    <xdr:graphicFrame>
      <xdr:nvGraphicFramePr>
        <xdr:cNvPr id="0" name="Chart 1"/>
        <xdr:cNvGraphicFramePr/>
      </xdr:nvGraphicFramePr>
      <xdr:xfrm>
        <a:off x="1371600" y="3309480"/>
        <a:ext cx="5863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" zeroHeight="false" outlineLevelRow="0" outlineLevelCol="0"/>
  <cols>
    <col collapsed="false" customWidth="true" hidden="false" outlineLevel="0" max="2" min="1" style="0" width="9.43"/>
    <col collapsed="false" customWidth="true" hidden="false" outlineLevel="0" max="3" min="3" style="0" width="8.43"/>
    <col collapsed="false" customWidth="true" hidden="false" outlineLevel="0" max="13" min="4" style="0" width="8.53"/>
    <col collapsed="false" customWidth="true" hidden="false" outlineLevel="0" max="14" min="14" style="1" width="9.14"/>
    <col collapsed="false" customWidth="true" hidden="false" outlineLevel="0" max="1025" min="15" style="0" width="8.53"/>
  </cols>
  <sheetData>
    <row r="1" customFormat="false" ht="1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 t="s">
        <v>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C1" s="4" t="s">
        <v>3</v>
      </c>
      <c r="AD1" s="4"/>
    </row>
    <row r="2" customFormat="false" ht="15" hidden="false" customHeight="false" outlineLevel="0" collapsed="false">
      <c r="A2" s="2"/>
      <c r="B2" s="5" t="s">
        <v>4</v>
      </c>
      <c r="C2" s="6" t="s">
        <v>5</v>
      </c>
      <c r="D2" s="7" t="s">
        <v>6</v>
      </c>
      <c r="E2" s="8" t="s">
        <v>7</v>
      </c>
      <c r="F2" s="6" t="s">
        <v>8</v>
      </c>
      <c r="G2" s="6" t="s">
        <v>9</v>
      </c>
      <c r="H2" s="6" t="s">
        <v>10</v>
      </c>
      <c r="I2" s="7" t="s">
        <v>11</v>
      </c>
      <c r="J2" s="8" t="s">
        <v>12</v>
      </c>
      <c r="K2" s="6" t="s">
        <v>13</v>
      </c>
      <c r="L2" s="6" t="s">
        <v>14</v>
      </c>
      <c r="M2" s="6" t="s">
        <v>15</v>
      </c>
      <c r="N2" s="7" t="s">
        <v>16</v>
      </c>
      <c r="O2" s="9" t="n">
        <v>43291.4</v>
      </c>
      <c r="P2" s="6" t="n">
        <v>43745.6</v>
      </c>
      <c r="Q2" s="7" t="n">
        <v>44482.9</v>
      </c>
      <c r="R2" s="8" t="n">
        <v>50035.5</v>
      </c>
      <c r="S2" s="6" t="n">
        <v>50233</v>
      </c>
      <c r="T2" s="6" t="n">
        <v>50389.1</v>
      </c>
      <c r="U2" s="6" t="n">
        <v>50722.7</v>
      </c>
      <c r="V2" s="7" t="n">
        <v>50757.8</v>
      </c>
      <c r="W2" s="8" t="n">
        <v>51600.7</v>
      </c>
      <c r="X2" s="6" t="n">
        <v>51678.3</v>
      </c>
      <c r="Y2" s="6" t="n">
        <v>51714</v>
      </c>
      <c r="Z2" s="6" t="n">
        <v>51837.5</v>
      </c>
      <c r="AA2" s="7" t="n">
        <v>51846.4</v>
      </c>
      <c r="AC2" s="10" t="s">
        <v>17</v>
      </c>
      <c r="AD2" s="1" t="n">
        <v>29</v>
      </c>
    </row>
    <row r="3" customFormat="false" ht="15" hidden="false" customHeight="false" outlineLevel="0" collapsed="false">
      <c r="A3" s="0" t="n">
        <v>200</v>
      </c>
      <c r="B3" s="11"/>
      <c r="C3" s="11"/>
      <c r="D3" s="0" t="n">
        <v>23.79</v>
      </c>
      <c r="E3" s="11"/>
      <c r="F3" s="11"/>
      <c r="G3" s="11"/>
      <c r="H3" s="11" t="n">
        <v>21.6154</v>
      </c>
      <c r="I3" s="12" t="n">
        <v>21.9154</v>
      </c>
      <c r="K3" s="11"/>
      <c r="L3" s="11"/>
      <c r="M3" s="11"/>
      <c r="O3" s="0" t="n">
        <f aca="false">O2-$O$2</f>
        <v>0</v>
      </c>
      <c r="P3" s="0" t="n">
        <f aca="false">P2-$O$2</f>
        <v>454.199999999997</v>
      </c>
      <c r="Q3" s="0" t="n">
        <f aca="false">Q2-$O$2</f>
        <v>1191.5</v>
      </c>
      <c r="R3" s="0" t="n">
        <f aca="false">R2-$O$2</f>
        <v>6744.1</v>
      </c>
      <c r="S3" s="0" t="n">
        <f aca="false">S2-$O$2</f>
        <v>6941.6</v>
      </c>
      <c r="T3" s="0" t="n">
        <f aca="false">T2-$O$2</f>
        <v>7097.7</v>
      </c>
      <c r="U3" s="0" t="n">
        <f aca="false">U2-$O$2</f>
        <v>7431.3</v>
      </c>
      <c r="V3" s="0" t="n">
        <f aca="false">V2-$O$2</f>
        <v>7466.4</v>
      </c>
      <c r="W3" s="0" t="n">
        <f aca="false">W2-$O$2</f>
        <v>8309.3</v>
      </c>
      <c r="X3" s="0" t="n">
        <f aca="false">X2-$O$2</f>
        <v>8386.9</v>
      </c>
      <c r="Y3" s="0" t="n">
        <f aca="false">Y2-$O$2</f>
        <v>8422.6</v>
      </c>
      <c r="Z3" s="0" t="n">
        <f aca="false">Z2-$O$2</f>
        <v>8546.1</v>
      </c>
      <c r="AA3" s="0" t="n">
        <f aca="false">AA2-$O$2</f>
        <v>8555</v>
      </c>
      <c r="AC3" s="10" t="s">
        <v>18</v>
      </c>
      <c r="AD3" s="1" t="n">
        <v>37</v>
      </c>
    </row>
    <row r="4" customFormat="false" ht="15" hidden="false" customHeight="false" outlineLevel="0" collapsed="false">
      <c r="A4" s="0" t="n">
        <v>220</v>
      </c>
      <c r="B4" s="11"/>
      <c r="C4" s="11"/>
      <c r="D4" s="0" t="n">
        <v>23.81</v>
      </c>
      <c r="E4" s="11"/>
      <c r="F4" s="11"/>
      <c r="G4" s="11"/>
      <c r="H4" s="11"/>
      <c r="I4" s="11"/>
      <c r="J4" s="11"/>
      <c r="K4" s="11"/>
      <c r="L4" s="11"/>
      <c r="M4" s="11"/>
      <c r="N4" s="13"/>
      <c r="O4" s="0" t="n">
        <f aca="false">O3/1000</f>
        <v>0</v>
      </c>
      <c r="P4" s="0" t="n">
        <f aca="false">P3/1000</f>
        <v>0.454199999999997</v>
      </c>
      <c r="Q4" s="0" t="n">
        <f aca="false">Q3/1000</f>
        <v>1.1915</v>
      </c>
      <c r="R4" s="0" t="n">
        <f aca="false">R3/1000</f>
        <v>6.7441</v>
      </c>
      <c r="S4" s="0" t="n">
        <f aca="false">S3/1000</f>
        <v>6.9416</v>
      </c>
      <c r="T4" s="0" t="n">
        <f aca="false">T3/1000</f>
        <v>7.0977</v>
      </c>
      <c r="U4" s="0" t="n">
        <f aca="false">U3/1000</f>
        <v>7.4313</v>
      </c>
      <c r="V4" s="0" t="n">
        <f aca="false">V3/1000</f>
        <v>7.4664</v>
      </c>
      <c r="W4" s="0" t="n">
        <f aca="false">W3/1000</f>
        <v>8.3093</v>
      </c>
      <c r="X4" s="0" t="n">
        <f aca="false">X3/1000</f>
        <v>8.3869</v>
      </c>
      <c r="Y4" s="0" t="n">
        <f aca="false">Y3/1000</f>
        <v>8.4226</v>
      </c>
      <c r="Z4" s="0" t="n">
        <f aca="false">Z3/1000</f>
        <v>8.5461</v>
      </c>
      <c r="AA4" s="0" t="n">
        <f aca="false">AA3/1000</f>
        <v>8.555</v>
      </c>
      <c r="AC4" s="10"/>
      <c r="AD4" s="1"/>
    </row>
    <row r="5" customFormat="false" ht="15" hidden="false" customHeight="false" outlineLevel="0" collapsed="false">
      <c r="A5" s="0" t="n">
        <v>240</v>
      </c>
      <c r="B5" s="11"/>
      <c r="C5" s="11"/>
      <c r="D5" s="0" t="n">
        <v>23.2</v>
      </c>
      <c r="E5" s="11"/>
      <c r="F5" s="11"/>
      <c r="G5" s="11"/>
      <c r="H5" s="11"/>
      <c r="I5" s="11"/>
      <c r="J5" s="11"/>
      <c r="K5" s="11"/>
      <c r="L5" s="11"/>
      <c r="M5" s="11"/>
      <c r="N5" s="13"/>
      <c r="AC5" s="10"/>
      <c r="AD5" s="1"/>
    </row>
    <row r="6" customFormat="false" ht="15" hidden="true" customHeight="false" outlineLevel="0" collapsed="false">
      <c r="A6" s="0" t="n">
        <v>250</v>
      </c>
      <c r="D6" s="0" t="n">
        <v>16.83</v>
      </c>
      <c r="AC6" s="10" t="s">
        <v>19</v>
      </c>
      <c r="AD6" s="1" t="n">
        <v>42</v>
      </c>
    </row>
    <row r="7" customFormat="false" ht="15" hidden="false" customHeight="false" outlineLevel="0" collapsed="false">
      <c r="A7" s="0" t="n">
        <v>260</v>
      </c>
      <c r="D7" s="0" t="n">
        <v>23.6</v>
      </c>
      <c r="AC7" s="10"/>
      <c r="AD7" s="1"/>
    </row>
    <row r="8" customFormat="false" ht="15" hidden="false" customHeight="false" outlineLevel="0" collapsed="false">
      <c r="A8" s="0" t="n">
        <v>280</v>
      </c>
      <c r="D8" s="0" t="n">
        <v>22.12</v>
      </c>
      <c r="AC8" s="10"/>
      <c r="AD8" s="1"/>
    </row>
    <row r="9" customFormat="false" ht="15" hidden="false" customHeight="false" outlineLevel="0" collapsed="false">
      <c r="A9" s="0" t="n">
        <v>300</v>
      </c>
      <c r="D9" s="0" t="n">
        <v>22.71</v>
      </c>
      <c r="S9" s="14"/>
      <c r="T9" s="14"/>
      <c r="U9" s="14"/>
      <c r="V9" s="14"/>
      <c r="AC9" s="10" t="s">
        <v>20</v>
      </c>
      <c r="AD9" s="1" t="n">
        <v>47</v>
      </c>
    </row>
    <row r="10" customFormat="false" ht="15" hidden="false" customHeight="false" outlineLevel="0" collapsed="false">
      <c r="A10" s="0" t="n">
        <v>320</v>
      </c>
      <c r="D10" s="0" t="n">
        <v>17.66</v>
      </c>
      <c r="S10" s="14"/>
      <c r="T10" s="14"/>
      <c r="U10" s="14"/>
      <c r="V10" s="14"/>
      <c r="AC10" s="10"/>
      <c r="AD10" s="1"/>
    </row>
    <row r="11" customFormat="false" ht="15" hidden="false" customHeight="false" outlineLevel="0" collapsed="false">
      <c r="A11" s="0" t="n">
        <v>340</v>
      </c>
      <c r="D11" s="0" t="n">
        <v>17.73</v>
      </c>
      <c r="S11" s="14"/>
      <c r="T11" s="14"/>
      <c r="U11" s="14"/>
      <c r="V11" s="14"/>
      <c r="AC11" s="10"/>
      <c r="AD11" s="1"/>
    </row>
    <row r="12" customFormat="false" ht="15" hidden="false" customHeight="false" outlineLevel="0" collapsed="false">
      <c r="A12" s="0" t="n">
        <v>350</v>
      </c>
      <c r="D12" s="0" t="n">
        <v>18.21</v>
      </c>
      <c r="S12" s="14"/>
      <c r="T12" s="14"/>
      <c r="U12" s="14"/>
      <c r="V12" s="14"/>
      <c r="AC12" s="10" t="s">
        <v>21</v>
      </c>
      <c r="AD12" s="1" t="n">
        <v>56</v>
      </c>
    </row>
    <row r="13" customFormat="false" ht="15" hidden="false" customHeight="false" outlineLevel="0" collapsed="false">
      <c r="A13" s="0" t="n">
        <v>360</v>
      </c>
      <c r="D13" s="0" t="n">
        <v>18.04</v>
      </c>
      <c r="S13" s="14"/>
      <c r="T13" s="14"/>
      <c r="U13" s="14"/>
      <c r="V13" s="14"/>
      <c r="AC13" s="10"/>
      <c r="AD13" s="1"/>
    </row>
    <row r="14" customFormat="false" ht="15" hidden="false" customHeight="false" outlineLevel="0" collapsed="false">
      <c r="A14" s="0" t="n">
        <v>380</v>
      </c>
      <c r="D14" s="11" t="n">
        <v>18.3468</v>
      </c>
      <c r="S14" s="14"/>
      <c r="T14" s="14"/>
      <c r="U14" s="14"/>
      <c r="V14" s="14"/>
      <c r="AC14" s="10"/>
      <c r="AD14" s="1"/>
    </row>
    <row r="15" customFormat="false" ht="15" hidden="false" customHeight="false" outlineLevel="0" collapsed="false">
      <c r="A15" s="0" t="n">
        <v>400</v>
      </c>
      <c r="D15" s="0" t="n">
        <v>18.19</v>
      </c>
      <c r="S15" s="14"/>
      <c r="T15" s="14"/>
      <c r="U15" s="14"/>
      <c r="V15" s="14"/>
      <c r="AC15" s="15" t="s">
        <v>22</v>
      </c>
      <c r="AD15" s="16" t="n">
        <v>65</v>
      </c>
    </row>
    <row r="16" customFormat="false" ht="15" hidden="false" customHeight="false" outlineLevel="0" collapsed="false">
      <c r="A16" s="0" t="n">
        <v>450</v>
      </c>
      <c r="D16" s="0" t="n">
        <v>18.54</v>
      </c>
      <c r="S16" s="14"/>
      <c r="T16" s="14"/>
      <c r="U16" s="14"/>
      <c r="V16" s="14"/>
    </row>
    <row r="17" customFormat="false" ht="15" hidden="false" customHeight="false" outlineLevel="0" collapsed="false">
      <c r="A17" s="0" t="n">
        <v>500</v>
      </c>
      <c r="D17" s="0" t="n">
        <v>19.13</v>
      </c>
      <c r="S17" s="14"/>
      <c r="T17" s="14"/>
      <c r="U17" s="14"/>
      <c r="V17" s="14"/>
    </row>
    <row r="18" customFormat="false" ht="15" hidden="false" customHeight="false" outlineLevel="0" collapsed="false">
      <c r="S18" s="14"/>
      <c r="T18" s="14"/>
      <c r="U18" s="14"/>
      <c r="V18" s="14"/>
    </row>
    <row r="19" customFormat="false" ht="15" hidden="false" customHeight="false" outlineLevel="0" collapsed="false">
      <c r="S19" s="14"/>
      <c r="T19" s="14"/>
      <c r="U19" s="14"/>
      <c r="V19" s="14"/>
    </row>
    <row r="20" customFormat="false" ht="15" hidden="false" customHeight="false" outlineLevel="0" collapsed="false">
      <c r="K20" s="0" t="s">
        <v>23</v>
      </c>
      <c r="L20" s="0" t="s">
        <v>24</v>
      </c>
      <c r="S20" s="14"/>
      <c r="T20" s="14"/>
      <c r="U20" s="14"/>
      <c r="V20" s="14"/>
    </row>
    <row r="21" customFormat="false" ht="15" hidden="false" customHeight="false" outlineLevel="0" collapsed="false">
      <c r="K21" s="0" t="n">
        <v>200</v>
      </c>
      <c r="L21" s="0" t="n">
        <v>23.79</v>
      </c>
      <c r="S21" s="14"/>
      <c r="T21" s="14"/>
      <c r="U21" s="14"/>
      <c r="V21" s="14"/>
    </row>
    <row r="22" customFormat="false" ht="15" hidden="false" customHeight="false" outlineLevel="0" collapsed="false">
      <c r="K22" s="0" t="n">
        <v>220</v>
      </c>
      <c r="L22" s="0" t="n">
        <v>23.81</v>
      </c>
      <c r="S22" s="14"/>
      <c r="T22" s="14"/>
      <c r="U22" s="14"/>
      <c r="V22" s="14"/>
    </row>
    <row r="23" customFormat="false" ht="15" hidden="false" customHeight="false" outlineLevel="0" collapsed="false">
      <c r="K23" s="0" t="n">
        <v>240</v>
      </c>
      <c r="L23" s="0" t="n">
        <v>23.2</v>
      </c>
      <c r="S23" s="14"/>
      <c r="T23" s="14"/>
      <c r="U23" s="14"/>
      <c r="V23" s="14"/>
    </row>
    <row r="24" customFormat="false" ht="15" hidden="false" customHeight="false" outlineLevel="0" collapsed="false">
      <c r="K24" s="0" t="n">
        <v>250</v>
      </c>
      <c r="L24" s="0" t="n">
        <v>16.83</v>
      </c>
      <c r="S24" s="14"/>
      <c r="T24" s="14"/>
      <c r="U24" s="14"/>
      <c r="V24" s="14"/>
    </row>
    <row r="25" customFormat="false" ht="15" hidden="false" customHeight="false" outlineLevel="0" collapsed="false">
      <c r="K25" s="0" t="n">
        <v>260</v>
      </c>
      <c r="L25" s="0" t="n">
        <v>23.6</v>
      </c>
      <c r="S25" s="14"/>
      <c r="T25" s="14"/>
      <c r="U25" s="14"/>
      <c r="V25" s="14"/>
    </row>
    <row r="26" customFormat="false" ht="15" hidden="false" customHeight="false" outlineLevel="0" collapsed="false">
      <c r="K26" s="0" t="n">
        <v>280</v>
      </c>
      <c r="L26" s="0" t="n">
        <v>22.12</v>
      </c>
      <c r="S26" s="14"/>
      <c r="T26" s="14"/>
      <c r="U26" s="14"/>
      <c r="V26" s="14"/>
    </row>
    <row r="27" customFormat="false" ht="15" hidden="false" customHeight="false" outlineLevel="0" collapsed="false">
      <c r="K27" s="0" t="n">
        <v>300</v>
      </c>
      <c r="L27" s="0" t="n">
        <v>22.71</v>
      </c>
    </row>
    <row r="28" customFormat="false" ht="15" hidden="false" customHeight="false" outlineLevel="0" collapsed="false">
      <c r="K28" s="0" t="n">
        <v>320</v>
      </c>
      <c r="L28" s="0" t="n">
        <v>17.66</v>
      </c>
    </row>
    <row r="29" customFormat="false" ht="15" hidden="false" customHeight="false" outlineLevel="0" collapsed="false">
      <c r="K29" s="0" t="n">
        <v>340</v>
      </c>
      <c r="L29" s="0" t="n">
        <v>17.73</v>
      </c>
    </row>
    <row r="30" customFormat="false" ht="15" hidden="false" customHeight="false" outlineLevel="0" collapsed="false">
      <c r="K30" s="0" t="n">
        <v>350</v>
      </c>
      <c r="L30" s="0" t="n">
        <v>18.21</v>
      </c>
    </row>
    <row r="31" customFormat="false" ht="15" hidden="false" customHeight="false" outlineLevel="0" collapsed="false">
      <c r="K31" s="0" t="n">
        <v>360</v>
      </c>
      <c r="L31" s="0" t="n">
        <v>18.04</v>
      </c>
    </row>
    <row r="32" customFormat="false" ht="15" hidden="false" customHeight="false" outlineLevel="0" collapsed="false">
      <c r="K32" s="0" t="n">
        <v>380</v>
      </c>
      <c r="L32" s="11" t="n">
        <v>18.3468</v>
      </c>
    </row>
    <row r="33" customFormat="false" ht="15" hidden="false" customHeight="false" outlineLevel="0" collapsed="false">
      <c r="K33" s="0" t="n">
        <v>400</v>
      </c>
      <c r="L33" s="0" t="n">
        <v>18.19</v>
      </c>
    </row>
    <row r="34" customFormat="false" ht="15" hidden="false" customHeight="false" outlineLevel="0" collapsed="false">
      <c r="K34" s="0" t="n">
        <v>450</v>
      </c>
      <c r="L34" s="0" t="n">
        <v>18.54</v>
      </c>
    </row>
    <row r="35" customFormat="false" ht="15" hidden="false" customHeight="false" outlineLevel="0" collapsed="false">
      <c r="K35" s="0" t="n">
        <v>500</v>
      </c>
      <c r="L35" s="0" t="n">
        <v>19.13</v>
      </c>
    </row>
  </sheetData>
  <mergeCells count="4">
    <mergeCell ref="A1:A2"/>
    <mergeCell ref="B1:N1"/>
    <mergeCell ref="O1:AA1"/>
    <mergeCell ref="AC1:A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4" activeCellId="0" sqref="J2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0" width="13.85"/>
    <col collapsed="false" customWidth="true" hidden="false" outlineLevel="0" max="4" min="4" style="0" width="12.28"/>
    <col collapsed="false" customWidth="true" hidden="false" outlineLevel="0" max="5" min="5" style="0" width="12.85"/>
    <col collapsed="false" customWidth="true" hidden="false" outlineLevel="0" max="6" min="6" style="0" width="13.14"/>
    <col collapsed="false" customWidth="true" hidden="false" outlineLevel="0" max="7" min="7" style="0" width="12.43"/>
    <col collapsed="false" customWidth="true" hidden="false" outlineLevel="0" max="8" min="8" style="0" width="13.85"/>
    <col collapsed="false" customWidth="true" hidden="false" outlineLevel="0" max="9" min="9" style="0" width="8.53"/>
    <col collapsed="false" customWidth="true" hidden="false" outlineLevel="0" max="10" min="10" style="0" width="23.57"/>
    <col collapsed="false" customWidth="true" hidden="false" outlineLevel="0" max="11" min="11" style="0" width="10"/>
    <col collapsed="false" customWidth="true" hidden="false" outlineLevel="0" max="12" min="12" style="0" width="10.14"/>
    <col collapsed="false" customWidth="true" hidden="false" outlineLevel="0" max="13" min="13" style="0" width="10.71"/>
    <col collapsed="false" customWidth="true" hidden="false" outlineLevel="0" max="14" min="14" style="0" width="12"/>
    <col collapsed="false" customWidth="true" hidden="false" outlineLevel="0" max="15" min="15" style="0" width="8.53"/>
    <col collapsed="false" customWidth="true" hidden="false" outlineLevel="0" max="16" min="16" style="0" width="12.28"/>
    <col collapsed="false" customWidth="true" hidden="false" outlineLevel="0" max="1025" min="17" style="0" width="8.53"/>
  </cols>
  <sheetData>
    <row r="1" customFormat="false" ht="15" hidden="false" customHeight="false" outlineLevel="0" collapsed="false">
      <c r="A1" s="0" t="s">
        <v>0</v>
      </c>
    </row>
    <row r="2" customFormat="false" ht="15.75" hidden="false" customHeight="false" outlineLevel="0" collapsed="false">
      <c r="A2" s="0" t="n">
        <v>320</v>
      </c>
    </row>
    <row r="3" customFormat="false" ht="13.8" hidden="false" customHeight="false" outlineLevel="0" collapsed="false">
      <c r="D3" s="17" t="s">
        <v>25</v>
      </c>
      <c r="E3" s="18" t="s">
        <v>26</v>
      </c>
      <c r="G3" s="19" t="n">
        <v>100</v>
      </c>
      <c r="H3" s="20" t="s">
        <v>27</v>
      </c>
    </row>
    <row r="4" customFormat="false" ht="18.75" hidden="false" customHeight="false" outlineLevel="0" collapsed="false">
      <c r="C4" s="21" t="s">
        <v>28</v>
      </c>
      <c r="D4" s="17" t="s">
        <v>5</v>
      </c>
      <c r="E4" s="17" t="s">
        <v>29</v>
      </c>
      <c r="F4" s="17" t="s">
        <v>10</v>
      </c>
      <c r="G4" s="17" t="s">
        <v>30</v>
      </c>
      <c r="H4" s="22" t="s">
        <v>5</v>
      </c>
      <c r="I4" s="23" t="s">
        <v>31</v>
      </c>
      <c r="J4" s="22" t="s">
        <v>32</v>
      </c>
      <c r="K4" s="24" t="s">
        <v>31</v>
      </c>
      <c r="L4" s="25" t="s">
        <v>10</v>
      </c>
      <c r="M4" s="24" t="s">
        <v>31</v>
      </c>
      <c r="N4" s="25" t="s">
        <v>29</v>
      </c>
      <c r="O4" s="23" t="s">
        <v>31</v>
      </c>
    </row>
    <row r="5" customFormat="false" ht="15.75" hidden="false" customHeight="false" outlineLevel="0" collapsed="false">
      <c r="C5" s="26" t="s">
        <v>22</v>
      </c>
      <c r="D5" s="27" t="n">
        <v>43.7456</v>
      </c>
      <c r="E5" s="27" t="n">
        <v>44.4829</v>
      </c>
      <c r="F5" s="0" t="n">
        <f aca="false">((50.384*9.44)+(50.228*4.88)+(50.738*0.156))/(9.44+4.88+0.156)</f>
        <v>50.3352257529704</v>
      </c>
      <c r="G5" s="27" t="n">
        <f aca="false">((51.698*3.15)+(51.84*0.04))/(3.15+0.04)</f>
        <v>51.6997805642633</v>
      </c>
      <c r="H5" s="28" t="n">
        <v>1424.11</v>
      </c>
      <c r="I5" s="29" t="n">
        <v>0.0825377</v>
      </c>
      <c r="J5" s="28" t="n">
        <v>1448.46</v>
      </c>
      <c r="K5" s="29" t="n">
        <v>0.0497004</v>
      </c>
      <c r="L5" s="28" t="n">
        <v>1638.28</v>
      </c>
      <c r="M5" s="29" t="n">
        <v>0.0590072</v>
      </c>
      <c r="N5" s="28" t="n">
        <v>1683.31</v>
      </c>
      <c r="O5" s="29" t="n">
        <v>0.131446</v>
      </c>
    </row>
    <row r="6" customFormat="false" ht="15.75" hidden="false" customHeight="false" outlineLevel="0" collapsed="false">
      <c r="C6" s="26" t="s">
        <v>17</v>
      </c>
      <c r="D6" s="27"/>
      <c r="E6" s="30" t="n">
        <v>8.04123155216285</v>
      </c>
      <c r="F6" s="27"/>
      <c r="G6" s="31" t="n">
        <v>8.90505599054041</v>
      </c>
      <c r="H6" s="26"/>
      <c r="I6" s="32"/>
      <c r="J6" s="28" t="n">
        <v>262.121</v>
      </c>
      <c r="K6" s="29" t="n">
        <v>0.0938686</v>
      </c>
      <c r="L6" s="26"/>
      <c r="M6" s="32"/>
      <c r="N6" s="28" t="n">
        <v>289.43</v>
      </c>
      <c r="O6" s="29" t="n">
        <v>0.225048</v>
      </c>
    </row>
    <row r="7" customFormat="false" ht="15.75" hidden="false" customHeight="false" outlineLevel="0" collapsed="false">
      <c r="C7" s="26" t="s">
        <v>18</v>
      </c>
      <c r="D7" s="27"/>
      <c r="E7" s="30" t="n">
        <v>13.3715632582322</v>
      </c>
      <c r="F7" s="27"/>
      <c r="G7" s="31" t="n">
        <v>14.9795604850309</v>
      </c>
      <c r="H7" s="26"/>
      <c r="I7" s="32"/>
      <c r="J7" s="33" t="n">
        <v>435.624</v>
      </c>
      <c r="K7" s="33" t="n">
        <v>0.0453297</v>
      </c>
      <c r="L7" s="26"/>
      <c r="M7" s="32"/>
      <c r="N7" s="34" t="n">
        <v>487.578</v>
      </c>
      <c r="O7" s="34" t="n">
        <v>0.101138</v>
      </c>
    </row>
    <row r="8" customFormat="false" ht="15.75" hidden="false" customHeight="false" outlineLevel="0" collapsed="false">
      <c r="C8" s="26" t="s">
        <v>20</v>
      </c>
      <c r="D8" s="27"/>
      <c r="E8" s="30" t="n">
        <v>22.1030143980745</v>
      </c>
      <c r="F8" s="27"/>
      <c r="G8" s="31" t="n">
        <v>25.0063372661005</v>
      </c>
      <c r="H8" s="26"/>
      <c r="I8" s="32"/>
      <c r="J8" s="33" t="n">
        <v>719.566</v>
      </c>
      <c r="K8" s="33" t="n">
        <v>0.0398775</v>
      </c>
      <c r="L8" s="26"/>
      <c r="M8" s="32"/>
      <c r="N8" s="34" t="n">
        <v>813.32</v>
      </c>
      <c r="O8" s="34" t="n">
        <v>0.104605</v>
      </c>
    </row>
    <row r="9" customFormat="false" ht="15.75" hidden="false" customHeight="false" outlineLevel="0" collapsed="false">
      <c r="C9" s="35" t="s">
        <v>21</v>
      </c>
      <c r="D9" s="36"/>
      <c r="E9" s="30" t="n">
        <v>32.0604836468136</v>
      </c>
      <c r="F9" s="37" t="n">
        <f aca="false">((36.378*8.63)+(36.304*4.47)+(36.652*0.1))/(8.63+4.47+0.1)</f>
        <v>36.3550166666667</v>
      </c>
      <c r="G9" s="31" t="n">
        <f aca="false">((37.255*2.73)+(37.349*0.023))/(2.73+0.023)</f>
        <v>37.2557853250999</v>
      </c>
      <c r="H9" s="35"/>
      <c r="I9" s="38"/>
      <c r="J9" s="33" t="n">
        <v>1043.28</v>
      </c>
      <c r="K9" s="33" t="n">
        <v>0.0588519</v>
      </c>
      <c r="L9" s="39" t="n">
        <v>1183.16</v>
      </c>
      <c r="M9" s="39" t="n">
        <v>0.104783</v>
      </c>
      <c r="N9" s="34" t="n">
        <v>1212.9</v>
      </c>
      <c r="O9" s="34" t="n">
        <v>0.242193</v>
      </c>
    </row>
    <row r="11" customFormat="false" ht="15.75" hidden="false" customHeight="false" outlineLevel="0" collapsed="false">
      <c r="H11" s="33"/>
      <c r="I11" s="40" t="s">
        <v>33</v>
      </c>
      <c r="J11" s="40" t="s">
        <v>34</v>
      </c>
      <c r="K11" s="30" t="n">
        <f aca="false">(8.048*0.26+8.028*0.133)/(0.26+0.133)</f>
        <v>8.04123155216285</v>
      </c>
    </row>
    <row r="12" customFormat="false" ht="15.75" hidden="false" customHeight="false" outlineLevel="0" collapsed="false">
      <c r="C12" s="41" t="s">
        <v>35</v>
      </c>
      <c r="D12" s="41" t="s">
        <v>36</v>
      </c>
      <c r="E12" s="41" t="s">
        <v>25</v>
      </c>
      <c r="F12" s="41" t="s">
        <v>37</v>
      </c>
      <c r="G12" s="41" t="s">
        <v>38</v>
      </c>
      <c r="H12" s="34"/>
      <c r="I12" s="35" t="n">
        <v>2</v>
      </c>
      <c r="J12" s="35" t="s">
        <v>39</v>
      </c>
      <c r="K12" s="31" t="n">
        <f aca="false">(8.905*0.031+8.905*0.0159+8.977*0.0000365)/(0.031+0.0159+0.0000365)</f>
        <v>8.90505599054041</v>
      </c>
    </row>
    <row r="13" customFormat="false" ht="15" hidden="false" customHeight="false" outlineLevel="0" collapsed="false">
      <c r="C13" s="41" t="s">
        <v>22</v>
      </c>
      <c r="D13" s="42" t="s">
        <v>5</v>
      </c>
      <c r="E13" s="41" t="n">
        <v>43.7456</v>
      </c>
      <c r="F13" s="43" t="n">
        <v>1424.11</v>
      </c>
      <c r="G13" s="43" t="n">
        <v>0.0825377</v>
      </c>
      <c r="I13" s="40" t="s">
        <v>40</v>
      </c>
      <c r="J13" s="40" t="s">
        <v>34</v>
      </c>
      <c r="K13" s="30" t="n">
        <f aca="false">(13.39*38+13.336*19.7)/(38+19.7)</f>
        <v>13.3715632582322</v>
      </c>
    </row>
    <row r="14" customFormat="false" ht="18.75" hidden="false" customHeight="false" outlineLevel="0" collapsed="false">
      <c r="C14" s="27"/>
      <c r="D14" s="44" t="s">
        <v>29</v>
      </c>
      <c r="E14" s="27" t="n">
        <v>44.4829</v>
      </c>
      <c r="F14" s="45" t="n">
        <v>1448.46</v>
      </c>
      <c r="G14" s="45" t="n">
        <v>0.0497004</v>
      </c>
      <c r="I14" s="35" t="n">
        <v>2</v>
      </c>
      <c r="J14" s="35" t="s">
        <v>39</v>
      </c>
      <c r="K14" s="31" t="n">
        <f aca="false">(14.961*5.39+15.185*0.85+14.952*2.78+15.089*0.0186)/(5.39+0.85+2.78+0.0186)</f>
        <v>14.9795604850309</v>
      </c>
    </row>
    <row r="15" customFormat="false" ht="15" hidden="false" customHeight="false" outlineLevel="0" collapsed="false">
      <c r="C15" s="27"/>
      <c r="D15" s="44" t="s">
        <v>10</v>
      </c>
      <c r="E15" s="27" t="n">
        <f aca="false">((50.384*9.44)+(50.228*4.88)+(50.738*0.156))/(9.44+4.88+0.156)</f>
        <v>50.3352257529704</v>
      </c>
      <c r="F15" s="45" t="n">
        <v>1638.28</v>
      </c>
      <c r="G15" s="45" t="n">
        <v>0.0590072</v>
      </c>
      <c r="I15" s="40" t="s">
        <v>41</v>
      </c>
      <c r="J15" s="40" t="s">
        <v>34</v>
      </c>
      <c r="K15" s="30" t="n">
        <f aca="false">(22.163*45.6+21.99*24.2+21.708*0.001)/(45.6+24.2+0.001)</f>
        <v>22.1030143980745</v>
      </c>
    </row>
    <row r="16" customFormat="false" ht="18.75" hidden="false" customHeight="false" outlineLevel="0" collapsed="false">
      <c r="C16" s="27"/>
      <c r="D16" s="44" t="s">
        <v>30</v>
      </c>
      <c r="E16" s="27" t="n">
        <f aca="false">((51.698*3.15)+(51.84*0.04))/(3.15+0.04)</f>
        <v>51.6997805642633</v>
      </c>
      <c r="F16" s="45" t="n">
        <v>1683.31</v>
      </c>
      <c r="G16" s="45" t="n">
        <v>0.131446</v>
      </c>
      <c r="I16" s="35" t="n">
        <v>2</v>
      </c>
      <c r="J16" s="35" t="s">
        <v>39</v>
      </c>
      <c r="K16" s="31" t="n">
        <f aca="false">(24.943*7.52+25.455*1.88+24.912*3.9+25.11*0.007)/(7.52+1.88+3.9+0.007)</f>
        <v>25.0063372661005</v>
      </c>
    </row>
    <row r="17" customFormat="false" ht="18" hidden="false" customHeight="false" outlineLevel="0" collapsed="false">
      <c r="C17" s="41" t="s">
        <v>17</v>
      </c>
      <c r="D17" s="42" t="s">
        <v>29</v>
      </c>
      <c r="E17" s="30" t="n">
        <f aca="false">(8.048*0.26+8.028*0.133)/(0.26+0.133)</f>
        <v>8.04123155216285</v>
      </c>
      <c r="F17" s="43" t="n">
        <v>262.121</v>
      </c>
      <c r="G17" s="43" t="n">
        <v>0.0938686</v>
      </c>
      <c r="I17" s="40" t="s">
        <v>42</v>
      </c>
      <c r="J17" s="40" t="s">
        <v>34</v>
      </c>
      <c r="K17" s="30" t="n">
        <f aca="false">((32.194*46.7)+(31.817*25.6)+(31.452*0.00334))/(46.7+25.6+0.00334)</f>
        <v>32.0604836468136</v>
      </c>
    </row>
    <row r="18" customFormat="false" ht="15.75" hidden="false" customHeight="false" outlineLevel="0" collapsed="false">
      <c r="C18" s="36"/>
      <c r="D18" s="46" t="s">
        <v>10</v>
      </c>
      <c r="E18" s="31" t="n">
        <f aca="false">(8.905*0.031+8.905*0.0159+8.977*0.0000365)/(0.031+0.0159+0.0000365)</f>
        <v>8.90505599054041</v>
      </c>
      <c r="F18" s="47" t="n">
        <v>289.43</v>
      </c>
      <c r="G18" s="47" t="n">
        <v>0.225048</v>
      </c>
      <c r="I18" s="26" t="n">
        <v>2</v>
      </c>
      <c r="J18" s="26" t="s">
        <v>43</v>
      </c>
      <c r="K18" s="37" t="n">
        <f aca="false">((36.378*8.63)+(36.304*4.47)+(36.652*0.1))/(8.63+4.47+0.1)</f>
        <v>36.3550166666667</v>
      </c>
    </row>
    <row r="19" customFormat="false" ht="18.75" hidden="false" customHeight="false" outlineLevel="0" collapsed="false">
      <c r="C19" s="41" t="s">
        <v>18</v>
      </c>
      <c r="D19" s="42" t="s">
        <v>29</v>
      </c>
      <c r="E19" s="30" t="n">
        <f aca="false">(13.39*38+13.336*19.7)/(38+19.7)</f>
        <v>13.3715632582322</v>
      </c>
      <c r="F19" s="43" t="n">
        <v>435.624</v>
      </c>
      <c r="G19" s="43" t="n">
        <v>0.0453297</v>
      </c>
      <c r="I19" s="35" t="n">
        <v>3</v>
      </c>
      <c r="J19" s="26" t="s">
        <v>44</v>
      </c>
      <c r="K19" s="31" t="n">
        <f aca="false">((37.255*2.73)+(37.349*0.023))/(2.73+0.023)</f>
        <v>37.2557853250999</v>
      </c>
    </row>
    <row r="20" customFormat="false" ht="15.75" hidden="false" customHeight="false" outlineLevel="0" collapsed="false">
      <c r="C20" s="36"/>
      <c r="D20" s="46" t="s">
        <v>10</v>
      </c>
      <c r="E20" s="31" t="n">
        <f aca="false">(14.961*5.39+15.185*0.85+14.952*2.78+15.089*0.0186)/(5.39+0.85+2.78+0.0186)</f>
        <v>14.9795604850309</v>
      </c>
      <c r="F20" s="47" t="n">
        <v>487.578</v>
      </c>
      <c r="G20" s="47" t="n">
        <v>0.101138</v>
      </c>
    </row>
    <row r="21" customFormat="false" ht="18" hidden="false" customHeight="false" outlineLevel="0" collapsed="false">
      <c r="C21" s="41" t="s">
        <v>20</v>
      </c>
      <c r="D21" s="42" t="s">
        <v>29</v>
      </c>
      <c r="E21" s="30" t="n">
        <f aca="false">(22.163*45.6+21.99*24.2+21.708*0.001)/(45.6+24.2+0.001)</f>
        <v>22.1030143980745</v>
      </c>
      <c r="F21" s="43" t="n">
        <v>719.566</v>
      </c>
      <c r="G21" s="43" t="n">
        <v>0.0398775</v>
      </c>
      <c r="I21" s="2" t="s">
        <v>45</v>
      </c>
      <c r="J21" s="2"/>
      <c r="K21" s="2"/>
      <c r="Q21" s="14"/>
    </row>
    <row r="22" customFormat="false" ht="15.75" hidden="false" customHeight="false" outlineLevel="0" collapsed="false">
      <c r="C22" s="36"/>
      <c r="D22" s="46" t="s">
        <v>10</v>
      </c>
      <c r="E22" s="31" t="n">
        <f aca="false">(24.943*7.52+25.455*1.88+24.912*3.9+25.11*0.007)/(7.52+1.88+3.9+0.007)</f>
        <v>25.0063372661005</v>
      </c>
      <c r="F22" s="47" t="n">
        <v>813.32</v>
      </c>
      <c r="G22" s="47" t="n">
        <v>0.104783</v>
      </c>
      <c r="I22" s="0" t="s">
        <v>46</v>
      </c>
      <c r="J22" s="0" t="n">
        <v>10570.3</v>
      </c>
      <c r="O22" s="14"/>
    </row>
    <row r="23" customFormat="false" ht="18.75" hidden="false" customHeight="false" outlineLevel="0" collapsed="false">
      <c r="C23" s="41" t="s">
        <v>21</v>
      </c>
      <c r="D23" s="42" t="s">
        <v>29</v>
      </c>
      <c r="E23" s="30" t="n">
        <f aca="false">((32.194*46.7)+(31.817*25.6)+(31.452*0.00334))/(46.7+25.6+0.00334)</f>
        <v>32.0604836468136</v>
      </c>
      <c r="F23" s="43" t="n">
        <v>1043.28</v>
      </c>
      <c r="G23" s="43" t="n">
        <v>0.0588519</v>
      </c>
      <c r="I23" s="0" t="s">
        <v>47</v>
      </c>
      <c r="J23" s="0" t="n">
        <v>11</v>
      </c>
      <c r="L23" s="40"/>
      <c r="M23" s="48" t="s">
        <v>48</v>
      </c>
      <c r="N23" s="49" t="s">
        <v>49</v>
      </c>
      <c r="O23" s="14"/>
    </row>
    <row r="24" customFormat="false" ht="15" hidden="false" customHeight="false" outlineLevel="0" collapsed="false">
      <c r="C24" s="27"/>
      <c r="D24" s="44" t="s">
        <v>10</v>
      </c>
      <c r="E24" s="37" t="n">
        <f aca="false">((36.378*8.63)+(36.304*4.47)+(36.652*0.1))/(8.63+4.47+0.1)</f>
        <v>36.3550166666667</v>
      </c>
      <c r="F24" s="45" t="n">
        <v>1183.16</v>
      </c>
      <c r="G24" s="45" t="n">
        <v>0.104783</v>
      </c>
      <c r="I24" s="0" t="s">
        <v>50</v>
      </c>
      <c r="J24" s="0" t="n">
        <v>0.159092</v>
      </c>
      <c r="K24" s="0" t="n">
        <v>0.0448559</v>
      </c>
      <c r="L24" s="43" t="s">
        <v>51</v>
      </c>
      <c r="M24" s="39" t="n">
        <v>8.04123155216285</v>
      </c>
      <c r="N24" s="50" t="n">
        <f aca="false">J24+J25*M24</f>
        <v>261.843282155725</v>
      </c>
      <c r="O24" s="14"/>
    </row>
    <row r="25" customFormat="false" ht="18.75" hidden="false" customHeight="false" outlineLevel="0" collapsed="false">
      <c r="C25" s="36"/>
      <c r="D25" s="46" t="s">
        <v>30</v>
      </c>
      <c r="E25" s="31" t="n">
        <f aca="false">((37.255*2.73)+(37.349*0.023))/(2.73+0.023)</f>
        <v>37.2557853250999</v>
      </c>
      <c r="F25" s="47" t="n">
        <v>1212.9</v>
      </c>
      <c r="G25" s="47" t="n">
        <v>0.242193</v>
      </c>
      <c r="I25" s="0" t="s">
        <v>52</v>
      </c>
      <c r="J25" s="0" t="n">
        <v>32.5428</v>
      </c>
      <c r="K25" s="0" t="n">
        <v>0.00137945</v>
      </c>
      <c r="L25" s="47" t="s">
        <v>53</v>
      </c>
      <c r="M25" s="34" t="n">
        <v>500</v>
      </c>
      <c r="N25" s="51" t="n">
        <f aca="false">(M25-J24)/J25</f>
        <v>15.3594929754047</v>
      </c>
      <c r="O25" s="14"/>
    </row>
    <row r="26" customFormat="false" ht="15" hidden="false" customHeight="false" outlineLevel="0" collapsed="false">
      <c r="N26" s="14"/>
      <c r="O26" s="14"/>
      <c r="P26" s="14"/>
      <c r="Q26" s="14"/>
    </row>
    <row r="27" customFormat="false" ht="15" hidden="false" customHeight="false" outlineLevel="0" collapsed="false">
      <c r="N27" s="14"/>
      <c r="O27" s="14"/>
      <c r="P27" s="14"/>
      <c r="Q27" s="14"/>
    </row>
    <row r="28" customFormat="false" ht="15" hidden="false" customHeight="false" outlineLevel="0" collapsed="false">
      <c r="N28" s="14"/>
      <c r="O28" s="14"/>
      <c r="P28" s="14"/>
      <c r="Q28" s="14"/>
    </row>
    <row r="29" customFormat="false" ht="15" hidden="false" customHeight="false" outlineLevel="0" collapsed="false">
      <c r="J29" s="0" t="n">
        <f aca="false">2/29+1/60</f>
        <v>0.085632183908046</v>
      </c>
      <c r="N29" s="14"/>
      <c r="O29" s="14"/>
      <c r="P29" s="14"/>
      <c r="Q29" s="14"/>
    </row>
    <row r="30" customFormat="false" ht="15" hidden="false" customHeight="false" outlineLevel="0" collapsed="false">
      <c r="J30" s="0" t="n">
        <f aca="false">(1-COS(PI()/2))/29+1/60</f>
        <v>0.0511494252873563</v>
      </c>
      <c r="N30" s="14"/>
      <c r="O30" s="14"/>
      <c r="P30" s="14"/>
      <c r="Q30" s="14"/>
    </row>
  </sheetData>
  <mergeCells count="1">
    <mergeCell ref="I21:K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13.8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5.29"/>
    <col collapsed="false" customWidth="true" hidden="false" outlineLevel="0" max="3" min="3" style="0" width="6.28"/>
    <col collapsed="false" customWidth="true" hidden="false" outlineLevel="0" max="4" min="4" style="0" width="12.01"/>
    <col collapsed="false" customWidth="true" hidden="false" outlineLevel="0" max="5" min="5" style="0" width="10.14"/>
    <col collapsed="false" customWidth="true" hidden="false" outlineLevel="0" max="6" min="6" style="0" width="8.53"/>
    <col collapsed="false" customWidth="true" hidden="false" outlineLevel="0" max="7" min="7" style="0" width="10.47"/>
    <col collapsed="false" customWidth="true" hidden="false" outlineLevel="0" max="9" min="8" style="0" width="9.7"/>
    <col collapsed="false" customWidth="true" hidden="false" outlineLevel="0" max="10" min="10" style="0" width="10.57"/>
    <col collapsed="false" customWidth="true" hidden="false" outlineLevel="0" max="11" min="11" style="0" width="11"/>
    <col collapsed="false" customWidth="true" hidden="false" outlineLevel="0" max="12" min="12" style="0" width="9.92"/>
    <col collapsed="false" customWidth="true" hidden="false" outlineLevel="0" max="13" min="13" style="0" width="10.36"/>
    <col collapsed="false" customWidth="true" hidden="false" outlineLevel="0" max="18" min="14" style="0" width="12.85"/>
    <col collapsed="false" customWidth="true" hidden="false" outlineLevel="0" max="19" min="19" style="0" width="26.57"/>
    <col collapsed="false" customWidth="true" hidden="false" outlineLevel="0" max="20" min="20" style="0" width="3"/>
    <col collapsed="false" customWidth="true" hidden="false" outlineLevel="0" max="21" min="21" style="0" width="14.43"/>
    <col collapsed="false" customWidth="true" hidden="false" outlineLevel="0" max="22" min="22" style="0" width="9.28"/>
    <col collapsed="false" customWidth="true" hidden="false" outlineLevel="0" max="1025" min="23" style="0" width="8.53"/>
  </cols>
  <sheetData>
    <row r="1" customFormat="false" ht="41.75" hidden="false" customHeight="false" outlineLevel="0" collapsed="false">
      <c r="A1" s="41" t="s">
        <v>54</v>
      </c>
      <c r="B1" s="52" t="s">
        <v>55</v>
      </c>
      <c r="C1" s="41" t="s">
        <v>36</v>
      </c>
      <c r="D1" s="41" t="s">
        <v>25</v>
      </c>
      <c r="E1" s="41" t="s">
        <v>37</v>
      </c>
      <c r="F1" s="41" t="s">
        <v>38</v>
      </c>
      <c r="G1" s="53" t="s">
        <v>56</v>
      </c>
      <c r="H1" s="53" t="s">
        <v>57</v>
      </c>
      <c r="I1" s="54" t="s">
        <v>58</v>
      </c>
      <c r="J1" s="20" t="s">
        <v>59</v>
      </c>
      <c r="K1" s="55" t="s">
        <v>60</v>
      </c>
      <c r="L1" s="55" t="s">
        <v>31</v>
      </c>
    </row>
    <row r="2" customFormat="false" ht="13.8" hidden="false" customHeight="false" outlineLevel="0" collapsed="false">
      <c r="A2" s="41" t="n">
        <v>65</v>
      </c>
      <c r="B2" s="41" t="s">
        <v>22</v>
      </c>
      <c r="C2" s="42" t="s">
        <v>5</v>
      </c>
      <c r="D2" s="41" t="n">
        <v>43.7456</v>
      </c>
      <c r="E2" s="43" t="n">
        <v>1424.11</v>
      </c>
      <c r="F2" s="43" t="n">
        <v>0.0825377</v>
      </c>
      <c r="G2" s="41" t="n">
        <f aca="false">(E2-$E$19)/$E$20</f>
        <v>43.7562504762958</v>
      </c>
      <c r="H2" s="41" t="n">
        <f aca="false">SQRT((F2/$E$20)^2+(-$F$19/$E$20)^2+(-$F$20*(E2-$E$19)/($E$20^2))^2)</f>
        <v>0.00343115232392947</v>
      </c>
      <c r="I2" s="43" t="n">
        <f aca="false">(G2*1.6E-016)/$G$17</f>
        <v>1.05595777921679E+019</v>
      </c>
      <c r="J2" s="56" t="n">
        <f aca="false">(H2*1.6E-016)/$G$17</f>
        <v>828030726740144</v>
      </c>
      <c r="K2" s="40" t="n">
        <f aca="false">SQRT(I2)</f>
        <v>3249550398.4656</v>
      </c>
      <c r="L2" s="43" t="n">
        <f aca="false">0.5*(1/SQRT(I2))*J2</f>
        <v>127406.96791949</v>
      </c>
      <c r="Q2" s="14" t="n">
        <f aca="false">25000000/L2</f>
        <v>196.221607092933</v>
      </c>
      <c r="S2" s="0" t="s">
        <v>61</v>
      </c>
      <c r="T2" s="0" t="s">
        <v>62</v>
      </c>
      <c r="U2" s="0" t="s">
        <v>63</v>
      </c>
      <c r="V2" s="0" t="s">
        <v>59</v>
      </c>
    </row>
    <row r="3" customFormat="false" ht="13.8" hidden="false" customHeight="false" outlineLevel="0" collapsed="false">
      <c r="A3" s="27"/>
      <c r="B3" s="27"/>
      <c r="C3" s="44" t="s">
        <v>6</v>
      </c>
      <c r="D3" s="27" t="n">
        <v>44.4829</v>
      </c>
      <c r="E3" s="45" t="n">
        <v>1448.46</v>
      </c>
      <c r="F3" s="45" t="n">
        <v>0.0497004</v>
      </c>
      <c r="G3" s="27" t="n">
        <f aca="false">(E3-$E$19)/$E$20</f>
        <v>44.5044958639085</v>
      </c>
      <c r="H3" s="27" t="n">
        <f aca="false">SQRT((F3/$E$20)^2+(-$F$19/$E$20)^2+(-$F$20*(E3-$E$19)/($E$20^2))^2)</f>
        <v>0.00279126894101074</v>
      </c>
      <c r="I3" s="45" t="n">
        <f aca="false">(G3*1.6E-016)/$G$17</f>
        <v>1.07401498314108E+019</v>
      </c>
      <c r="J3" s="28" t="n">
        <f aca="false">(H3*1.6E-016)/$G$17</f>
        <v>673609397528987</v>
      </c>
      <c r="K3" s="26" t="n">
        <f aca="false">SQRT(I3)</f>
        <v>3277216781.26589</v>
      </c>
      <c r="L3" s="45" t="n">
        <f aca="false">0.5*(1/SQRT(I3))*J3</f>
        <v>102771.565399587</v>
      </c>
      <c r="Q3" s="14" t="n">
        <f aca="false">Q2*F2</f>
        <v>16.1956801397543</v>
      </c>
      <c r="R3" s="57" t="s">
        <v>5</v>
      </c>
      <c r="S3" s="41" t="n">
        <v>43.7562504762958</v>
      </c>
      <c r="T3" s="41" t="n">
        <v>65</v>
      </c>
      <c r="U3" s="40" t="n">
        <v>3249550398.4656</v>
      </c>
      <c r="V3" s="43" t="n">
        <v>127406.96791949</v>
      </c>
      <c r="X3" s="0" t="s">
        <v>46</v>
      </c>
      <c r="Y3" s="0" t="n">
        <v>35233.6</v>
      </c>
    </row>
    <row r="4" customFormat="false" ht="13.8" hidden="false" customHeight="false" outlineLevel="0" collapsed="false">
      <c r="A4" s="27"/>
      <c r="B4" s="27"/>
      <c r="C4" s="44" t="s">
        <v>10</v>
      </c>
      <c r="D4" s="27" t="n">
        <f aca="false">((50.384*9.44)+(50.228*4.88)+(50.738*0.156))/(9.44+4.88+0.156)</f>
        <v>50.3352257529704</v>
      </c>
      <c r="E4" s="45" t="n">
        <v>1638.28</v>
      </c>
      <c r="F4" s="45" t="n">
        <v>0.0590072</v>
      </c>
      <c r="G4" s="27" t="n">
        <f aca="false">(E4-$E$19)/$E$20</f>
        <v>50.3374297233182</v>
      </c>
      <c r="H4" s="27" t="n">
        <f aca="false">SQRT((F4/$E$20)^2+(-$F$19/$E$20)^2+(-$F$20*(E4-$E$19)/($E$20^2))^2)</f>
        <v>0.00312097948328242</v>
      </c>
      <c r="I4" s="45" t="n">
        <f aca="false">(G4*1.6E-016)/$G$17</f>
        <v>1.21477960116605E+019</v>
      </c>
      <c r="J4" s="28" t="n">
        <f aca="false">(H4*1.6E-016)/$G$17</f>
        <v>753177552526678</v>
      </c>
      <c r="K4" s="26" t="n">
        <f aca="false">SQRT(I4)</f>
        <v>3485368848.72469</v>
      </c>
      <c r="L4" s="45" t="n">
        <f aca="false">0.5*(1/SQRT(I4))*J4</f>
        <v>108048.471369432</v>
      </c>
      <c r="R4" s="58" t="s">
        <v>6</v>
      </c>
      <c r="S4" s="27" t="n">
        <v>44.5044958639085</v>
      </c>
      <c r="T4" s="27" t="n">
        <v>65</v>
      </c>
      <c r="U4" s="26" t="n">
        <v>3277216781.26589</v>
      </c>
      <c r="V4" s="45" t="n">
        <v>102771.565399587</v>
      </c>
      <c r="X4" s="0" t="s">
        <v>47</v>
      </c>
      <c r="Y4" s="0" t="n">
        <v>3</v>
      </c>
    </row>
    <row r="5" customFormat="false" ht="17.15" hidden="false" customHeight="false" outlineLevel="0" collapsed="false">
      <c r="A5" s="36"/>
      <c r="B5" s="27"/>
      <c r="C5" s="44" t="s">
        <v>11</v>
      </c>
      <c r="D5" s="27" t="n">
        <f aca="false">((51.698*3.15)+(51.84*0.04))/(3.15+0.04)</f>
        <v>51.6997805642633</v>
      </c>
      <c r="E5" s="45" t="n">
        <v>1683.31</v>
      </c>
      <c r="F5" s="45" t="n">
        <v>0.131446</v>
      </c>
      <c r="G5" s="36" t="n">
        <f aca="false">(E5-$E$19)/$E$20</f>
        <v>51.7211459370429</v>
      </c>
      <c r="H5" s="36" t="n">
        <f aca="false">SQRT((F5/$E$20)^2+(-$F$19/$E$20)^2+(-$F$20*(E5-$E$19)/($E$20^2))^2)</f>
        <v>0.00479806385893033</v>
      </c>
      <c r="I5" s="47" t="n">
        <f aca="false">(G5*1.6E-016)/$G$17</f>
        <v>1.24817245096936E+019</v>
      </c>
      <c r="J5" s="59" t="n">
        <f aca="false">(H5*1.6E-016)/$G$17</f>
        <v>1157903797026930</v>
      </c>
      <c r="K5" s="35" t="n">
        <f aca="false">SQRT(I5)</f>
        <v>3532948415.94009</v>
      </c>
      <c r="L5" s="47" t="n">
        <f aca="false">0.5*(1/SQRT(I5))*J5</f>
        <v>163872.162950732</v>
      </c>
      <c r="R5" s="57" t="s">
        <v>64</v>
      </c>
      <c r="S5" s="41" t="n">
        <v>8.0497654780781</v>
      </c>
      <c r="T5" s="0" t="n">
        <v>29</v>
      </c>
      <c r="U5" s="40" t="n">
        <v>1393781966.33187</v>
      </c>
      <c r="V5" s="43" t="n">
        <v>278334.933077665</v>
      </c>
      <c r="X5" s="0" t="s">
        <v>50</v>
      </c>
      <c r="Y5" s="14" t="n">
        <v>-160172000</v>
      </c>
      <c r="Z5" s="0" t="n">
        <v>272156</v>
      </c>
    </row>
    <row r="6" customFormat="false" ht="17.15" hidden="false" customHeight="false" outlineLevel="0" collapsed="false">
      <c r="A6" s="41" t="n">
        <v>29</v>
      </c>
      <c r="B6" s="41" t="s">
        <v>17</v>
      </c>
      <c r="C6" s="42" t="s">
        <v>64</v>
      </c>
      <c r="D6" s="30" t="n">
        <f aca="false">(8.048*0.26+8.028*0.133)/(0.26+0.133)</f>
        <v>8.04123155216285</v>
      </c>
      <c r="E6" s="43" t="n">
        <v>262.121</v>
      </c>
      <c r="F6" s="43" t="n">
        <v>0.0938686</v>
      </c>
      <c r="G6" s="41" t="n">
        <f aca="false">(E6-$E$19)/$E$20</f>
        <v>8.0497654780781</v>
      </c>
      <c r="H6" s="41" t="n">
        <f aca="false">SQRT((F6/$E$20)^2+(-$F$19/$E$20)^2+(-$F$20*(E6-$E$19)/($E$20^2))^2)</f>
        <v>0.00321503791805881</v>
      </c>
      <c r="I6" s="43" t="n">
        <f aca="false">(G6*1.6E-016)/$G$17</f>
        <v>1.94262816967194E+018</v>
      </c>
      <c r="J6" s="56" t="n">
        <f aca="false">(H6*1.6E-016)/$G$17</f>
        <v>775876420647677</v>
      </c>
      <c r="K6" s="40" t="n">
        <f aca="false">SQRT(I6)</f>
        <v>1393781966.33187</v>
      </c>
      <c r="L6" s="43" t="n">
        <f aca="false">0.5*(1/SQRT(I6))*J6</f>
        <v>278334.933077665</v>
      </c>
      <c r="R6" s="57" t="s">
        <v>29</v>
      </c>
      <c r="S6" s="41" t="n">
        <v>13.381298105879</v>
      </c>
      <c r="T6" s="41" t="n">
        <v>37</v>
      </c>
      <c r="U6" s="40" t="n">
        <v>1797017680.60451</v>
      </c>
      <c r="V6" s="43" t="n">
        <v>136983.545633592</v>
      </c>
      <c r="X6" s="0" t="s">
        <v>52</v>
      </c>
      <c r="Y6" s="14" t="n">
        <v>52730100</v>
      </c>
      <c r="Z6" s="0" t="n">
        <v>5122.1</v>
      </c>
    </row>
    <row r="7" customFormat="false" ht="17.15" hidden="false" customHeight="false" outlineLevel="0" collapsed="false">
      <c r="A7" s="36"/>
      <c r="B7" s="36"/>
      <c r="C7" s="46" t="s">
        <v>65</v>
      </c>
      <c r="D7" s="31" t="n">
        <f aca="false">(8.905*0.031+8.905*0.0159+8.977*0.0000365)/(0.031+0.0159+0.0000365)</f>
        <v>8.90505599054041</v>
      </c>
      <c r="E7" s="47" t="n">
        <v>289.43</v>
      </c>
      <c r="F7" s="47" t="n">
        <v>0.225048</v>
      </c>
      <c r="G7" s="36" t="n">
        <f aca="false">(E7-$E$19)/$E$20</f>
        <v>8.88893727644825</v>
      </c>
      <c r="H7" s="36" t="n">
        <f aca="false">SQRT((F7/$E$20)^2+(-$F$19/$E$20)^2+(-$F$20*(E7-$E$19)/($E$20^2))^2)</f>
        <v>0.00706153446465112</v>
      </c>
      <c r="I7" s="47" t="n">
        <f aca="false">(G7*1.6E-016)/$G$17</f>
        <v>2.14514323413532E+018</v>
      </c>
      <c r="J7" s="59" t="n">
        <f aca="false">(H7*1.6E-016)/$G$17</f>
        <v>1704141047276290</v>
      </c>
      <c r="K7" s="35" t="n">
        <f aca="false">SQRT(I7)</f>
        <v>1464630750.09892</v>
      </c>
      <c r="L7" s="47" t="n">
        <f aca="false">0.5*(1/SQRT(I7))*J7</f>
        <v>581764.737344615</v>
      </c>
      <c r="R7" s="57" t="s">
        <v>29</v>
      </c>
      <c r="S7" s="41" t="n">
        <v>22.1064846294726</v>
      </c>
      <c r="T7" s="41" t="n">
        <v>47</v>
      </c>
      <c r="U7" s="40" t="n">
        <v>2309739866.62057</v>
      </c>
      <c r="V7" s="43" t="n">
        <v>108071.942203627</v>
      </c>
    </row>
    <row r="8" customFormat="false" ht="17.15" hidden="false" customHeight="false" outlineLevel="0" collapsed="false">
      <c r="A8" s="41" t="n">
        <v>37</v>
      </c>
      <c r="B8" s="41" t="s">
        <v>18</v>
      </c>
      <c r="C8" s="42" t="s">
        <v>64</v>
      </c>
      <c r="D8" s="30" t="n">
        <f aca="false">(13.39*38+13.336*19.7)/(38+19.7)</f>
        <v>13.3715632582322</v>
      </c>
      <c r="E8" s="43" t="n">
        <v>435.624</v>
      </c>
      <c r="F8" s="43" t="n">
        <v>0.0453297</v>
      </c>
      <c r="G8" s="41" t="n">
        <f aca="false">(E8-$E$19)/$E$20</f>
        <v>13.381298105879</v>
      </c>
      <c r="H8" s="41" t="n">
        <f aca="false">SQRT((F8/$E$20)^2+(-$F$19/$E$20)^2+(-$F$20*(E8-$E$19)/($E$20^2))^2)</f>
        <v>0.00204006636051212</v>
      </c>
      <c r="I8" s="43" t="n">
        <f aca="false">(G8*1.6E-016)/$G$17</f>
        <v>3.2292725444052E+018</v>
      </c>
      <c r="J8" s="56" t="n">
        <f aca="false">(H8*1.6E-016)/$G$17</f>
        <v>492323706910918</v>
      </c>
      <c r="K8" s="40" t="n">
        <f aca="false">SQRT(I8)</f>
        <v>1797017680.60451</v>
      </c>
      <c r="L8" s="43" t="n">
        <f aca="false">0.5*(1/SQRT(I8))*J8</f>
        <v>136983.545633592</v>
      </c>
      <c r="R8" s="57" t="s">
        <v>29</v>
      </c>
      <c r="S8" s="41" t="n">
        <v>32.0538155290878</v>
      </c>
      <c r="T8" s="41" t="n">
        <v>56</v>
      </c>
      <c r="U8" s="40" t="n">
        <v>2781269631.15184</v>
      </c>
      <c r="V8" s="43" t="n">
        <v>114919.457804718</v>
      </c>
    </row>
    <row r="9" customFormat="false" ht="17.15" hidden="false" customHeight="false" outlineLevel="0" collapsed="false">
      <c r="A9" s="36"/>
      <c r="B9" s="36"/>
      <c r="C9" s="46" t="s">
        <v>65</v>
      </c>
      <c r="D9" s="31" t="n">
        <f aca="false">(14.961*5.39+15.185*0.85+14.952*2.78+15.089*0.0186)/(5.39+0.85+2.78+0.0186)</f>
        <v>14.9795604850309</v>
      </c>
      <c r="E9" s="47" t="n">
        <v>487.578</v>
      </c>
      <c r="F9" s="47" t="n">
        <v>0.101138</v>
      </c>
      <c r="G9" s="36" t="n">
        <f aca="false">(E9-$E$19)/$E$20</f>
        <v>14.9777802770505</v>
      </c>
      <c r="H9" s="36" t="n">
        <f aca="false">SQRT((F9/$E$20)^2+(-$F$19/$E$20)^2+(-$F$20*(E9-$E$19)/($E$20^2))^2)</f>
        <v>0.00345856672501288</v>
      </c>
      <c r="I9" s="47" t="n">
        <f aca="false">(G9*1.6E-016)/$G$17</f>
        <v>3.61454727651295E+018</v>
      </c>
      <c r="J9" s="59" t="n">
        <f aca="false">(H9*1.6E-016)/$G$17</f>
        <v>834646570138855</v>
      </c>
      <c r="K9" s="35" t="n">
        <f aca="false">SQRT(I9)</f>
        <v>1901196275.11547</v>
      </c>
      <c r="L9" s="47" t="n">
        <f aca="false">0.5*(1/SQRT(I9))*J9</f>
        <v>219505.629445903</v>
      </c>
    </row>
    <row r="10" customFormat="false" ht="17.15" hidden="false" customHeight="false" outlineLevel="0" collapsed="false">
      <c r="A10" s="41" t="n">
        <v>47</v>
      </c>
      <c r="B10" s="41" t="s">
        <v>20</v>
      </c>
      <c r="C10" s="42" t="s">
        <v>64</v>
      </c>
      <c r="D10" s="30" t="n">
        <f aca="false">(22.163*45.6+21.99*24.2+21.708*0.001)/(45.6+24.2+0.001)</f>
        <v>22.1030143980745</v>
      </c>
      <c r="E10" s="43" t="n">
        <v>719.566</v>
      </c>
      <c r="F10" s="43" t="n">
        <v>0.0398775</v>
      </c>
      <c r="G10" s="41" t="n">
        <f aca="false">(E10-$E$19)/$E$20</f>
        <v>22.1064846294726</v>
      </c>
      <c r="H10" s="41" t="n">
        <f aca="false">SQRT((F10/$E$20)^2+(-$F$19/$E$20)^2+(-$F$20*(E10-$E$19)/($E$20^2))^2)</f>
        <v>0.00206870978306076</v>
      </c>
      <c r="I10" s="43" t="n">
        <f aca="false">(G10*1.6E-016)/$G$17</f>
        <v>5.33489825145643E+018</v>
      </c>
      <c r="J10" s="56" t="n">
        <f aca="false">(H10*1.6E-016)/$G$17</f>
        <v>499236146741662</v>
      </c>
      <c r="K10" s="40" t="n">
        <f aca="false">SQRT(I10)</f>
        <v>2309739866.62057</v>
      </c>
      <c r="L10" s="43" t="n">
        <f aca="false">0.5*(1/SQRT(I10))*J10</f>
        <v>108071.942203627</v>
      </c>
      <c r="S10" s="0" t="s">
        <v>66</v>
      </c>
      <c r="T10" s="0" t="s">
        <v>62</v>
      </c>
      <c r="U10" s="0" t="s">
        <v>63</v>
      </c>
      <c r="V10" s="0" t="s">
        <v>59</v>
      </c>
    </row>
    <row r="11" customFormat="false" ht="17.15" hidden="false" customHeight="false" outlineLevel="0" collapsed="false">
      <c r="A11" s="36"/>
      <c r="B11" s="36"/>
      <c r="C11" s="46" t="s">
        <v>65</v>
      </c>
      <c r="D11" s="31" t="n">
        <f aca="false">(24.943*7.52+25.455*1.88+24.912*3.9+25.11*0.007)/(7.52+1.88+3.9+0.007)</f>
        <v>25.0063372661005</v>
      </c>
      <c r="E11" s="47" t="n">
        <v>813.32</v>
      </c>
      <c r="F11" s="47" t="n">
        <v>0.104783</v>
      </c>
      <c r="G11" s="36" t="n">
        <f aca="false">(E11-$E$19)/$E$20</f>
        <v>24.987429108743</v>
      </c>
      <c r="H11" s="36" t="n">
        <f aca="false">SQRT((F11/$E$20)^2+(-$F$19/$E$20)^2+(-$F$20*(E11-$E$19)/($E$20^2))^2)</f>
        <v>0.00365912799993505</v>
      </c>
      <c r="I11" s="47" t="n">
        <f aca="false">(G11*1.6E-016)/$G$17</f>
        <v>6.03014880452319E+018</v>
      </c>
      <c r="J11" s="59" t="n">
        <f aca="false">(H11*1.6E-016)/$G$17</f>
        <v>883047481130630</v>
      </c>
      <c r="K11" s="35" t="n">
        <f aca="false">SQRT(I11)</f>
        <v>2455636130.318</v>
      </c>
      <c r="L11" s="47" t="n">
        <f aca="false">0.5*(1/SQRT(I11))*J11</f>
        <v>179800.1483665</v>
      </c>
      <c r="R11" s="44" t="s">
        <v>10</v>
      </c>
      <c r="S11" s="27" t="n">
        <v>50.3374297233182</v>
      </c>
      <c r="T11" s="41" t="n">
        <v>65</v>
      </c>
      <c r="U11" s="26" t="n">
        <v>3485368848.72469</v>
      </c>
      <c r="V11" s="45" t="n">
        <v>108048.471369432</v>
      </c>
    </row>
    <row r="12" customFormat="false" ht="17.15" hidden="false" customHeight="false" outlineLevel="0" collapsed="false">
      <c r="A12" s="27" t="n">
        <v>56</v>
      </c>
      <c r="B12" s="41" t="s">
        <v>21</v>
      </c>
      <c r="C12" s="42" t="s">
        <v>64</v>
      </c>
      <c r="D12" s="30" t="n">
        <f aca="false">((32.194*46.7)+(31.817*25.6)+(31.452*0.00334))/(46.7+25.6+0.00334)</f>
        <v>32.0604836468136</v>
      </c>
      <c r="E12" s="43" t="n">
        <v>1043.28</v>
      </c>
      <c r="F12" s="43" t="n">
        <v>0.0588519</v>
      </c>
      <c r="G12" s="41" t="n">
        <f aca="false">(E12-$E$19)/$E$20</f>
        <v>32.0538155290878</v>
      </c>
      <c r="H12" s="41" t="n">
        <f aca="false">SQRT((F12/$E$20)^2+(-$F$19/$E$20)^2+(-$F$20*(E12-$E$19)/($E$20^2))^2)</f>
        <v>0.00264886730859654</v>
      </c>
      <c r="I12" s="43" t="n">
        <f aca="false">(G12*1.6E-016)/$G$17</f>
        <v>7.73546076116751E+018</v>
      </c>
      <c r="J12" s="56" t="n">
        <f aca="false">(H12*1.6E-016)/$G$17</f>
        <v>639243996041398</v>
      </c>
      <c r="K12" s="40" t="n">
        <f aca="false">SQRT(I12)</f>
        <v>2781269631.15184</v>
      </c>
      <c r="L12" s="43" t="n">
        <f aca="false">0.5*(1/SQRT(I12))*J12</f>
        <v>114919.457804718</v>
      </c>
      <c r="R12" s="46" t="s">
        <v>10</v>
      </c>
      <c r="S12" s="36" t="n">
        <v>8.88893727644825</v>
      </c>
      <c r="T12" s="27" t="n">
        <v>65</v>
      </c>
      <c r="U12" s="35" t="n">
        <v>1464630750.09892</v>
      </c>
      <c r="V12" s="47" t="n">
        <v>581764.737344615</v>
      </c>
    </row>
    <row r="13" customFormat="false" ht="17.15" hidden="false" customHeight="false" outlineLevel="0" collapsed="false">
      <c r="A13" s="27"/>
      <c r="B13" s="27"/>
      <c r="C13" s="44" t="s">
        <v>67</v>
      </c>
      <c r="D13" s="37" t="n">
        <f aca="false">((36.378*8.63)+(36.304*4.47)+(36.652*0.1))/(8.63+4.47+0.1)</f>
        <v>36.3550166666667</v>
      </c>
      <c r="E13" s="45" t="n">
        <v>1183.16</v>
      </c>
      <c r="F13" s="45" t="n">
        <v>0.104783</v>
      </c>
      <c r="G13" s="27" t="n">
        <f aca="false">(E13-$E$19)/$E$20</f>
        <v>36.3521549467163</v>
      </c>
      <c r="H13" s="27" t="n">
        <f aca="false">SQRT((F13/$E$20)^2+(-$F$19/$E$20)^2+(-$F$20*(E13-$E$19)/($E$20^2))^2)</f>
        <v>0.00382645885447555</v>
      </c>
      <c r="I13" s="45" t="n">
        <f aca="false">(G13*1.6E-016)/$G$17</f>
        <v>8.77276740795568E+018</v>
      </c>
      <c r="J13" s="28" t="n">
        <f aca="false">(H13*1.6E-016)/$G$17</f>
        <v>923428984488820</v>
      </c>
      <c r="K13" s="26" t="n">
        <f aca="false">SQRT(I13)</f>
        <v>2961885785.77157</v>
      </c>
      <c r="L13" s="45" t="n">
        <f aca="false">0.5*(1/SQRT(I13))*J13</f>
        <v>155885.312817399</v>
      </c>
      <c r="R13" s="46" t="s">
        <v>10</v>
      </c>
      <c r="S13" s="36" t="n">
        <v>14.9777802770505</v>
      </c>
      <c r="T13" s="0" t="n">
        <v>29</v>
      </c>
      <c r="U13" s="35" t="n">
        <v>1901196275.11547</v>
      </c>
      <c r="V13" s="47" t="n">
        <v>219505.629445903</v>
      </c>
    </row>
    <row r="14" customFormat="false" ht="17.15" hidden="false" customHeight="false" outlineLevel="0" collapsed="false">
      <c r="A14" s="36"/>
      <c r="B14" s="36"/>
      <c r="C14" s="46" t="s">
        <v>68</v>
      </c>
      <c r="D14" s="31" t="n">
        <f aca="false">((37.255*2.73)+(37.349*0.023))/(2.73+0.023)</f>
        <v>37.2557853250999</v>
      </c>
      <c r="E14" s="47" t="n">
        <v>1212.9</v>
      </c>
      <c r="F14" s="47" t="n">
        <v>0.242193</v>
      </c>
      <c r="G14" s="36" t="n">
        <f aca="false">(E14-$E$19)/$E$20</f>
        <v>37.2660283687943</v>
      </c>
      <c r="H14" s="36" t="n">
        <f aca="false">SQRT((F14/$E$20)^2+(-$F$19/$E$20)^2+(-$F$20*(E14-$E$19)/($E$20^2))^2)</f>
        <v>0.00773194197122511</v>
      </c>
      <c r="I14" s="47" t="n">
        <f aca="false">(G14*1.6E-016)/$G$17</f>
        <v>8.99331001358536E+018</v>
      </c>
      <c r="J14" s="59" t="n">
        <f aca="false">(H14*1.6E-016)/$G$17</f>
        <v>1865928680838640</v>
      </c>
      <c r="K14" s="35" t="n">
        <f aca="false">SQRT(I14)</f>
        <v>2998884794.98386</v>
      </c>
      <c r="L14" s="47" t="n">
        <f aca="false">0.5*(1/SQRT(I14))*J14</f>
        <v>311103.761631611</v>
      </c>
      <c r="R14" s="46" t="s">
        <v>10</v>
      </c>
      <c r="S14" s="36" t="n">
        <v>24.987429108743</v>
      </c>
      <c r="T14" s="41" t="n">
        <v>37</v>
      </c>
      <c r="U14" s="35" t="n">
        <v>2455636130.318</v>
      </c>
      <c r="V14" s="47" t="n">
        <v>179800.1483665</v>
      </c>
    </row>
    <row r="15" customFormat="false" ht="13.8" hidden="false" customHeight="false" outlineLevel="0" collapsed="false">
      <c r="I15" s="0" t="s">
        <v>69</v>
      </c>
      <c r="R15" s="44" t="s">
        <v>10</v>
      </c>
      <c r="S15" s="27" t="n">
        <v>36.3521549467163</v>
      </c>
      <c r="T15" s="41" t="n">
        <v>47</v>
      </c>
      <c r="U15" s="26" t="n">
        <v>2961885785.77157</v>
      </c>
      <c r="V15" s="45" t="n">
        <v>155885.312817399</v>
      </c>
    </row>
    <row r="16" customFormat="false" ht="13.8" hidden="false" customHeight="false" outlineLevel="0" collapsed="false">
      <c r="D16" s="60" t="s">
        <v>45</v>
      </c>
      <c r="E16" s="60"/>
      <c r="F16" s="60"/>
      <c r="G16" s="0" t="s">
        <v>70</v>
      </c>
    </row>
    <row r="17" customFormat="false" ht="13.8" hidden="false" customHeight="false" outlineLevel="0" collapsed="false">
      <c r="D17" s="41" t="s">
        <v>46</v>
      </c>
      <c r="E17" s="61" t="n">
        <v>10570.3</v>
      </c>
      <c r="F17" s="62"/>
      <c r="G17" s="14" t="n">
        <f aca="false">6.63E-034</f>
        <v>6.63E-034</v>
      </c>
    </row>
    <row r="18" customFormat="false" ht="13.8" hidden="false" customHeight="false" outlineLevel="0" collapsed="false">
      <c r="D18" s="27" t="s">
        <v>47</v>
      </c>
      <c r="E18" s="63" t="n">
        <v>11</v>
      </c>
      <c r="F18" s="32"/>
    </row>
    <row r="19" customFormat="false" ht="13.8" hidden="false" customHeight="false" outlineLevel="0" collapsed="false">
      <c r="D19" s="19" t="s">
        <v>71</v>
      </c>
      <c r="E19" s="48" t="n">
        <v>0.159092</v>
      </c>
      <c r="F19" s="49" t="n">
        <v>0.0448559</v>
      </c>
    </row>
    <row r="20" customFormat="false" ht="13.8" hidden="false" customHeight="false" outlineLevel="0" collapsed="false">
      <c r="D20" s="36" t="s">
        <v>72</v>
      </c>
      <c r="E20" s="35" t="n">
        <v>32.5428</v>
      </c>
      <c r="F20" s="38" t="n">
        <v>0.00137945</v>
      </c>
    </row>
  </sheetData>
  <mergeCells count="1">
    <mergeCell ref="D16:F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3.8" zeroHeight="false" outlineLevelRow="0" outlineLevelCol="0"/>
  <cols>
    <col collapsed="false" customWidth="true" hidden="false" outlineLevel="0" max="1" min="1" style="0" width="20.71"/>
    <col collapsed="false" customWidth="true" hidden="false" outlineLevel="0" max="11" min="2" style="0" width="8.53"/>
    <col collapsed="false" customWidth="true" hidden="false" outlineLevel="0" max="12" min="12" style="0" width="12.23"/>
    <col collapsed="false" customWidth="true" hidden="false" outlineLevel="0" max="13" min="13" style="0" width="10.69"/>
    <col collapsed="false" customWidth="true" hidden="false" outlineLevel="0" max="1025" min="14" style="0" width="8.53"/>
  </cols>
  <sheetData>
    <row r="1" customFormat="false" ht="15.75" hidden="false" customHeight="false" outlineLevel="0" collapsed="false">
      <c r="A1" s="0" t="s">
        <v>73</v>
      </c>
      <c r="B1" s="48" t="s">
        <v>74</v>
      </c>
      <c r="C1" s="64" t="s">
        <v>75</v>
      </c>
      <c r="D1" s="64" t="s">
        <v>17</v>
      </c>
      <c r="E1" s="49" t="s">
        <v>76</v>
      </c>
    </row>
    <row r="2" customFormat="false" ht="15" hidden="false" customHeight="false" outlineLevel="0" collapsed="false">
      <c r="A2" s="41" t="s">
        <v>62</v>
      </c>
      <c r="B2" s="40" t="n">
        <v>26</v>
      </c>
      <c r="C2" s="61" t="n">
        <v>28</v>
      </c>
      <c r="D2" s="61" t="n">
        <v>29</v>
      </c>
      <c r="E2" s="62" t="n">
        <v>40</v>
      </c>
    </row>
    <row r="3" customFormat="false" ht="15.75" hidden="false" customHeight="false" outlineLevel="0" collapsed="false">
      <c r="A3" s="36" t="s">
        <v>77</v>
      </c>
      <c r="B3" s="35" t="n">
        <v>23.16</v>
      </c>
      <c r="C3" s="65" t="n">
        <v>20.82</v>
      </c>
      <c r="D3" s="65" t="n">
        <v>20.34</v>
      </c>
      <c r="E3" s="38" t="n">
        <v>19.56</v>
      </c>
    </row>
    <row r="4" customFormat="false" ht="13.8" hidden="false" customHeight="false" outlineLevel="0" collapsed="false">
      <c r="A4" s="66" t="s">
        <v>78</v>
      </c>
      <c r="B4" s="67" t="n">
        <v>9</v>
      </c>
      <c r="C4" s="68" t="n">
        <v>15</v>
      </c>
      <c r="D4" s="69" t="n">
        <v>5</v>
      </c>
      <c r="J4" s="17" t="s">
        <v>79</v>
      </c>
      <c r="Q4" s="17" t="s">
        <v>80</v>
      </c>
      <c r="R4" s="0" t="s">
        <v>81</v>
      </c>
    </row>
    <row r="5" customFormat="false" ht="13.8" hidden="false" customHeight="false" outlineLevel="0" collapsed="false">
      <c r="A5" s="70" t="s">
        <v>82</v>
      </c>
      <c r="J5" s="0" t="n">
        <v>1</v>
      </c>
      <c r="K5" s="0" t="s">
        <v>83</v>
      </c>
      <c r="L5" s="14" t="n">
        <v>262.002</v>
      </c>
      <c r="M5" s="14" t="n">
        <v>0.0399707</v>
      </c>
      <c r="N5" s="14" t="n">
        <v>4.30299E-006</v>
      </c>
      <c r="O5" s="14" t="n">
        <v>-0.0168491</v>
      </c>
      <c r="Q5" s="0" t="s">
        <v>84</v>
      </c>
      <c r="R5" s="0" t="s">
        <v>85</v>
      </c>
      <c r="S5" s="0" t="s">
        <v>86</v>
      </c>
      <c r="T5" s="0" t="s">
        <v>87</v>
      </c>
      <c r="U5" s="0" t="s">
        <v>88</v>
      </c>
      <c r="V5" s="0" t="s">
        <v>89</v>
      </c>
    </row>
    <row r="6" customFormat="false" ht="15" hidden="false" customHeight="false" outlineLevel="0" collapsed="false">
      <c r="A6" s="71" t="s">
        <v>90</v>
      </c>
      <c r="B6" s="72" t="n">
        <v>7.112</v>
      </c>
      <c r="C6" s="73" t="n">
        <v>8.339</v>
      </c>
      <c r="D6" s="73" t="n">
        <v>8.993</v>
      </c>
      <c r="E6" s="74" t="n">
        <v>17.997</v>
      </c>
      <c r="F6" s="63"/>
      <c r="J6" s="0" t="n">
        <v>2</v>
      </c>
      <c r="K6" s="0" t="s">
        <v>91</v>
      </c>
      <c r="L6" s="14" t="n">
        <v>13.3199</v>
      </c>
      <c r="M6" s="14" t="n">
        <v>0.0833442</v>
      </c>
      <c r="N6" s="14" t="n">
        <v>1.30959E-005</v>
      </c>
      <c r="O6" s="14" t="n">
        <v>0.00200143</v>
      </c>
      <c r="Q6" s="0" t="n">
        <v>1</v>
      </c>
      <c r="R6" s="0" t="s">
        <v>92</v>
      </c>
      <c r="S6" s="14" t="n">
        <v>262.077</v>
      </c>
      <c r="T6" s="14" t="n">
        <v>0.0610326</v>
      </c>
      <c r="U6" s="14" t="n">
        <v>7.51959E-006</v>
      </c>
      <c r="V6" s="14" t="n">
        <v>-0.00121077</v>
      </c>
    </row>
    <row r="7" customFormat="false" ht="15" hidden="false" customHeight="false" outlineLevel="0" collapsed="false">
      <c r="A7" s="75" t="s">
        <v>93</v>
      </c>
      <c r="B7" s="76" t="n">
        <v>7.059</v>
      </c>
      <c r="C7" s="77" t="n">
        <v>8.267</v>
      </c>
      <c r="D7" s="77" t="n">
        <v>8.904</v>
      </c>
      <c r="E7" s="78" t="n">
        <v>17.668</v>
      </c>
      <c r="F7" s="63"/>
      <c r="J7" s="0" t="n">
        <v>3</v>
      </c>
      <c r="K7" s="0" t="s">
        <v>94</v>
      </c>
      <c r="L7" s="14" t="n">
        <v>68159.1</v>
      </c>
      <c r="M7" s="14" t="n">
        <v>435.224</v>
      </c>
      <c r="N7" s="14" t="n">
        <v>2.44632E-005</v>
      </c>
      <c r="O7" s="14" t="n">
        <v>-0.00362844</v>
      </c>
      <c r="Q7" s="0" t="n">
        <v>2</v>
      </c>
      <c r="R7" s="0" t="s">
        <v>95</v>
      </c>
      <c r="S7" s="14" t="n">
        <v>13.8207</v>
      </c>
      <c r="T7" s="14" t="n">
        <v>0.139764</v>
      </c>
      <c r="U7" s="14" t="n">
        <v>2.17969E-005</v>
      </c>
      <c r="V7" s="14" t="n">
        <v>-0.00140425</v>
      </c>
    </row>
    <row r="8" customFormat="false" ht="15" hidden="false" customHeight="false" outlineLevel="0" collapsed="false">
      <c r="A8" s="75" t="s">
        <v>96</v>
      </c>
      <c r="B8" s="76" t="n">
        <v>6.404</v>
      </c>
      <c r="C8" s="77" t="n">
        <v>7.48</v>
      </c>
      <c r="D8" s="77" t="n">
        <v>8.046</v>
      </c>
      <c r="E8" s="78" t="n">
        <v>15.775</v>
      </c>
      <c r="F8" s="63"/>
      <c r="J8" s="0" t="n">
        <v>4</v>
      </c>
      <c r="K8" s="0" t="s">
        <v>97</v>
      </c>
      <c r="L8" s="14" t="n">
        <v>282.619</v>
      </c>
      <c r="M8" s="14" t="n">
        <v>0.0447815</v>
      </c>
      <c r="N8" s="14" t="n">
        <v>4.74413E-006</v>
      </c>
      <c r="O8" s="14" t="n">
        <v>0.0216811</v>
      </c>
      <c r="Q8" s="0" t="n">
        <v>3</v>
      </c>
      <c r="R8" s="0" t="s">
        <v>98</v>
      </c>
      <c r="S8" s="14" t="n">
        <v>16663.5</v>
      </c>
      <c r="T8" s="14" t="n">
        <v>167.356</v>
      </c>
      <c r="U8" s="14" t="n">
        <v>4.81222E-005</v>
      </c>
      <c r="V8" s="14" t="n">
        <v>-0.000805108</v>
      </c>
    </row>
    <row r="9" customFormat="false" ht="15" hidden="false" customHeight="false" outlineLevel="0" collapsed="false">
      <c r="A9" s="75" t="s">
        <v>99</v>
      </c>
      <c r="B9" s="76" t="n">
        <v>0.846</v>
      </c>
      <c r="C9" s="77" t="n">
        <v>1.016</v>
      </c>
      <c r="D9" s="77" t="n">
        <v>1.109</v>
      </c>
      <c r="E9" s="78" t="n">
        <v>2.535</v>
      </c>
      <c r="F9" s="63"/>
      <c r="J9" s="0" t="n">
        <v>5</v>
      </c>
      <c r="K9" s="0" t="s">
        <v>100</v>
      </c>
      <c r="L9" s="14" t="n">
        <v>16.3429</v>
      </c>
      <c r="M9" s="14" t="n">
        <v>0.102298</v>
      </c>
      <c r="N9" s="14" t="n">
        <v>1.35663E-005</v>
      </c>
      <c r="O9" s="14" t="n">
        <v>-0.00844005</v>
      </c>
      <c r="Q9" s="0" t="n">
        <v>4</v>
      </c>
      <c r="R9" s="0" t="s">
        <v>101</v>
      </c>
      <c r="S9" s="14" t="n">
        <v>559.339</v>
      </c>
      <c r="T9" s="14" t="n">
        <v>16.2938</v>
      </c>
      <c r="U9" s="14" t="n">
        <v>0.00930608</v>
      </c>
      <c r="V9" s="14" t="n">
        <v>-5.29024E-006</v>
      </c>
    </row>
    <row r="10" customFormat="false" ht="15" hidden="false" customHeight="false" outlineLevel="0" collapsed="false">
      <c r="A10" s="75" t="s">
        <v>102</v>
      </c>
      <c r="B10" s="79" t="n">
        <v>0.718</v>
      </c>
      <c r="C10" s="77" t="n">
        <v>0.866</v>
      </c>
      <c r="D10" s="77" t="n">
        <v>0.947</v>
      </c>
      <c r="E10" s="78" t="n">
        <v>2.126</v>
      </c>
      <c r="F10" s="63"/>
      <c r="J10" s="0" t="n">
        <v>6</v>
      </c>
      <c r="K10" s="0" t="s">
        <v>103</v>
      </c>
      <c r="L10" s="14" t="n">
        <v>80700.1</v>
      </c>
      <c r="M10" s="14" t="n">
        <v>476.341</v>
      </c>
      <c r="N10" s="14" t="n">
        <v>2.53719E-005</v>
      </c>
      <c r="O10" s="14" t="n">
        <v>-0.00225622</v>
      </c>
      <c r="Q10" s="0" t="n">
        <v>5</v>
      </c>
      <c r="R10" s="0" t="s">
        <v>104</v>
      </c>
      <c r="S10" s="14" t="n">
        <v>-1.34956</v>
      </c>
      <c r="T10" s="14" t="n">
        <v>0.058853</v>
      </c>
      <c r="U10" s="14" t="n">
        <v>3.39234E-005</v>
      </c>
      <c r="V10" s="14" t="n">
        <v>-0.00143232</v>
      </c>
    </row>
    <row r="11" customFormat="false" ht="15" hidden="false" customHeight="false" outlineLevel="0" collapsed="false">
      <c r="A11" s="80" t="s">
        <v>105</v>
      </c>
      <c r="B11" s="81" t="n">
        <v>0.705</v>
      </c>
      <c r="C11" s="82" t="n">
        <v>0.849</v>
      </c>
      <c r="D11" s="82" t="n">
        <v>0.928</v>
      </c>
      <c r="E11" s="83" t="n">
        <v>2.044</v>
      </c>
      <c r="F11" s="63"/>
      <c r="J11" s="0" t="n">
        <v>7</v>
      </c>
      <c r="K11" s="0" t="s">
        <v>106</v>
      </c>
      <c r="L11" s="14" t="n">
        <v>311.597</v>
      </c>
      <c r="M11" s="14" t="n">
        <v>0.21646</v>
      </c>
      <c r="N11" s="14" t="n">
        <v>3.9679E-005</v>
      </c>
      <c r="O11" s="14" t="n">
        <v>0.00107594</v>
      </c>
    </row>
    <row r="12" customFormat="false" ht="13.8" hidden="false" customHeight="false" outlineLevel="0" collapsed="false">
      <c r="A12" s="70" t="s">
        <v>82</v>
      </c>
      <c r="J12" s="0" t="n">
        <v>8</v>
      </c>
      <c r="K12" s="0" t="s">
        <v>107</v>
      </c>
      <c r="L12" s="14" t="n">
        <v>13.3618</v>
      </c>
      <c r="M12" s="14" t="n">
        <v>0.95816</v>
      </c>
      <c r="N12" s="14" t="n">
        <v>8.49594E-005</v>
      </c>
      <c r="O12" s="14" t="n">
        <v>-0.000242419</v>
      </c>
    </row>
    <row r="13" customFormat="false" ht="13.8" hidden="false" customHeight="false" outlineLevel="0" collapsed="false">
      <c r="A13" s="84" t="s">
        <v>90</v>
      </c>
      <c r="B13" s="84" t="n">
        <f aca="false">32.5428*B6+0.159092</f>
        <v>231.6034856</v>
      </c>
      <c r="C13" s="85" t="n">
        <f aca="false">32.5428*C6+0.159092</f>
        <v>271.5335012</v>
      </c>
      <c r="D13" s="85" t="n">
        <f aca="false">32.5428*D6+0.159092</f>
        <v>292.8164924</v>
      </c>
      <c r="E13" s="86" t="n">
        <f aca="false">32.5428*E6+0.159092</f>
        <v>585.8318636</v>
      </c>
      <c r="F13" s="63"/>
      <c r="J13" s="0" t="n">
        <v>9</v>
      </c>
      <c r="K13" s="0" t="s">
        <v>108</v>
      </c>
      <c r="L13" s="14" t="n">
        <v>4229.44</v>
      </c>
      <c r="M13" s="14" t="n">
        <v>399.928</v>
      </c>
      <c r="N13" s="14" t="n">
        <v>2.86488E-005</v>
      </c>
      <c r="O13" s="14" t="n">
        <v>0.000657721</v>
      </c>
      <c r="Q13" s="17" t="s">
        <v>109</v>
      </c>
    </row>
    <row r="14" customFormat="false" ht="15" hidden="false" customHeight="false" outlineLevel="0" collapsed="false">
      <c r="A14" s="87" t="s">
        <v>96</v>
      </c>
      <c r="B14" s="87" t="n">
        <f aca="false">32.5428*B7+0.159092</f>
        <v>229.8787172</v>
      </c>
      <c r="C14" s="63" t="n">
        <f aca="false">32.5428*C7+0.159092</f>
        <v>269.1904196</v>
      </c>
      <c r="D14" s="63" t="n">
        <f aca="false">32.5428*D7+0.159092</f>
        <v>289.9201832</v>
      </c>
      <c r="E14" s="88" t="n">
        <f aca="false">32.5428*E7+0.159092</f>
        <v>575.1252824</v>
      </c>
      <c r="F14" s="63"/>
      <c r="J14" s="0" t="n">
        <v>10</v>
      </c>
      <c r="K14" s="0" t="s">
        <v>101</v>
      </c>
      <c r="L14" s="14" t="n">
        <v>1247.61</v>
      </c>
      <c r="M14" s="14" t="n">
        <v>39.9923</v>
      </c>
      <c r="N14" s="14" t="n">
        <v>0.0215138</v>
      </c>
      <c r="O14" s="14" t="n">
        <v>-8.41977E-007</v>
      </c>
      <c r="Q14" s="0" t="n">
        <v>1</v>
      </c>
      <c r="R14" s="0" t="s">
        <v>83</v>
      </c>
      <c r="S14" s="14" t="n">
        <v>261.452</v>
      </c>
      <c r="T14" s="14" t="n">
        <v>0.281153</v>
      </c>
      <c r="U14" s="14" t="n">
        <v>5.29074E-006</v>
      </c>
      <c r="V14" s="14" t="n">
        <v>0.0119968</v>
      </c>
    </row>
    <row r="15" customFormat="false" ht="13.8" hidden="false" customHeight="false" outlineLevel="0" collapsed="false">
      <c r="A15" s="87" t="s">
        <v>93</v>
      </c>
      <c r="B15" s="87" t="n">
        <f aca="false">32.5428*B8+0.159092</f>
        <v>208.5631832</v>
      </c>
      <c r="C15" s="63" t="n">
        <f aca="false">32.5428*C8+0.159092</f>
        <v>243.579236</v>
      </c>
      <c r="D15" s="63" t="n">
        <f aca="false">32.5428*D8+0.159092</f>
        <v>261.9984608</v>
      </c>
      <c r="E15" s="88" t="n">
        <f aca="false">32.5428*E8+0.159092</f>
        <v>513.521762</v>
      </c>
      <c r="F15" s="63"/>
      <c r="J15" s="0" t="n">
        <v>11</v>
      </c>
      <c r="K15" s="0" t="s">
        <v>104</v>
      </c>
      <c r="L15" s="14" t="n">
        <v>-3.04622</v>
      </c>
      <c r="M15" s="14" t="n">
        <v>0.16613</v>
      </c>
      <c r="N15" s="14" t="n">
        <v>7.68828E-005</v>
      </c>
      <c r="O15" s="14" t="n">
        <v>-0.000241095</v>
      </c>
      <c r="Q15" s="0" t="n">
        <v>2</v>
      </c>
      <c r="R15" s="0" t="s">
        <v>91</v>
      </c>
      <c r="S15" s="14" t="n">
        <v>11.5398</v>
      </c>
      <c r="T15" s="14" t="n">
        <v>0.636329</v>
      </c>
      <c r="U15" s="14" t="n">
        <v>-3.55056E-006</v>
      </c>
      <c r="V15" s="14" t="n">
        <v>-0.000201155</v>
      </c>
    </row>
    <row r="16" customFormat="false" ht="13.8" hidden="false" customHeight="false" outlineLevel="0" collapsed="false">
      <c r="A16" s="87" t="s">
        <v>99</v>
      </c>
      <c r="B16" s="87" t="n">
        <f aca="false">32.5428*B9+0.159092</f>
        <v>27.6903008</v>
      </c>
      <c r="C16" s="63" t="n">
        <f aca="false">32.5428*C9+0.159092</f>
        <v>33.2225768</v>
      </c>
      <c r="D16" s="63" t="n">
        <f aca="false">32.5428*D9+0.159092</f>
        <v>36.2490572</v>
      </c>
      <c r="E16" s="88" t="n">
        <f aca="false">32.5428*E9+0.159092</f>
        <v>82.65509</v>
      </c>
      <c r="F16" s="63"/>
      <c r="Q16" s="0" t="n">
        <v>3</v>
      </c>
      <c r="R16" s="0" t="s">
        <v>94</v>
      </c>
      <c r="S16" s="14" t="n">
        <v>2056.8</v>
      </c>
      <c r="T16" s="14" t="n">
        <v>111.201</v>
      </c>
      <c r="U16" s="14" t="n">
        <v>-7.91599E-006</v>
      </c>
      <c r="V16" s="14" t="n">
        <v>-0.00247669</v>
      </c>
    </row>
    <row r="17" customFormat="false" ht="15" hidden="false" customHeight="false" outlineLevel="0" collapsed="false">
      <c r="A17" s="87" t="s">
        <v>110</v>
      </c>
      <c r="B17" s="87" t="n">
        <f aca="false">32.5428*B10+0.159092</f>
        <v>23.5248224</v>
      </c>
      <c r="C17" s="63" t="n">
        <f aca="false">32.5428*C10+0.159092</f>
        <v>28.3411568</v>
      </c>
      <c r="D17" s="63" t="n">
        <f aca="false">32.5428*D10+0.159092</f>
        <v>30.9771236</v>
      </c>
      <c r="E17" s="88" t="n">
        <f aca="false">32.5428*E10+0.159092</f>
        <v>69.3450848</v>
      </c>
      <c r="F17" s="63"/>
      <c r="Q17" s="0" t="n">
        <v>4</v>
      </c>
      <c r="R17" s="0" t="s">
        <v>97</v>
      </c>
      <c r="S17" s="14" t="n">
        <v>282.555</v>
      </c>
      <c r="T17" s="14" t="n">
        <v>0.304323</v>
      </c>
      <c r="U17" s="14" t="n">
        <v>-3.28272E-006</v>
      </c>
      <c r="V17" s="14" t="n">
        <v>-0.0110601</v>
      </c>
    </row>
    <row r="18" customFormat="false" ht="13.8" hidden="false" customHeight="false" outlineLevel="0" collapsed="false">
      <c r="A18" s="89" t="s">
        <v>102</v>
      </c>
      <c r="B18" s="89" t="n">
        <f aca="false">32.5428*B11+0.159092</f>
        <v>23.101766</v>
      </c>
      <c r="C18" s="90" t="n">
        <f aca="false">32.5428*C11+0.159092</f>
        <v>27.7879292</v>
      </c>
      <c r="D18" s="90" t="n">
        <f aca="false">32.5428*D11+0.159092</f>
        <v>30.3588104</v>
      </c>
      <c r="E18" s="91" t="n">
        <f aca="false">32.5428*E11+0.159092</f>
        <v>66.6765752</v>
      </c>
      <c r="F18" s="63"/>
      <c r="Q18" s="0" t="n">
        <v>5</v>
      </c>
      <c r="R18" s="0" t="s">
        <v>100</v>
      </c>
      <c r="S18" s="14" t="n">
        <v>18.2545</v>
      </c>
      <c r="T18" s="14" t="n">
        <v>0.774607</v>
      </c>
      <c r="U18" s="14" t="n">
        <v>3.4047E-006</v>
      </c>
      <c r="V18" s="14" t="n">
        <v>-0.00117464</v>
      </c>
    </row>
    <row r="19" customFormat="false" ht="13.8" hidden="false" customHeight="false" outlineLevel="0" collapsed="false">
      <c r="Q19" s="0" t="n">
        <v>6</v>
      </c>
      <c r="R19" s="0" t="s">
        <v>103</v>
      </c>
      <c r="S19" s="14" t="n">
        <v>3642.15</v>
      </c>
      <c r="T19" s="14" t="n">
        <v>148.327</v>
      </c>
      <c r="U19" s="14" t="n">
        <v>2.76893E-005</v>
      </c>
      <c r="V19" s="14" t="n">
        <v>0.0103451</v>
      </c>
    </row>
    <row r="20" customFormat="false" ht="13.8" hidden="false" customHeight="false" outlineLevel="0" collapsed="false">
      <c r="B20" s="0" t="n">
        <f aca="false">MAX(B13:E18)</f>
        <v>585.8318636</v>
      </c>
      <c r="Q20" s="0" t="n">
        <v>7</v>
      </c>
      <c r="R20" s="0" t="s">
        <v>101</v>
      </c>
      <c r="S20" s="14" t="n">
        <v>417.498</v>
      </c>
      <c r="T20" s="14" t="n">
        <v>1.56802</v>
      </c>
      <c r="U20" s="14" t="n">
        <v>-0.000830305</v>
      </c>
      <c r="V20" s="14" t="n">
        <v>0.000430944</v>
      </c>
    </row>
    <row r="21" customFormat="false" ht="13.8" hidden="false" customHeight="false" outlineLevel="0" collapsed="false">
      <c r="Q21" s="0" t="n">
        <v>8</v>
      </c>
      <c r="R21" s="0" t="s">
        <v>104</v>
      </c>
      <c r="S21" s="14" t="n">
        <v>-0.914915</v>
      </c>
      <c r="T21" s="14" t="n">
        <v>0.00527737</v>
      </c>
      <c r="U21" s="14" t="n">
        <v>4.0264E-007</v>
      </c>
      <c r="V21" s="14" t="n">
        <v>-0.109331</v>
      </c>
    </row>
    <row r="23" customFormat="false" ht="13.8" hidden="false" customHeight="false" outlineLevel="0" collapsed="false">
      <c r="Q23" s="17" t="s">
        <v>111</v>
      </c>
    </row>
    <row r="24" customFormat="false" ht="13.8" hidden="false" customHeight="false" outlineLevel="0" collapsed="false">
      <c r="Q24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LibreOffice/6.0.7.3$Linux_X86_64 LibreOffice_project/00m0$Build-3</Application>
  <Company>UoB IT Services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2019-03-01T12:48:55Z</dcterms:created>
  <dc:creator>Hoi Wong (MSc Phys + Tech Nuc React FT)</dc:creator>
  <dc:description/>
  <dc:language>en-GB</dc:language>
  <cp:lastModifiedBy/>
  <cp:lastPrinted>2019-04-01T01:00:31Z</cp:lastPrinted>
  <dcterms:modified xsi:type="dcterms:W3CDTF">2019-04-01T01:57:37Z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UoB IT Services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