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taveacoustics.sharepoint.com/Shared Documents/Live Projects/AC201-AC250/AC220ME hg 1_26 Williamson Road Maribyrnong/05. Calculations/EPR zoning/"/>
    </mc:Choice>
  </mc:AlternateContent>
  <xr:revisionPtr revIDLastSave="4" documentId="11_7289938EAFF120F45E3CAACEC862FE441448E6F2" xr6:coauthVersionLast="47" xr6:coauthVersionMax="47" xr10:uidLastSave="{C863F077-4248-4B8D-85FD-149361D9544F}"/>
  <workbookProtection workbookAlgorithmName="SHA-512" workbookHashValue="Hb+rzXIvwCDOvX85EvafhW89RXda2tumJraC2jX5i05G/CxGFc52SRY+61S0PygdWhPAkC1RokvwXyo11+VHXw==" workbookSaltValue="iuhpXPB83zZzqddVGcSzzA==" workbookSpinCount="100000" lockStructure="1"/>
  <bookViews>
    <workbookView xWindow="-103" yWindow="-103" windowWidth="33120" windowHeight="18000" xr2:uid="{00000000-000D-0000-FFFF-FFFF00000000}"/>
  </bookViews>
  <sheets>
    <sheet name="Front Page" sheetId="1" r:id="rId1"/>
    <sheet name="EPR2021 Assessment &amp; Report" sheetId="2" r:id="rId2"/>
    <sheet name="Refs" sheetId="3" state="hidden" r:id="rId3"/>
    <sheet name="Add zoning map" sheetId="4" r:id="rId4"/>
    <sheet name="Tim Calc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/>
  <c r="D15" i="5"/>
  <c r="D14" i="5"/>
  <c r="H5" i="5"/>
  <c r="F5" i="5"/>
  <c r="K5" i="5" s="1"/>
  <c r="H2" i="5"/>
  <c r="F2" i="5"/>
  <c r="K2" i="5" s="1"/>
  <c r="D32" i="2"/>
  <c r="D31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C21" i="5" s="1" a="1"/>
  <c r="F11" i="2"/>
  <c r="C11" i="2"/>
  <c r="F10" i="2"/>
  <c r="C10" i="2"/>
  <c r="F9" i="2"/>
  <c r="C9" i="2"/>
  <c r="C8" i="2"/>
  <c r="D21" i="5" a="1"/>
  <c r="C7" i="2"/>
  <c r="D31" i="5" l="1"/>
  <c r="D26" i="5"/>
  <c r="D34" i="5"/>
  <c r="D22" i="5"/>
  <c r="D33" i="5"/>
  <c r="D32" i="5"/>
  <c r="D21" i="5"/>
  <c r="D30" i="5"/>
  <c r="D23" i="5"/>
  <c r="D41" i="5"/>
  <c r="D29" i="5"/>
  <c r="D39" i="5"/>
  <c r="D27" i="5"/>
  <c r="D38" i="5"/>
  <c r="D37" i="5"/>
  <c r="D25" i="5"/>
  <c r="D36" i="5"/>
  <c r="D24" i="5"/>
  <c r="D40" i="5"/>
  <c r="D28" i="5"/>
  <c r="D35" i="5"/>
  <c r="M2" i="5"/>
  <c r="C41" i="5"/>
  <c r="C29" i="5"/>
  <c r="C33" i="5"/>
  <c r="C32" i="5"/>
  <c r="C21" i="5"/>
  <c r="C31" i="5"/>
  <c r="C30" i="5"/>
  <c r="C40" i="5"/>
  <c r="C28" i="5"/>
  <c r="C39" i="5"/>
  <c r="C27" i="5"/>
  <c r="C37" i="5"/>
  <c r="C25" i="5"/>
  <c r="C36" i="5"/>
  <c r="C24" i="5"/>
  <c r="C35" i="5"/>
  <c r="C23" i="5"/>
  <c r="C34" i="5"/>
  <c r="C22" i="5"/>
  <c r="C38" i="5"/>
  <c r="C26" i="5"/>
  <c r="J5" i="5"/>
  <c r="M5" i="5" s="1"/>
  <c r="G29" i="2" s="1"/>
  <c r="J2" i="5"/>
  <c r="D43" i="5" l="1"/>
  <c r="G26" i="2" s="1"/>
  <c r="D29" i="2"/>
  <c r="C43" i="5"/>
  <c r="G27" i="2" l="1"/>
  <c r="G28" i="2"/>
  <c r="G14" i="1" s="1"/>
  <c r="G13" i="1"/>
  <c r="C6" i="5"/>
  <c r="D28" i="2"/>
  <c r="D27" i="2"/>
  <c r="D26" i="2"/>
  <c r="C5" i="5" l="1"/>
  <c r="C7" i="5"/>
  <c r="C3" i="5"/>
  <c r="F13" i="1"/>
  <c r="C2" i="5"/>
  <c r="F14" i="1"/>
  <c r="C4" i="5"/>
  <c r="B10" i="5" s="1"/>
  <c r="B15" i="5" l="1"/>
  <c r="B16" i="5"/>
  <c r="B14" i="5"/>
  <c r="F14" i="5" l="1"/>
  <c r="E14" i="5"/>
  <c r="F18" i="1"/>
  <c r="F19" i="1"/>
  <c r="F15" i="5"/>
  <c r="E15" i="5"/>
  <c r="F16" i="5"/>
  <c r="F20" i="1"/>
  <c r="E16" i="5"/>
  <c r="G16" i="5" l="1"/>
  <c r="H16" i="5" s="1"/>
  <c r="F25" i="1" s="1"/>
  <c r="G15" i="5"/>
  <c r="H15" i="5" s="1"/>
  <c r="F24" i="1" s="1"/>
  <c r="G14" i="5"/>
  <c r="H14" i="5" s="1"/>
  <c r="F23" i="1" s="1"/>
</calcChain>
</file>

<file path=xl/sharedStrings.xml><?xml version="1.0" encoding="utf-8"?>
<sst xmlns="http://schemas.openxmlformats.org/spreadsheetml/2006/main" count="765" uniqueCount="245">
  <si>
    <t>EPR 2021 Calculation Tool</t>
  </si>
  <si>
    <t>Day</t>
  </si>
  <si>
    <t>Evening /Night</t>
  </si>
  <si>
    <t>High</t>
  </si>
  <si>
    <t>Background, L90 dB(A)</t>
  </si>
  <si>
    <t xml:space="preserve">Evening </t>
  </si>
  <si>
    <t>Night</t>
  </si>
  <si>
    <t>Zoning Level</t>
  </si>
  <si>
    <t>Diameter circle (m)</t>
  </si>
  <si>
    <t>Neutral</t>
  </si>
  <si>
    <t>Area Type 2</t>
  </si>
  <si>
    <t>Area Type 3</t>
  </si>
  <si>
    <t>Neutral criteria, Leq dB(A)</t>
  </si>
  <si>
    <t>Low</t>
  </si>
  <si>
    <t>Evening</t>
  </si>
  <si>
    <t>Final criteria, Leq dB(A)</t>
  </si>
  <si>
    <t>Area input</t>
  </si>
  <si>
    <t>Password</t>
  </si>
  <si>
    <t>Octave</t>
  </si>
  <si>
    <t>70m circle</t>
  </si>
  <si>
    <t>200m circle</t>
  </si>
  <si>
    <t>Metropolitan Melbourne Specific Zones</t>
  </si>
  <si>
    <t>Regional Specific Zones</t>
  </si>
  <si>
    <t>Calculator Import</t>
  </si>
  <si>
    <t xml:space="preserve">Type </t>
  </si>
  <si>
    <t>Area (m2)</t>
  </si>
  <si>
    <t>MUZ</t>
  </si>
  <si>
    <t>ZONE1</t>
  </si>
  <si>
    <t>Banyule</t>
  </si>
  <si>
    <t>Casey</t>
  </si>
  <si>
    <t>Greater Dandenong</t>
  </si>
  <si>
    <t>Kingston</t>
  </si>
  <si>
    <t>Melton</t>
  </si>
  <si>
    <t>Moreland</t>
  </si>
  <si>
    <t>Whitehorse</t>
  </si>
  <si>
    <t>Yarra</t>
  </si>
  <si>
    <t>Ballarat</t>
  </si>
  <si>
    <t>Glenelg (Portland)</t>
  </si>
  <si>
    <t>Greater Shepparton</t>
  </si>
  <si>
    <t>Southern Grampians</t>
  </si>
  <si>
    <t>TRZ1</t>
  </si>
  <si>
    <t>C1Z</t>
  </si>
  <si>
    <t>SUZ1</t>
  </si>
  <si>
    <t>TRZ3</t>
  </si>
  <si>
    <t>SUZ</t>
  </si>
  <si>
    <t>SUZ2</t>
  </si>
  <si>
    <t>SUZ3</t>
  </si>
  <si>
    <t>CDZ3</t>
  </si>
  <si>
    <t>SUZ4</t>
  </si>
  <si>
    <t>SUZ5</t>
  </si>
  <si>
    <t>ACZ1</t>
  </si>
  <si>
    <t>SUZ6</t>
  </si>
  <si>
    <t>SUZ7</t>
  </si>
  <si>
    <t>TRZ2</t>
  </si>
  <si>
    <t>Morn'ton Peninsula</t>
  </si>
  <si>
    <t>Whittlesea</t>
  </si>
  <si>
    <t>Bendigo</t>
  </si>
  <si>
    <t>SUZ8</t>
  </si>
  <si>
    <t>Bayside</t>
  </si>
  <si>
    <t>CDZ1</t>
  </si>
  <si>
    <t>SUZ10</t>
  </si>
  <si>
    <t>PDZ1</t>
  </si>
  <si>
    <t>SUZ9</t>
  </si>
  <si>
    <t>UGZ1</t>
  </si>
  <si>
    <t>CDZ2</t>
  </si>
  <si>
    <t>ACZ2</t>
  </si>
  <si>
    <t>Boroondara</t>
  </si>
  <si>
    <t>UGZ2</t>
  </si>
  <si>
    <t>ACZ3</t>
  </si>
  <si>
    <t>SUZ11</t>
  </si>
  <si>
    <t>Horsham</t>
  </si>
  <si>
    <t>Surf Coast</t>
  </si>
  <si>
    <t>UGZ3</t>
  </si>
  <si>
    <t>Hobsons Bay</t>
  </si>
  <si>
    <t>UGZ4</t>
  </si>
  <si>
    <t>Knox</t>
  </si>
  <si>
    <t>UGZ5</t>
  </si>
  <si>
    <t>Yarra Ranges</t>
  </si>
  <si>
    <t>SUZ12</t>
  </si>
  <si>
    <t>UGZ6</t>
  </si>
  <si>
    <t>SUZ13</t>
  </si>
  <si>
    <t>UGZ7</t>
  </si>
  <si>
    <t>SUZ14</t>
  </si>
  <si>
    <t>Latrobe</t>
  </si>
  <si>
    <t>Brimbank</t>
  </si>
  <si>
    <t>UGZ8</t>
  </si>
  <si>
    <t>SUZ16</t>
  </si>
  <si>
    <t>UGZ9</t>
  </si>
  <si>
    <t>Nillumbik</t>
  </si>
  <si>
    <t>UGZ10</t>
  </si>
  <si>
    <t>Wangaratta</t>
  </si>
  <si>
    <t>UGZ11</t>
  </si>
  <si>
    <t>Mann'ham</t>
  </si>
  <si>
    <t>UGZ12</t>
  </si>
  <si>
    <t>CDZ4</t>
  </si>
  <si>
    <t>Greater Geelong</t>
  </si>
  <si>
    <t>UGZ14</t>
  </si>
  <si>
    <t>Hume</t>
  </si>
  <si>
    <t>CDZ5</t>
  </si>
  <si>
    <t>Baw Baw</t>
  </si>
  <si>
    <t>Total Type 1</t>
  </si>
  <si>
    <t>CDZ6</t>
  </si>
  <si>
    <t>Total Type 2</t>
  </si>
  <si>
    <t>Total Type 3</t>
  </si>
  <si>
    <t>Mitchell</t>
  </si>
  <si>
    <t>Macedon Ranges</t>
  </si>
  <si>
    <t>Total Area Check</t>
  </si>
  <si>
    <t>Darebin</t>
  </si>
  <si>
    <t>Maribyrnong</t>
  </si>
  <si>
    <t>Port of Melb</t>
  </si>
  <si>
    <t>Benalla</t>
  </si>
  <si>
    <t>Area of 70m circle</t>
  </si>
  <si>
    <t>m2</t>
  </si>
  <si>
    <t>Cardinia</t>
  </si>
  <si>
    <t>PDZ2</t>
  </si>
  <si>
    <t>Warr'bool</t>
  </si>
  <si>
    <t>Area of 200m circle</t>
  </si>
  <si>
    <t>Mildura</t>
  </si>
  <si>
    <t>Frankston</t>
  </si>
  <si>
    <t>Instructions:</t>
  </si>
  <si>
    <t>Campaspe (Echuca)</t>
  </si>
  <si>
    <t>SUZ15</t>
  </si>
  <si>
    <t>Use Thomas' program to autofill the table. If the word "Manual" appears, then enter a zone equivalent to that shown. PUZ values should autofill. You can use the tables on the right as reference. If you see it should be zone 2 then type "ZONE2" , zone 1 is "ZONE1", etc.</t>
  </si>
  <si>
    <t>Monash</t>
  </si>
  <si>
    <t>Wyndham</t>
  </si>
  <si>
    <t>Port Phillip</t>
  </si>
  <si>
    <t>Wellington</t>
  </si>
  <si>
    <t>Melbourne</t>
  </si>
  <si>
    <t>Central Goldfields</t>
  </si>
  <si>
    <t>Wodonga</t>
  </si>
  <si>
    <t>Glen Eira</t>
  </si>
  <si>
    <t>Moonee Valley</t>
  </si>
  <si>
    <t>Colac Otway</t>
  </si>
  <si>
    <t>Moorabool</t>
  </si>
  <si>
    <t>Stonnington</t>
  </si>
  <si>
    <t>UGZ13</t>
  </si>
  <si>
    <t>UGZ15</t>
  </si>
  <si>
    <t>Code</t>
  </si>
  <si>
    <t>Type</t>
  </si>
  <si>
    <t>Description</t>
  </si>
  <si>
    <t>""</t>
  </si>
  <si>
    <t>ACZ</t>
  </si>
  <si>
    <t>Activity Centre Zone</t>
  </si>
  <si>
    <t>B1Z</t>
  </si>
  <si>
    <t>Commercial 1 Zone</t>
  </si>
  <si>
    <t>B2Z</t>
  </si>
  <si>
    <t>B3Z</t>
  </si>
  <si>
    <t>Commercial 2 Zone</t>
  </si>
  <si>
    <t>B4Z</t>
  </si>
  <si>
    <t>B5Z</t>
  </si>
  <si>
    <t>C2Z</t>
  </si>
  <si>
    <t>C3Z</t>
  </si>
  <si>
    <t>Commercial 3 Zone</t>
  </si>
  <si>
    <t>CCZ</t>
  </si>
  <si>
    <t>Capital City Zone</t>
  </si>
  <si>
    <t>CDZ</t>
  </si>
  <si>
    <t>Comprehensive Development Zone</t>
  </si>
  <si>
    <t>DZ</t>
  </si>
  <si>
    <t>Docklands Zone</t>
  </si>
  <si>
    <t>FZ</t>
  </si>
  <si>
    <t>Farming Zone</t>
  </si>
  <si>
    <t>GRZ</t>
  </si>
  <si>
    <t>General Residential Zone</t>
  </si>
  <si>
    <t>GWAZ</t>
  </si>
  <si>
    <t>Green Wedge A Zone</t>
  </si>
  <si>
    <t>GWZ</t>
  </si>
  <si>
    <t>Green Wedge Zone</t>
  </si>
  <si>
    <t>IN1Z</t>
  </si>
  <si>
    <t>Industrial 1 Zone</t>
  </si>
  <si>
    <t>IN2Z</t>
  </si>
  <si>
    <t>Industrial 2 Zone</t>
  </si>
  <si>
    <t>IN3Z</t>
  </si>
  <si>
    <t>Industrial 3 Zone</t>
  </si>
  <si>
    <t>LDRZ</t>
  </si>
  <si>
    <t>Low Density Residential Zone</t>
  </si>
  <si>
    <t>Mixed Used Zone</t>
  </si>
  <si>
    <t>NRZ</t>
  </si>
  <si>
    <t>Neighbourhood Residential Zone</t>
  </si>
  <si>
    <t>PCRZ</t>
  </si>
  <si>
    <t>Public Conservation and Resource Zone</t>
  </si>
  <si>
    <t>PDZ</t>
  </si>
  <si>
    <t>Priority Development Zone</t>
  </si>
  <si>
    <t>PPRZ</t>
  </si>
  <si>
    <t>Public Park and Recreation Zone</t>
  </si>
  <si>
    <t>PUZ1</t>
  </si>
  <si>
    <t>PUZ - Service &amp; Utility</t>
  </si>
  <si>
    <t>PUZ2</t>
  </si>
  <si>
    <t>PUZ - Education</t>
  </si>
  <si>
    <t>PUZ3</t>
  </si>
  <si>
    <t>PUZ - Health &amp; Community</t>
  </si>
  <si>
    <t>PUZ5</t>
  </si>
  <si>
    <t>PUZ - Cemetery</t>
  </si>
  <si>
    <t>PUZ6</t>
  </si>
  <si>
    <t>PUZ - Local Government</t>
  </si>
  <si>
    <t>PUZ7</t>
  </si>
  <si>
    <t>PUZ - Other Public Use</t>
  </si>
  <si>
    <t>PZ</t>
  </si>
  <si>
    <t>Port Zone</t>
  </si>
  <si>
    <t>RAZ</t>
  </si>
  <si>
    <t>Rural Activity Zone</t>
  </si>
  <si>
    <t>RCZ</t>
  </si>
  <si>
    <t>Rural Conservation Zone</t>
  </si>
  <si>
    <t>RGZ</t>
  </si>
  <si>
    <t>Residential Growth Zone</t>
  </si>
  <si>
    <t>RLZ</t>
  </si>
  <si>
    <t>Rural Living Zone</t>
  </si>
  <si>
    <t>PUZ - Transport (ex PUZ4)</t>
  </si>
  <si>
    <t>Road Zone (ex RDZ1)</t>
  </si>
  <si>
    <t>Road Zone (ex RDZ2)</t>
  </si>
  <si>
    <t>TRZ4</t>
  </si>
  <si>
    <t>TZ</t>
  </si>
  <si>
    <t>Township Zone</t>
  </si>
  <si>
    <t>UFZ</t>
  </si>
  <si>
    <t>Urban Floodway Zone</t>
  </si>
  <si>
    <t>zone 1</t>
  </si>
  <si>
    <t>zone 2</t>
  </si>
  <si>
    <t>zone 3</t>
  </si>
  <si>
    <t>Zone 1</t>
  </si>
  <si>
    <t>Zone 2</t>
  </si>
  <si>
    <t>Zone 3</t>
  </si>
  <si>
    <t>ZONE 1</t>
  </si>
  <si>
    <t>ZONE 2</t>
  </si>
  <si>
    <t>ZONE 3</t>
  </si>
  <si>
    <t>zone1</t>
  </si>
  <si>
    <t>zone2</t>
  </si>
  <si>
    <t>zone3</t>
  </si>
  <si>
    <t>Zone1</t>
  </si>
  <si>
    <t>Zone2</t>
  </si>
  <si>
    <t>Zone3</t>
  </si>
  <si>
    <t>ZONE2</t>
  </si>
  <si>
    <t>ZONE3</t>
  </si>
  <si>
    <t>UGZ</t>
  </si>
  <si>
    <t>Urban Growth Zone</t>
  </si>
  <si>
    <t>Manual</t>
  </si>
  <si>
    <t>See Reference Tables</t>
  </si>
  <si>
    <t>Upper</t>
  </si>
  <si>
    <t>Lower</t>
  </si>
  <si>
    <t>Area</t>
  </si>
  <si>
    <t>IF</t>
  </si>
  <si>
    <t>Background Values</t>
  </si>
  <si>
    <t>High check</t>
  </si>
  <si>
    <t>Low Check</t>
  </si>
  <si>
    <t>Result</t>
  </si>
  <si>
    <t>Lower Limit Check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</si>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</sst>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Baskerville Old Face"/>
      <family val="1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1" fontId="5" fillId="6" borderId="1" xfId="0" applyNumberFormat="1" applyFont="1" applyFill="1" applyBorder="1" applyAlignment="1" applyProtection="1">
      <alignment horizontal="center"/>
      <protection locked="0"/>
    </xf>
    <xf numFmtId="0" fontId="5" fillId="6" borderId="1" xfId="0" applyFont="1" applyFill="1" applyBorder="1" applyAlignment="1" applyProtection="1">
      <alignment horizontal="center"/>
      <protection locked="0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1" fontId="5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0" xfId="0" applyFont="1"/>
    <xf numFmtId="1" fontId="5" fillId="4" borderId="1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7" fillId="7" borderId="12" xfId="0" applyFont="1" applyFill="1" applyBorder="1" applyProtection="1">
      <protection locked="0"/>
    </xf>
    <xf numFmtId="0" fontId="0" fillId="8" borderId="1" xfId="0" applyFill="1" applyBorder="1" applyAlignment="1">
      <alignment horizontal="center"/>
    </xf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3" fontId="7" fillId="0" borderId="0" xfId="0" applyNumberFormat="1" applyFont="1"/>
    <xf numFmtId="3" fontId="7" fillId="7" borderId="13" xfId="0" applyNumberFormat="1" applyFont="1" applyFill="1" applyBorder="1" applyAlignment="1" applyProtection="1">
      <alignment horizontal="center"/>
      <protection locked="0"/>
    </xf>
    <xf numFmtId="3" fontId="7" fillId="7" borderId="15" xfId="0" applyNumberFormat="1" applyFont="1" applyFill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/>
    </xf>
    <xf numFmtId="3" fontId="7" fillId="7" borderId="0" xfId="0" applyNumberFormat="1" applyFont="1" applyFill="1" applyAlignment="1" applyProtection="1">
      <alignment horizontal="center"/>
      <protection locked="0"/>
    </xf>
    <xf numFmtId="0" fontId="0" fillId="7" borderId="12" xfId="0" applyFill="1" applyBorder="1" applyProtection="1">
      <protection locked="0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12" borderId="9" xfId="0" applyFill="1" applyBorder="1" applyAlignment="1">
      <alignment wrapText="1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/>
    <xf numFmtId="0" fontId="0" fillId="13" borderId="9" xfId="0" applyFill="1" applyBorder="1" applyAlignment="1">
      <alignment wrapText="1"/>
    </xf>
    <xf numFmtId="0" fontId="7" fillId="13" borderId="10" xfId="0" applyFont="1" applyFill="1" applyBorder="1" applyAlignment="1">
      <alignment horizontal="center"/>
    </xf>
    <xf numFmtId="0" fontId="7" fillId="13" borderId="11" xfId="0" applyFont="1" applyFill="1" applyBorder="1"/>
    <xf numFmtId="3" fontId="7" fillId="14" borderId="5" xfId="0" applyNumberFormat="1" applyFont="1" applyFill="1" applyBorder="1" applyAlignment="1">
      <alignment horizontal="center"/>
    </xf>
    <xf numFmtId="3" fontId="7" fillId="10" borderId="5" xfId="0" applyNumberFormat="1" applyFont="1" applyFill="1" applyBorder="1" applyAlignment="1">
      <alignment horizontal="center"/>
    </xf>
    <xf numFmtId="3" fontId="7" fillId="11" borderId="5" xfId="0" applyNumberFormat="1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0" fillId="0" borderId="0" xfId="0" applyAlignment="1">
      <alignment horizontal="left" vertical="top" wrapText="1"/>
    </xf>
    <xf numFmtId="3" fontId="7" fillId="0" borderId="0" xfId="0" applyNumberFormat="1" applyFont="1" applyAlignment="1" applyProtection="1">
      <alignment horizontal="center"/>
      <protection locked="0"/>
    </xf>
    <xf numFmtId="3" fontId="7" fillId="0" borderId="0" xfId="0" applyNumberFormat="1" applyFont="1" applyAlignment="1">
      <alignment horizontal="center"/>
    </xf>
    <xf numFmtId="0" fontId="1" fillId="0" borderId="6" xfId="0" applyFont="1" applyBorder="1"/>
    <xf numFmtId="0" fontId="0" fillId="0" borderId="17" xfId="0" applyBorder="1"/>
    <xf numFmtId="0" fontId="7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5" fillId="3" borderId="1" xfId="0" applyFont="1" applyFill="1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center"/>
    </xf>
    <xf numFmtId="0" fontId="0" fillId="0" borderId="0" xfId="0"/>
    <xf numFmtId="0" fontId="5" fillId="2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7" fillId="0" borderId="0" xfId="0" applyFont="1"/>
    <xf numFmtId="0" fontId="1" fillId="9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  <xf numFmtId="0" fontId="1" fillId="11" borderId="20" xfId="0" applyFont="1" applyFill="1" applyBorder="1" applyAlignment="1">
      <alignment horizontal="center" wrapText="1"/>
    </xf>
    <xf numFmtId="0" fontId="0" fillId="0" borderId="20" xfId="0" applyBorder="1"/>
    <xf numFmtId="0" fontId="0" fillId="0" borderId="16" xfId="0" applyBorder="1"/>
    <xf numFmtId="0" fontId="1" fillId="9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0" borderId="14" xfId="0" applyBorder="1"/>
    <xf numFmtId="0" fontId="1" fillId="11" borderId="12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 wrapText="1"/>
    </xf>
    <xf numFmtId="0" fontId="0" fillId="0" borderId="13" xfId="0" applyBorder="1"/>
    <xf numFmtId="0" fontId="0" fillId="0" borderId="5" xfId="0" applyBorder="1" applyAlignment="1">
      <alignment horizontal="center"/>
    </xf>
    <xf numFmtId="0" fontId="1" fillId="9" borderId="16" xfId="0" applyFont="1" applyFill="1" applyBorder="1" applyAlignment="1">
      <alignment horizontal="center" wrapText="1"/>
    </xf>
    <xf numFmtId="0" fontId="9" fillId="0" borderId="21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7" fillId="11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11" borderId="0" xfId="0" applyFont="1" applyFill="1" applyAlignment="1">
      <alignment horizontal="center"/>
    </xf>
    <xf numFmtId="0" fontId="1" fillId="11" borderId="16" xfId="0" applyFont="1" applyFill="1" applyBorder="1" applyAlignment="1">
      <alignment horizontal="center" wrapText="1"/>
    </xf>
    <xf numFmtId="0" fontId="0" fillId="13" borderId="21" xfId="0" applyFill="1" applyBorder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 wrapText="1"/>
    </xf>
    <xf numFmtId="0" fontId="0" fillId="0" borderId="19" xfId="0" applyBorder="1"/>
    <xf numFmtId="0" fontId="1" fillId="9" borderId="13" xfId="0" applyFont="1" applyFill="1" applyBorder="1" applyAlignment="1">
      <alignment horizontal="center" wrapText="1"/>
    </xf>
    <xf numFmtId="0" fontId="1" fillId="11" borderId="19" xfId="0" applyFont="1" applyFill="1" applyBorder="1" applyAlignment="1">
      <alignment horizontal="center" wrapText="1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15</xdr:col>
      <xdr:colOff>604630</xdr:colOff>
      <xdr:row>8</xdr:row>
      <xdr:rowOff>102502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4196" y="571500"/>
          <a:ext cx="4895021" cy="109641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showGridLines="0" tabSelected="1" zoomScale="115" zoomScaleNormal="115" workbookViewId="0">
      <selection activeCell="F18" sqref="F18:F20"/>
    </sheetView>
  </sheetViews>
  <sheetFormatPr defaultRowHeight="14.6" x14ac:dyDescent="0.4"/>
  <cols>
    <col min="1" max="1" width="12" bestFit="1" customWidth="1"/>
    <col min="3" max="3" width="14.23046875" bestFit="1" customWidth="1"/>
    <col min="5" max="5" width="11.23046875" bestFit="1" customWidth="1"/>
  </cols>
  <sheetData>
    <row r="1" spans="1:8" x14ac:dyDescent="0.4">
      <c r="A1" s="2"/>
      <c r="B1" s="1"/>
      <c r="C1" s="1"/>
      <c r="D1" s="1"/>
      <c r="E1" s="1"/>
      <c r="F1" s="1"/>
      <c r="G1" s="1"/>
      <c r="H1" s="1"/>
    </row>
    <row r="2" spans="1:8" x14ac:dyDescent="0.4">
      <c r="A2" s="73" t="s">
        <v>0</v>
      </c>
      <c r="B2" s="70"/>
      <c r="C2" s="70"/>
      <c r="D2" s="70"/>
      <c r="E2" s="70"/>
      <c r="F2" s="70"/>
      <c r="G2" s="70"/>
      <c r="H2" s="70"/>
    </row>
    <row r="3" spans="1:8" x14ac:dyDescent="0.4">
      <c r="A3" s="2"/>
      <c r="B3" s="1"/>
      <c r="C3" s="1"/>
      <c r="D3" s="1"/>
      <c r="E3" s="1"/>
      <c r="F3" s="1"/>
      <c r="G3" s="1"/>
      <c r="H3" s="1"/>
    </row>
    <row r="4" spans="1:8" x14ac:dyDescent="0.4">
      <c r="A4" s="2"/>
      <c r="B4" s="16" t="s">
        <v>1</v>
      </c>
      <c r="C4" s="16" t="s">
        <v>2</v>
      </c>
      <c r="D4" s="1"/>
      <c r="E4" s="1"/>
      <c r="F4" s="1"/>
      <c r="G4" s="1"/>
      <c r="H4" s="1"/>
    </row>
    <row r="5" spans="1:8" ht="18" customHeight="1" x14ac:dyDescent="0.4">
      <c r="A5" s="2"/>
      <c r="B5" s="71" t="s">
        <v>3</v>
      </c>
      <c r="C5" s="71" t="s">
        <v>3</v>
      </c>
      <c r="D5" s="1"/>
      <c r="E5" s="1"/>
      <c r="F5" s="64" t="s">
        <v>4</v>
      </c>
      <c r="G5" s="1"/>
      <c r="H5" s="1"/>
    </row>
    <row r="6" spans="1:8" x14ac:dyDescent="0.4">
      <c r="A6" s="2"/>
      <c r="B6" s="67"/>
      <c r="C6" s="67"/>
      <c r="D6" s="1"/>
      <c r="E6" s="3" t="s">
        <v>1</v>
      </c>
      <c r="F6" s="4"/>
      <c r="G6" s="1"/>
      <c r="H6" s="1"/>
    </row>
    <row r="7" spans="1:8" x14ac:dyDescent="0.4">
      <c r="A7" s="2"/>
      <c r="B7" s="67"/>
      <c r="C7" s="67"/>
      <c r="D7" s="1"/>
      <c r="E7" s="3" t="s">
        <v>5</v>
      </c>
      <c r="F7" s="5"/>
      <c r="G7" s="1"/>
      <c r="H7" s="1"/>
    </row>
    <row r="8" spans="1:8" x14ac:dyDescent="0.4">
      <c r="A8" s="2"/>
      <c r="B8" s="67"/>
      <c r="C8" s="67"/>
      <c r="D8" s="1"/>
      <c r="E8" s="3" t="s">
        <v>6</v>
      </c>
      <c r="F8" s="5"/>
      <c r="G8" s="1"/>
      <c r="H8" s="1"/>
    </row>
    <row r="9" spans="1:8" x14ac:dyDescent="0.4">
      <c r="A9" s="6" t="s">
        <v>7</v>
      </c>
      <c r="B9" s="67"/>
      <c r="C9" s="67"/>
      <c r="D9" s="1"/>
      <c r="E9" s="1"/>
      <c r="F9" s="1"/>
      <c r="G9" s="1"/>
      <c r="H9" s="1"/>
    </row>
    <row r="10" spans="1:8" x14ac:dyDescent="0.4">
      <c r="A10" s="7">
        <v>1</v>
      </c>
      <c r="B10" s="67"/>
      <c r="C10" s="67"/>
      <c r="D10" s="1"/>
      <c r="E10" s="1"/>
      <c r="F10" s="1"/>
      <c r="G10" s="1"/>
      <c r="H10" s="1"/>
    </row>
    <row r="11" spans="1:8" x14ac:dyDescent="0.4">
      <c r="A11" s="7">
        <v>2</v>
      </c>
      <c r="B11" s="67"/>
      <c r="C11" s="68"/>
      <c r="D11" s="1"/>
      <c r="E11" s="1"/>
      <c r="F11" s="69" t="s">
        <v>8</v>
      </c>
      <c r="G11" s="70"/>
      <c r="H11" s="1"/>
    </row>
    <row r="12" spans="1:8" x14ac:dyDescent="0.4">
      <c r="A12" s="7">
        <v>3</v>
      </c>
      <c r="B12" s="67"/>
      <c r="C12" s="72" t="s">
        <v>9</v>
      </c>
      <c r="D12" s="1"/>
      <c r="E12" s="1"/>
      <c r="F12" s="7">
        <v>140</v>
      </c>
      <c r="G12" s="7">
        <v>400</v>
      </c>
      <c r="H12" s="1"/>
    </row>
    <row r="13" spans="1:8" x14ac:dyDescent="0.4">
      <c r="A13" s="7">
        <v>4</v>
      </c>
      <c r="B13" s="67"/>
      <c r="C13" s="67"/>
      <c r="D13" s="1"/>
      <c r="E13" s="8" t="s">
        <v>10</v>
      </c>
      <c r="F13" s="22">
        <f>'EPR2021 Assessment &amp; Report'!D27</f>
        <v>2534.2139624637371</v>
      </c>
      <c r="G13" s="22">
        <f>'EPR2021 Assessment &amp; Report'!G27</f>
        <v>9989.0841784609293</v>
      </c>
      <c r="H13" s="1"/>
    </row>
    <row r="14" spans="1:8" x14ac:dyDescent="0.4">
      <c r="A14" s="7">
        <v>5</v>
      </c>
      <c r="B14" s="68"/>
      <c r="C14" s="67"/>
      <c r="D14" s="1"/>
      <c r="E14" s="8" t="s">
        <v>11</v>
      </c>
      <c r="F14" s="22">
        <f>'EPR2021 Assessment &amp; Report'!D28</f>
        <v>0</v>
      </c>
      <c r="G14" s="22">
        <f>'EPR2021 Assessment &amp; Report'!G28</f>
        <v>8453.7703940018782</v>
      </c>
      <c r="H14" s="1"/>
    </row>
    <row r="15" spans="1:8" x14ac:dyDescent="0.4">
      <c r="A15" s="7">
        <v>6</v>
      </c>
      <c r="B15" s="72" t="s">
        <v>9</v>
      </c>
      <c r="C15" s="67"/>
      <c r="D15" s="1"/>
      <c r="E15" s="1"/>
      <c r="F15" s="1"/>
      <c r="G15" s="1"/>
      <c r="H15" s="1"/>
    </row>
    <row r="16" spans="1:8" x14ac:dyDescent="0.4">
      <c r="A16" s="7">
        <v>7</v>
      </c>
      <c r="B16" s="67"/>
      <c r="C16" s="67"/>
      <c r="D16" s="1"/>
      <c r="E16" s="1"/>
      <c r="F16" s="1"/>
      <c r="G16" s="1"/>
      <c r="H16" s="1"/>
    </row>
    <row r="17" spans="1:8" ht="18" customHeight="1" x14ac:dyDescent="0.4">
      <c r="A17" s="7">
        <v>8</v>
      </c>
      <c r="B17" s="67"/>
      <c r="C17" s="67"/>
      <c r="D17" s="1"/>
      <c r="E17" s="1"/>
      <c r="F17" s="20" t="s">
        <v>12</v>
      </c>
      <c r="G17" s="1"/>
      <c r="H17" s="1"/>
    </row>
    <row r="18" spans="1:8" x14ac:dyDescent="0.4">
      <c r="A18" s="7">
        <v>9</v>
      </c>
      <c r="B18" s="67"/>
      <c r="C18" s="68"/>
      <c r="D18" s="1"/>
      <c r="E18" s="3" t="s">
        <v>1</v>
      </c>
      <c r="F18" s="21">
        <f>'Tim Calc'!B14</f>
        <v>52</v>
      </c>
      <c r="G18" s="1"/>
      <c r="H18" s="1"/>
    </row>
    <row r="19" spans="1:8" x14ac:dyDescent="0.4">
      <c r="A19" s="7">
        <v>10</v>
      </c>
      <c r="B19" s="67"/>
      <c r="C19" s="66" t="s">
        <v>13</v>
      </c>
      <c r="D19" s="1"/>
      <c r="E19" s="3" t="s">
        <v>14</v>
      </c>
      <c r="F19" s="21">
        <f>'Tim Calc'!B15</f>
        <v>46</v>
      </c>
      <c r="G19" s="1"/>
      <c r="H19" s="1"/>
    </row>
    <row r="20" spans="1:8" x14ac:dyDescent="0.4">
      <c r="A20" s="7">
        <v>11</v>
      </c>
      <c r="B20" s="67"/>
      <c r="C20" s="67"/>
      <c r="D20" s="1"/>
      <c r="E20" s="3" t="s">
        <v>6</v>
      </c>
      <c r="F20" s="21">
        <f>'Tim Calc'!B16</f>
        <v>41</v>
      </c>
      <c r="G20" s="1"/>
      <c r="H20" s="1"/>
    </row>
    <row r="21" spans="1:8" x14ac:dyDescent="0.4">
      <c r="A21" s="7">
        <v>12</v>
      </c>
      <c r="B21" s="68"/>
      <c r="C21" s="67"/>
      <c r="D21" s="1"/>
      <c r="E21" s="9"/>
      <c r="F21" s="19"/>
      <c r="G21" s="1"/>
      <c r="H21" s="1"/>
    </row>
    <row r="22" spans="1:8" ht="18" customHeight="1" x14ac:dyDescent="0.4">
      <c r="A22" s="7">
        <v>13</v>
      </c>
      <c r="B22" s="66" t="s">
        <v>13</v>
      </c>
      <c r="C22" s="67"/>
      <c r="D22" s="1"/>
      <c r="E22" s="1"/>
      <c r="F22" s="20" t="s">
        <v>15</v>
      </c>
      <c r="G22" s="1"/>
      <c r="H22" s="1"/>
    </row>
    <row r="23" spans="1:8" x14ac:dyDescent="0.4">
      <c r="A23" s="2"/>
      <c r="B23" s="67"/>
      <c r="C23" s="67"/>
      <c r="D23" s="1"/>
      <c r="E23" s="3" t="s">
        <v>1</v>
      </c>
      <c r="F23" s="10">
        <f>'Tim Calc'!H14</f>
        <v>45</v>
      </c>
      <c r="G23" s="1"/>
      <c r="H23" s="1"/>
    </row>
    <row r="24" spans="1:8" x14ac:dyDescent="0.4">
      <c r="A24" s="2"/>
      <c r="B24" s="67"/>
      <c r="C24" s="67"/>
      <c r="D24" s="1"/>
      <c r="E24" s="3" t="s">
        <v>14</v>
      </c>
      <c r="F24" s="10">
        <f>'Tim Calc'!H15</f>
        <v>40</v>
      </c>
      <c r="G24" s="1"/>
      <c r="H24" s="1"/>
    </row>
    <row r="25" spans="1:8" x14ac:dyDescent="0.4">
      <c r="A25" s="2"/>
      <c r="B25" s="68"/>
      <c r="C25" s="68"/>
      <c r="D25" s="1"/>
      <c r="E25" s="3" t="s">
        <v>6</v>
      </c>
      <c r="F25" s="10">
        <f>'Tim Calc'!H16</f>
        <v>35</v>
      </c>
      <c r="G25" s="1"/>
      <c r="H25" s="1"/>
    </row>
    <row r="26" spans="1:8" x14ac:dyDescent="0.4">
      <c r="A26" s="2"/>
      <c r="B26" s="1"/>
      <c r="C26" s="1"/>
      <c r="D26" s="1"/>
      <c r="E26" s="1"/>
      <c r="F26" s="1"/>
      <c r="G26" s="1"/>
      <c r="H26" s="1"/>
    </row>
    <row r="27" spans="1:8" x14ac:dyDescent="0.4">
      <c r="E27" s="1"/>
      <c r="F27" s="1"/>
      <c r="G27" s="1"/>
    </row>
    <row r="28" spans="1:8" x14ac:dyDescent="0.4">
      <c r="E28" s="1"/>
      <c r="F28" s="1"/>
      <c r="G28" s="1"/>
    </row>
    <row r="29" spans="1:8" x14ac:dyDescent="0.4">
      <c r="E29" s="1"/>
      <c r="F29" s="1"/>
      <c r="G29" s="1"/>
    </row>
    <row r="30" spans="1:8" x14ac:dyDescent="0.4">
      <c r="E30" s="1"/>
      <c r="F30" s="1"/>
      <c r="G30" s="1"/>
    </row>
    <row r="31" spans="1:8" x14ac:dyDescent="0.4">
      <c r="E31" s="1"/>
      <c r="F31" s="1"/>
      <c r="G31" s="1"/>
    </row>
  </sheetData>
  <mergeCells count="8">
    <mergeCell ref="B22:B25"/>
    <mergeCell ref="F11:G11"/>
    <mergeCell ref="C5:C11"/>
    <mergeCell ref="C12:C18"/>
    <mergeCell ref="A2:H2"/>
    <mergeCell ref="B5:B14"/>
    <mergeCell ref="B15:B21"/>
    <mergeCell ref="C19:C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60"/>
  <sheetViews>
    <sheetView zoomScaleNormal="100" workbookViewId="0">
      <selection activeCell="B1" sqref="B1:G1"/>
    </sheetView>
  </sheetViews>
  <sheetFormatPr defaultColWidth="8.69140625" defaultRowHeight="14.6" x14ac:dyDescent="0.4"/>
  <cols>
    <col min="1" max="1" width="4.69140625" style="25" customWidth="1"/>
    <col min="2" max="2" width="11.84375" style="25" customWidth="1"/>
    <col min="3" max="3" width="8.69140625" style="25" customWidth="1"/>
    <col min="4" max="4" width="10" style="25" bestFit="1" customWidth="1"/>
    <col min="5" max="5" width="10" style="25" customWidth="1"/>
    <col min="6" max="6" width="8.69140625" style="25" customWidth="1"/>
    <col min="7" max="7" width="9.69140625" style="25" bestFit="1" customWidth="1"/>
    <col min="8" max="8" width="2.53515625" style="25" customWidth="1"/>
    <col min="9" max="9" width="2.69140625" style="25" customWidth="1"/>
    <col min="10" max="10" width="6.53515625" style="25" customWidth="1"/>
    <col min="11" max="11" width="3.69140625" style="34" customWidth="1"/>
    <col min="12" max="12" width="3.53515625" style="25" customWidth="1"/>
    <col min="13" max="13" width="6.53515625" style="25" customWidth="1"/>
    <col min="14" max="14" width="3.69140625" style="34" customWidth="1"/>
    <col min="15" max="15" width="3.53515625" style="25" customWidth="1"/>
    <col min="16" max="16" width="6.53515625" style="25" customWidth="1"/>
    <col min="17" max="17" width="3.69140625" style="25" customWidth="1"/>
    <col min="18" max="18" width="3.53515625" style="25" customWidth="1"/>
    <col min="19" max="19" width="6.53515625" style="25" customWidth="1"/>
    <col min="20" max="20" width="3.69140625" style="34" customWidth="1"/>
    <col min="21" max="21" width="3.53515625" style="25" customWidth="1"/>
    <col min="22" max="22" width="6.53515625" style="25" customWidth="1"/>
    <col min="23" max="23" width="3.69140625" style="34" customWidth="1"/>
    <col min="24" max="24" width="3.53515625" style="25" customWidth="1"/>
    <col min="25" max="25" width="6.53515625" style="25" customWidth="1"/>
    <col min="26" max="26" width="3.69140625" style="34" customWidth="1"/>
    <col min="27" max="27" width="3.53515625" style="25" customWidth="1"/>
    <col min="28" max="28" width="6.53515625" style="25" customWidth="1"/>
    <col min="29" max="29" width="3.69140625" style="34" customWidth="1"/>
    <col min="30" max="30" width="3.53515625" style="25" customWidth="1"/>
    <col min="31" max="31" width="6.53515625" style="25" customWidth="1"/>
    <col min="32" max="32" width="3.69140625" style="34" customWidth="1"/>
    <col min="33" max="33" width="3.53515625" style="25" customWidth="1"/>
    <col min="34" max="34" width="6.53515625" style="25" customWidth="1"/>
    <col min="35" max="35" width="3.69140625" style="34" customWidth="1"/>
    <col min="36" max="36" width="3.53515625" style="25" customWidth="1"/>
    <col min="37" max="37" width="6.53515625" style="25" customWidth="1"/>
    <col min="38" max="38" width="3.69140625" style="34" customWidth="1"/>
    <col min="39" max="39" width="3.53515625" style="25" customWidth="1"/>
    <col min="40" max="40" width="6.53515625" style="25" customWidth="1"/>
    <col min="41" max="41" width="3.69140625" style="34" customWidth="1"/>
    <col min="42" max="42" width="3.53515625" style="25" customWidth="1"/>
    <col min="43" max="43" width="6.53515625" style="25" customWidth="1"/>
    <col min="44" max="44" width="3.69140625" style="34" customWidth="1"/>
    <col min="45" max="50" width="8.69140625" style="25" customWidth="1"/>
    <col min="51" max="16384" width="8.69140625" style="25"/>
  </cols>
  <sheetData>
    <row r="1" spans="2:44" ht="30.75" customHeight="1" x14ac:dyDescent="0.8">
      <c r="B1" s="82" t="s">
        <v>16</v>
      </c>
      <c r="C1" s="75"/>
      <c r="D1" s="75"/>
      <c r="E1" s="75"/>
      <c r="F1" s="75"/>
      <c r="G1" s="75"/>
      <c r="H1" s="40"/>
    </row>
    <row r="2" spans="2:44" ht="15.75" customHeight="1" thickBot="1" x14ac:dyDescent="0.45">
      <c r="J2" s="35"/>
      <c r="K2" s="36" t="s">
        <v>17</v>
      </c>
      <c r="L2" s="74" t="s">
        <v>18</v>
      </c>
      <c r="M2" s="75"/>
    </row>
    <row r="3" spans="2:44" x14ac:dyDescent="0.4">
      <c r="B3" s="104" t="s">
        <v>19</v>
      </c>
      <c r="C3" s="92"/>
      <c r="D3" s="93"/>
      <c r="E3" s="102" t="s">
        <v>20</v>
      </c>
      <c r="F3" s="92"/>
      <c r="G3" s="93"/>
      <c r="H3" s="11"/>
      <c r="J3" s="91" t="s">
        <v>21</v>
      </c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  <c r="AH3" s="91" t="s">
        <v>22</v>
      </c>
      <c r="AI3" s="92"/>
      <c r="AJ3" s="92"/>
      <c r="AK3" s="92"/>
      <c r="AL3" s="92"/>
      <c r="AM3" s="92"/>
      <c r="AN3" s="92"/>
      <c r="AO3" s="92"/>
      <c r="AP3" s="92"/>
      <c r="AQ3" s="92"/>
      <c r="AR3" s="93"/>
    </row>
    <row r="4" spans="2:44" ht="30.75" customHeight="1" thickBot="1" x14ac:dyDescent="0.45">
      <c r="B4" s="42" t="s">
        <v>23</v>
      </c>
      <c r="C4" s="43" t="s">
        <v>24</v>
      </c>
      <c r="D4" s="44" t="s">
        <v>25</v>
      </c>
      <c r="E4" s="45" t="s">
        <v>23</v>
      </c>
      <c r="F4" s="46" t="s">
        <v>24</v>
      </c>
      <c r="G4" s="47" t="s">
        <v>25</v>
      </c>
      <c r="J4" s="94"/>
      <c r="K4" s="77"/>
      <c r="L4" s="75"/>
      <c r="M4" s="75"/>
      <c r="N4" s="77"/>
      <c r="O4" s="75"/>
      <c r="P4" s="75"/>
      <c r="Q4" s="75"/>
      <c r="R4" s="75"/>
      <c r="S4" s="75"/>
      <c r="T4" s="77"/>
      <c r="U4" s="75"/>
      <c r="V4" s="75"/>
      <c r="W4" s="77"/>
      <c r="X4" s="75"/>
      <c r="Y4" s="75"/>
      <c r="Z4" s="77"/>
      <c r="AA4" s="75"/>
      <c r="AB4" s="75"/>
      <c r="AC4" s="77"/>
      <c r="AD4" s="75"/>
      <c r="AE4" s="75"/>
      <c r="AF4" s="88"/>
      <c r="AH4" s="94"/>
      <c r="AI4" s="77"/>
      <c r="AJ4" s="75"/>
      <c r="AK4" s="75"/>
      <c r="AL4" s="77"/>
      <c r="AM4" s="75"/>
      <c r="AN4" s="75"/>
      <c r="AO4" s="77"/>
      <c r="AP4" s="75"/>
      <c r="AQ4" s="75"/>
      <c r="AR4" s="88"/>
    </row>
    <row r="5" spans="2:44" x14ac:dyDescent="0.4">
      <c r="B5" s="33" t="s">
        <v>26</v>
      </c>
      <c r="C5" s="65" t="s">
        <v>27</v>
      </c>
      <c r="D5" s="29">
        <v>11577.60600022646</v>
      </c>
      <c r="E5" s="33" t="s">
        <v>26</v>
      </c>
      <c r="F5" s="65" t="s">
        <v>27</v>
      </c>
      <c r="G5" s="30">
        <v>91339.353076913307</v>
      </c>
      <c r="H5" s="54"/>
      <c r="J5" s="81" t="s">
        <v>28</v>
      </c>
      <c r="K5" s="77"/>
      <c r="M5" s="83" t="s">
        <v>29</v>
      </c>
      <c r="N5" s="77"/>
      <c r="P5" s="76" t="s">
        <v>30</v>
      </c>
      <c r="Q5" s="75"/>
      <c r="S5" s="83" t="s">
        <v>31</v>
      </c>
      <c r="T5" s="77"/>
      <c r="V5" s="83" t="s">
        <v>32</v>
      </c>
      <c r="W5" s="77"/>
      <c r="Y5" s="76" t="s">
        <v>33</v>
      </c>
      <c r="Z5" s="77"/>
      <c r="AB5" s="83" t="s">
        <v>34</v>
      </c>
      <c r="AC5" s="77"/>
      <c r="AE5" s="107" t="s">
        <v>35</v>
      </c>
      <c r="AF5" s="88"/>
      <c r="AH5" s="86" t="s">
        <v>36</v>
      </c>
      <c r="AI5" s="77"/>
      <c r="AK5" s="101" t="s">
        <v>37</v>
      </c>
      <c r="AL5" s="77"/>
      <c r="AN5" s="101" t="s">
        <v>38</v>
      </c>
      <c r="AO5" s="77"/>
      <c r="AQ5" s="108" t="s">
        <v>39</v>
      </c>
      <c r="AR5" s="88"/>
    </row>
    <row r="6" spans="2:44" x14ac:dyDescent="0.4">
      <c r="B6" s="33" t="s">
        <v>40</v>
      </c>
      <c r="C6" s="65" t="s">
        <v>27</v>
      </c>
      <c r="D6" s="29">
        <v>1281.9840398997901</v>
      </c>
      <c r="E6" s="33" t="s">
        <v>41</v>
      </c>
      <c r="F6" s="65" t="s">
        <v>27</v>
      </c>
      <c r="G6" s="30">
        <v>4846.1466035508074</v>
      </c>
      <c r="H6" s="54"/>
      <c r="J6" s="57" t="s">
        <v>42</v>
      </c>
      <c r="K6" s="38">
        <v>1</v>
      </c>
      <c r="M6" s="37" t="s">
        <v>42</v>
      </c>
      <c r="N6" s="38">
        <v>3</v>
      </c>
      <c r="P6" s="37" t="s">
        <v>42</v>
      </c>
      <c r="Q6" s="38">
        <v>2</v>
      </c>
      <c r="S6" s="37" t="s">
        <v>42</v>
      </c>
      <c r="T6" s="38">
        <v>1</v>
      </c>
      <c r="V6" s="37" t="s">
        <v>42</v>
      </c>
      <c r="W6" s="38">
        <v>3</v>
      </c>
      <c r="Y6" s="37" t="s">
        <v>42</v>
      </c>
      <c r="Z6" s="38">
        <v>1</v>
      </c>
      <c r="AB6" s="37" t="s">
        <v>42</v>
      </c>
      <c r="AC6" s="38">
        <v>1</v>
      </c>
      <c r="AE6" s="37" t="s">
        <v>42</v>
      </c>
      <c r="AF6" s="58">
        <v>1</v>
      </c>
      <c r="AH6" s="57" t="s">
        <v>42</v>
      </c>
      <c r="AI6" s="38">
        <v>1</v>
      </c>
      <c r="AK6" s="80"/>
      <c r="AL6" s="80"/>
      <c r="AN6" s="80"/>
      <c r="AO6" s="80"/>
      <c r="AQ6" s="80"/>
      <c r="AR6" s="106"/>
    </row>
    <row r="7" spans="2:44" x14ac:dyDescent="0.4">
      <c r="B7" s="33" t="s">
        <v>43</v>
      </c>
      <c r="C7" s="27">
        <f>IF(B7&lt;&gt;"",IFERROR(VLOOKUP(B7,Refs!$A$3:$B$106,2,FALSE),"Manual"),"")</f>
        <v>2</v>
      </c>
      <c r="D7" s="29">
        <v>2534.2139624637371</v>
      </c>
      <c r="E7" s="33" t="s">
        <v>44</v>
      </c>
      <c r="F7" s="27">
        <v>1</v>
      </c>
      <c r="G7" s="29">
        <v>1093.0816020201351</v>
      </c>
      <c r="H7" s="54"/>
      <c r="J7" s="57" t="s">
        <v>45</v>
      </c>
      <c r="K7" s="39">
        <v>2</v>
      </c>
      <c r="M7" s="37" t="s">
        <v>46</v>
      </c>
      <c r="N7" s="39">
        <v>1</v>
      </c>
      <c r="P7" s="37" t="s">
        <v>45</v>
      </c>
      <c r="Q7" s="38">
        <v>3</v>
      </c>
      <c r="S7" s="37" t="s">
        <v>45</v>
      </c>
      <c r="T7" s="38">
        <v>3</v>
      </c>
      <c r="V7" s="37" t="s">
        <v>46</v>
      </c>
      <c r="W7" s="38">
        <v>3</v>
      </c>
      <c r="Y7" s="37" t="s">
        <v>46</v>
      </c>
      <c r="Z7" s="38">
        <v>3</v>
      </c>
      <c r="AB7" s="37" t="s">
        <v>45</v>
      </c>
      <c r="AC7" s="38">
        <v>1</v>
      </c>
      <c r="AE7" s="37" t="s">
        <v>45</v>
      </c>
      <c r="AF7" s="58">
        <v>1</v>
      </c>
      <c r="AH7" s="57" t="s">
        <v>45</v>
      </c>
      <c r="AI7" s="38">
        <v>2</v>
      </c>
      <c r="AK7" s="37" t="s">
        <v>42</v>
      </c>
      <c r="AL7" s="38">
        <v>1</v>
      </c>
      <c r="AN7" s="37" t="s">
        <v>42</v>
      </c>
      <c r="AO7" s="38">
        <v>2</v>
      </c>
      <c r="AQ7" s="37" t="s">
        <v>42</v>
      </c>
      <c r="AR7" s="58">
        <v>1</v>
      </c>
    </row>
    <row r="8" spans="2:44" x14ac:dyDescent="0.4">
      <c r="B8" s="33"/>
      <c r="C8" s="27" t="str">
        <f>IF(B8&lt;&gt;"",IFERROR(VLOOKUP(B8,Refs!$A$3:$B$106,2,FALSE),"Manual"),"")</f>
        <v/>
      </c>
      <c r="D8" s="29"/>
      <c r="E8" s="33" t="s">
        <v>47</v>
      </c>
      <c r="F8" s="109">
        <v>1</v>
      </c>
      <c r="G8" s="29">
        <v>9942.2702886446823</v>
      </c>
      <c r="H8" s="54"/>
      <c r="J8" s="57" t="s">
        <v>46</v>
      </c>
      <c r="K8" s="38">
        <v>1</v>
      </c>
      <c r="M8" s="37" t="s">
        <v>48</v>
      </c>
      <c r="N8" s="38">
        <v>3</v>
      </c>
      <c r="P8" s="37" t="s">
        <v>46</v>
      </c>
      <c r="Q8" s="38">
        <v>2</v>
      </c>
      <c r="S8" s="37" t="s">
        <v>46</v>
      </c>
      <c r="T8" s="39">
        <v>1</v>
      </c>
      <c r="V8" s="37" t="s">
        <v>49</v>
      </c>
      <c r="W8" s="39">
        <v>1</v>
      </c>
      <c r="Y8" s="37" t="s">
        <v>50</v>
      </c>
      <c r="Z8" s="38">
        <v>2</v>
      </c>
      <c r="AB8" s="37" t="s">
        <v>46</v>
      </c>
      <c r="AC8" s="39">
        <v>2</v>
      </c>
      <c r="AE8" s="37" t="s">
        <v>46</v>
      </c>
      <c r="AF8" s="58">
        <v>1</v>
      </c>
      <c r="AH8" s="57" t="s">
        <v>46</v>
      </c>
      <c r="AI8" s="38">
        <v>2</v>
      </c>
      <c r="AK8" s="37" t="s">
        <v>45</v>
      </c>
      <c r="AL8" s="38">
        <v>1</v>
      </c>
      <c r="AN8" s="37" t="s">
        <v>48</v>
      </c>
      <c r="AO8" s="38">
        <v>2</v>
      </c>
      <c r="AQ8" s="37" t="s">
        <v>45</v>
      </c>
      <c r="AR8" s="58">
        <v>1</v>
      </c>
    </row>
    <row r="9" spans="2:44" ht="15" customHeight="1" x14ac:dyDescent="0.4">
      <c r="B9" s="33"/>
      <c r="C9" s="27" t="str">
        <f>IF(B9&lt;&gt;"",IFERROR(VLOOKUP(B9,Refs!$A$3:$B$106,2,FALSE),"Manual"),"")</f>
        <v/>
      </c>
      <c r="D9" s="29"/>
      <c r="E9" s="33" t="s">
        <v>40</v>
      </c>
      <c r="F9" s="27">
        <f>IF(E9&lt;&gt;"",IFERROR(VLOOKUP(E9,Refs!$A$3:$B$106,2,FALSE),"Manual"),"")</f>
        <v>2</v>
      </c>
      <c r="G9" s="29">
        <v>3416.050445232157</v>
      </c>
      <c r="H9" s="54"/>
      <c r="J9" s="57" t="s">
        <v>50</v>
      </c>
      <c r="K9" s="39">
        <v>2</v>
      </c>
      <c r="M9" s="37" t="s">
        <v>49</v>
      </c>
      <c r="N9" s="39">
        <v>1</v>
      </c>
      <c r="P9" s="37" t="s">
        <v>48</v>
      </c>
      <c r="Q9" s="38">
        <v>1</v>
      </c>
      <c r="S9" s="37" t="s">
        <v>48</v>
      </c>
      <c r="T9" s="39">
        <v>2</v>
      </c>
      <c r="V9" s="37" t="s">
        <v>51</v>
      </c>
      <c r="W9" s="39">
        <v>1</v>
      </c>
      <c r="AE9" s="37" t="s">
        <v>48</v>
      </c>
      <c r="AF9" s="58">
        <v>2</v>
      </c>
      <c r="AH9" s="57" t="s">
        <v>48</v>
      </c>
      <c r="AI9" s="38">
        <v>2</v>
      </c>
      <c r="AN9" s="37" t="s">
        <v>52</v>
      </c>
      <c r="AO9" s="38">
        <v>2</v>
      </c>
      <c r="AQ9" s="37" t="s">
        <v>46</v>
      </c>
      <c r="AR9" s="58">
        <v>2</v>
      </c>
    </row>
    <row r="10" spans="2:44" x14ac:dyDescent="0.4">
      <c r="B10" s="33"/>
      <c r="C10" s="27" t="str">
        <f>IF(B10&lt;&gt;"",IFERROR(VLOOKUP(B10,Refs!$A$3:$B$106,2,FALSE),"Manual"),"")</f>
        <v/>
      </c>
      <c r="D10" s="29"/>
      <c r="E10" s="33" t="s">
        <v>53</v>
      </c>
      <c r="F10" s="27">
        <f>IF(E10&lt;&gt;"",IFERROR(VLOOKUP(E10,Refs!$A$3:$B$106,2,FALSE),"Manual"),"")</f>
        <v>3</v>
      </c>
      <c r="G10" s="29">
        <v>8453.7703940018782</v>
      </c>
      <c r="H10" s="54"/>
      <c r="J10" s="59"/>
      <c r="M10" s="37" t="s">
        <v>51</v>
      </c>
      <c r="N10" s="38">
        <v>2</v>
      </c>
      <c r="P10" s="37" t="s">
        <v>49</v>
      </c>
      <c r="Q10" s="38">
        <v>1</v>
      </c>
      <c r="S10" s="37" t="s">
        <v>49</v>
      </c>
      <c r="T10" s="38">
        <v>1</v>
      </c>
      <c r="V10" s="37" t="s">
        <v>52</v>
      </c>
      <c r="W10" s="38">
        <v>2</v>
      </c>
      <c r="Y10" s="90" t="s">
        <v>54</v>
      </c>
      <c r="Z10" s="77"/>
      <c r="AB10" s="83" t="s">
        <v>55</v>
      </c>
      <c r="AC10" s="77"/>
      <c r="AE10" s="37" t="s">
        <v>49</v>
      </c>
      <c r="AF10" s="58">
        <v>2</v>
      </c>
      <c r="AH10" s="57" t="s">
        <v>49</v>
      </c>
      <c r="AI10" s="38">
        <v>1</v>
      </c>
      <c r="AK10" s="100" t="s">
        <v>56</v>
      </c>
      <c r="AL10" s="77"/>
      <c r="AN10" s="37" t="s">
        <v>57</v>
      </c>
      <c r="AO10" s="38">
        <v>1</v>
      </c>
      <c r="AQ10" s="37" t="s">
        <v>48</v>
      </c>
      <c r="AR10" s="58">
        <v>2</v>
      </c>
    </row>
    <row r="11" spans="2:44" x14ac:dyDescent="0.4">
      <c r="B11" s="33"/>
      <c r="C11" s="27" t="str">
        <f>IF(B11&lt;&gt;"",IFERROR(VLOOKUP(B11,Refs!$A$3:$B$106,2,FALSE),"Manual"),"")</f>
        <v/>
      </c>
      <c r="D11" s="29"/>
      <c r="E11" s="33" t="s">
        <v>43</v>
      </c>
      <c r="F11" s="27">
        <f>IF(E11&lt;&gt;"",IFERROR(VLOOKUP(E11,Refs!$A$3:$B$106,2,FALSE),"Manual"),"")</f>
        <v>2</v>
      </c>
      <c r="G11" s="29">
        <v>6573.0337332287718</v>
      </c>
      <c r="H11" s="54"/>
      <c r="J11" s="81" t="s">
        <v>58</v>
      </c>
      <c r="K11" s="77"/>
      <c r="M11" s="37" t="s">
        <v>59</v>
      </c>
      <c r="N11" s="39">
        <v>2</v>
      </c>
      <c r="P11" s="37" t="s">
        <v>51</v>
      </c>
      <c r="Q11" s="38">
        <v>1</v>
      </c>
      <c r="S11" s="37" t="s">
        <v>59</v>
      </c>
      <c r="T11" s="38">
        <v>2</v>
      </c>
      <c r="V11" s="37" t="s">
        <v>57</v>
      </c>
      <c r="W11" s="38">
        <v>1</v>
      </c>
      <c r="Y11" s="80"/>
      <c r="Z11" s="80"/>
      <c r="AB11" s="37" t="s">
        <v>42</v>
      </c>
      <c r="AC11" s="38">
        <v>2</v>
      </c>
      <c r="AE11" s="41" t="s">
        <v>51</v>
      </c>
      <c r="AF11" s="58">
        <v>2</v>
      </c>
      <c r="AH11" s="57" t="s">
        <v>51</v>
      </c>
      <c r="AI11" s="38">
        <v>2</v>
      </c>
      <c r="AK11" s="37" t="s">
        <v>42</v>
      </c>
      <c r="AL11" s="38">
        <v>1</v>
      </c>
      <c r="AN11" s="37" t="s">
        <v>60</v>
      </c>
      <c r="AO11" s="38">
        <v>1</v>
      </c>
      <c r="AQ11" s="37" t="s">
        <v>49</v>
      </c>
      <c r="AR11" s="58">
        <v>1</v>
      </c>
    </row>
    <row r="12" spans="2:44" x14ac:dyDescent="0.4">
      <c r="B12" s="23"/>
      <c r="C12" s="27" t="str">
        <f>IF(B12&lt;&gt;"",IFERROR(VLOOKUP(B12,Refs!$A$3:$B$106,2,FALSE),"Manual"),"")</f>
        <v/>
      </c>
      <c r="D12" s="29"/>
      <c r="E12" s="33"/>
      <c r="F12" s="27" t="str">
        <f>IF(E12&lt;&gt;"",IFERROR(VLOOKUP(E12,Refs!$A$3:$B$106,2,FALSE),"Manual"),"")</f>
        <v/>
      </c>
      <c r="G12" s="29"/>
      <c r="H12" s="54"/>
      <c r="J12" s="57" t="s">
        <v>50</v>
      </c>
      <c r="K12" s="39">
        <v>2</v>
      </c>
      <c r="M12" s="37" t="s">
        <v>61</v>
      </c>
      <c r="N12" s="38">
        <v>2</v>
      </c>
      <c r="P12" s="37" t="s">
        <v>59</v>
      </c>
      <c r="Q12" s="38">
        <v>2</v>
      </c>
      <c r="S12" s="37" t="s">
        <v>50</v>
      </c>
      <c r="T12" s="38">
        <v>2</v>
      </c>
      <c r="V12" s="37" t="s">
        <v>62</v>
      </c>
      <c r="W12" s="39">
        <v>2</v>
      </c>
      <c r="Y12" s="37" t="s">
        <v>42</v>
      </c>
      <c r="Z12" s="38">
        <v>3</v>
      </c>
      <c r="AB12" s="37" t="s">
        <v>45</v>
      </c>
      <c r="AC12" s="38">
        <v>2</v>
      </c>
      <c r="AE12" s="41" t="s">
        <v>59</v>
      </c>
      <c r="AF12" s="58">
        <v>2</v>
      </c>
      <c r="AH12" s="57" t="s">
        <v>52</v>
      </c>
      <c r="AI12" s="38">
        <v>2</v>
      </c>
      <c r="AK12" s="37" t="s">
        <v>45</v>
      </c>
      <c r="AL12" s="38">
        <v>1</v>
      </c>
      <c r="AN12" s="37" t="s">
        <v>63</v>
      </c>
      <c r="AO12" s="38">
        <v>1</v>
      </c>
      <c r="AQ12" s="37" t="s">
        <v>52</v>
      </c>
      <c r="AR12" s="58">
        <v>2</v>
      </c>
    </row>
    <row r="13" spans="2:44" ht="15" customHeight="1" x14ac:dyDescent="0.4">
      <c r="B13" s="23"/>
      <c r="C13" s="27" t="str">
        <f>IF(B13&lt;&gt;"",IFERROR(VLOOKUP(B13,Refs!$A$3:$B$106,2,FALSE),"Manual"),"")</f>
        <v/>
      </c>
      <c r="D13" s="29"/>
      <c r="E13" s="33"/>
      <c r="F13" s="27" t="str">
        <f>IF(E13&lt;&gt;"",IFERROR(VLOOKUP(E13,Refs!$A$3:$B$106,2,FALSE),"Manual"),"")</f>
        <v/>
      </c>
      <c r="G13" s="29"/>
      <c r="H13" s="54"/>
      <c r="J13" s="59"/>
      <c r="M13" s="37" t="s">
        <v>63</v>
      </c>
      <c r="N13" s="39">
        <v>2</v>
      </c>
      <c r="P13" s="37" t="s">
        <v>64</v>
      </c>
      <c r="Q13" s="38">
        <v>2</v>
      </c>
      <c r="S13" s="37" t="s">
        <v>65</v>
      </c>
      <c r="T13" s="38">
        <v>2</v>
      </c>
      <c r="V13" s="37" t="s">
        <v>60</v>
      </c>
      <c r="W13" s="39">
        <v>2</v>
      </c>
      <c r="Y13" s="37" t="s">
        <v>45</v>
      </c>
      <c r="Z13" s="38">
        <v>1</v>
      </c>
      <c r="AB13" s="37" t="s">
        <v>46</v>
      </c>
      <c r="AC13" s="39">
        <v>2</v>
      </c>
      <c r="AE13" s="41" t="s">
        <v>64</v>
      </c>
      <c r="AF13" s="58">
        <v>2</v>
      </c>
      <c r="AH13" s="57" t="s">
        <v>57</v>
      </c>
      <c r="AI13" s="38">
        <v>3</v>
      </c>
      <c r="AK13" s="37" t="s">
        <v>46</v>
      </c>
      <c r="AL13" s="38">
        <v>1</v>
      </c>
      <c r="AR13" s="60"/>
    </row>
    <row r="14" spans="2:44" x14ac:dyDescent="0.4">
      <c r="B14" s="23"/>
      <c r="C14" s="27" t="str">
        <f>IF(B14&lt;&gt;"",IFERROR(VLOOKUP(B14,Refs!$A$3:$B$106,2,FALSE),"Manual"),"")</f>
        <v/>
      </c>
      <c r="D14" s="29"/>
      <c r="E14" s="33"/>
      <c r="F14" s="27" t="str">
        <f>IF(E14&lt;&gt;"",IFERROR(VLOOKUP(E14,Refs!$A$3:$B$106,2,FALSE),"Manual"),"")</f>
        <v/>
      </c>
      <c r="G14" s="29"/>
      <c r="H14" s="54"/>
      <c r="J14" s="81" t="s">
        <v>66</v>
      </c>
      <c r="K14" s="77"/>
      <c r="M14" s="37" t="s">
        <v>67</v>
      </c>
      <c r="N14" s="38">
        <v>1</v>
      </c>
      <c r="S14" s="37" t="s">
        <v>68</v>
      </c>
      <c r="T14" s="38">
        <v>2</v>
      </c>
      <c r="V14" s="37" t="s">
        <v>69</v>
      </c>
      <c r="W14" s="38">
        <v>3</v>
      </c>
      <c r="Y14" s="37" t="s">
        <v>46</v>
      </c>
      <c r="Z14" s="38">
        <v>2</v>
      </c>
      <c r="AB14" s="37" t="s">
        <v>48</v>
      </c>
      <c r="AC14" s="39">
        <v>3</v>
      </c>
      <c r="AE14" s="41" t="s">
        <v>47</v>
      </c>
      <c r="AF14" s="58">
        <v>2</v>
      </c>
      <c r="AH14" s="57" t="s">
        <v>62</v>
      </c>
      <c r="AI14" s="38">
        <v>2</v>
      </c>
      <c r="AK14" s="37" t="s">
        <v>48</v>
      </c>
      <c r="AL14" s="39">
        <v>1</v>
      </c>
      <c r="AN14" s="100" t="s">
        <v>70</v>
      </c>
      <c r="AO14" s="77"/>
      <c r="AQ14" s="87" t="s">
        <v>71</v>
      </c>
      <c r="AR14" s="88"/>
    </row>
    <row r="15" spans="2:44" x14ac:dyDescent="0.4">
      <c r="B15" s="23"/>
      <c r="C15" s="27" t="str">
        <f>IF(B15&lt;&gt;"",IFERROR(VLOOKUP(B15,Refs!$A$3:$B$106,2,FALSE),"Manual"),"")</f>
        <v/>
      </c>
      <c r="D15" s="29"/>
      <c r="E15" s="33"/>
      <c r="F15" s="27" t="str">
        <f>IF(E15&lt;&gt;"",IFERROR(VLOOKUP(E15,Refs!$A$3:$B$106,2,FALSE),"Manual"),"")</f>
        <v/>
      </c>
      <c r="G15" s="29"/>
      <c r="H15" s="54"/>
      <c r="J15" s="57" t="s">
        <v>42</v>
      </c>
      <c r="K15" s="38">
        <v>1</v>
      </c>
      <c r="M15" s="37" t="s">
        <v>72</v>
      </c>
      <c r="N15" s="39">
        <v>1</v>
      </c>
      <c r="P15" s="76" t="s">
        <v>73</v>
      </c>
      <c r="Q15" s="75"/>
      <c r="V15" s="37" t="s">
        <v>59</v>
      </c>
      <c r="W15" s="38">
        <v>2</v>
      </c>
      <c r="Y15" s="37" t="s">
        <v>48</v>
      </c>
      <c r="Z15" s="38">
        <v>1</v>
      </c>
      <c r="AB15" s="37" t="s">
        <v>49</v>
      </c>
      <c r="AC15" s="38">
        <v>1</v>
      </c>
      <c r="AE15" s="41" t="s">
        <v>61</v>
      </c>
      <c r="AF15" s="58">
        <v>2</v>
      </c>
      <c r="AH15" s="57" t="s">
        <v>60</v>
      </c>
      <c r="AI15" s="38">
        <v>1</v>
      </c>
      <c r="AK15" s="37" t="s">
        <v>49</v>
      </c>
      <c r="AL15" s="39">
        <v>2</v>
      </c>
      <c r="AN15" s="37" t="s">
        <v>42</v>
      </c>
      <c r="AO15" s="38">
        <v>1</v>
      </c>
      <c r="AQ15" s="37" t="s">
        <v>42</v>
      </c>
      <c r="AR15" s="58">
        <v>3</v>
      </c>
    </row>
    <row r="16" spans="2:44" x14ac:dyDescent="0.4">
      <c r="B16" s="23"/>
      <c r="C16" s="27" t="str">
        <f>IF(B16&lt;&gt;"",IFERROR(VLOOKUP(B16,Refs!$A$3:$B$106,2,FALSE),"Manual"),"")</f>
        <v/>
      </c>
      <c r="D16" s="29"/>
      <c r="E16" s="33"/>
      <c r="F16" s="27" t="str">
        <f>IF(E16&lt;&gt;"",IFERROR(VLOOKUP(E16,Refs!$A$3:$B$106,2,FALSE),"Manual"),"")</f>
        <v/>
      </c>
      <c r="G16" s="29"/>
      <c r="H16" s="54"/>
      <c r="J16" s="57" t="s">
        <v>45</v>
      </c>
      <c r="K16" s="38">
        <v>1</v>
      </c>
      <c r="M16" s="37" t="s">
        <v>74</v>
      </c>
      <c r="N16" s="38">
        <v>1</v>
      </c>
      <c r="P16" s="37" t="s">
        <v>42</v>
      </c>
      <c r="Q16" s="38">
        <v>1</v>
      </c>
      <c r="S16" s="76" t="s">
        <v>75</v>
      </c>
      <c r="T16" s="77"/>
      <c r="V16" s="37" t="s">
        <v>63</v>
      </c>
      <c r="W16" s="38">
        <v>1</v>
      </c>
      <c r="Y16" s="37" t="s">
        <v>52</v>
      </c>
      <c r="Z16" s="38">
        <v>1</v>
      </c>
      <c r="AB16" s="37" t="s">
        <v>51</v>
      </c>
      <c r="AC16" s="38">
        <v>3</v>
      </c>
      <c r="AF16" s="60"/>
      <c r="AH16" s="57" t="s">
        <v>69</v>
      </c>
      <c r="AI16" s="38">
        <v>1</v>
      </c>
      <c r="AK16" s="37" t="s">
        <v>51</v>
      </c>
      <c r="AL16" s="39">
        <v>1</v>
      </c>
      <c r="AN16" s="37" t="s">
        <v>48</v>
      </c>
      <c r="AO16" s="38">
        <v>2</v>
      </c>
      <c r="AQ16" s="37" t="s">
        <v>48</v>
      </c>
      <c r="AR16" s="58">
        <v>2</v>
      </c>
    </row>
    <row r="17" spans="2:44" x14ac:dyDescent="0.4">
      <c r="B17" s="23"/>
      <c r="C17" s="27" t="str">
        <f>IF(B17&lt;&gt;"",IFERROR(VLOOKUP(B17,Refs!$A$3:$B$106,2,FALSE),"Manual"),"")</f>
        <v/>
      </c>
      <c r="D17" s="29"/>
      <c r="E17" s="33"/>
      <c r="F17" s="27" t="str">
        <f>IF(E17&lt;&gt;"",IFERROR(VLOOKUP(E17,Refs!$A$3:$B$106,2,FALSE),"Manual"),"")</f>
        <v/>
      </c>
      <c r="G17" s="29"/>
      <c r="H17" s="54"/>
      <c r="J17" s="57" t="s">
        <v>59</v>
      </c>
      <c r="K17" s="39">
        <v>2</v>
      </c>
      <c r="M17" s="37" t="s">
        <v>76</v>
      </c>
      <c r="N17" s="39">
        <v>1</v>
      </c>
      <c r="P17" s="37" t="s">
        <v>45</v>
      </c>
      <c r="Q17" s="38">
        <v>3</v>
      </c>
      <c r="S17" s="37" t="s">
        <v>42</v>
      </c>
      <c r="T17" s="38">
        <v>1</v>
      </c>
      <c r="V17" s="37" t="s">
        <v>67</v>
      </c>
      <c r="W17" s="38">
        <v>1</v>
      </c>
      <c r="Y17" s="37" t="s">
        <v>57</v>
      </c>
      <c r="Z17" s="38">
        <v>1</v>
      </c>
      <c r="AB17" s="37" t="s">
        <v>52</v>
      </c>
      <c r="AC17" s="39">
        <v>2</v>
      </c>
      <c r="AE17" s="105" t="s">
        <v>77</v>
      </c>
      <c r="AF17" s="88"/>
      <c r="AH17" s="57" t="s">
        <v>78</v>
      </c>
      <c r="AI17" s="38">
        <v>2</v>
      </c>
      <c r="AK17" s="37" t="s">
        <v>52</v>
      </c>
      <c r="AL17" s="39">
        <v>2</v>
      </c>
      <c r="AN17" s="37" t="s">
        <v>57</v>
      </c>
      <c r="AO17" s="38">
        <v>1</v>
      </c>
      <c r="AQ17" s="37" t="s">
        <v>49</v>
      </c>
      <c r="AR17" s="58">
        <v>2</v>
      </c>
    </row>
    <row r="18" spans="2:44" x14ac:dyDescent="0.4">
      <c r="B18" s="23"/>
      <c r="C18" s="27" t="str">
        <f>IF(B18&lt;&gt;"",IFERROR(VLOOKUP(B18,Refs!$A$3:$B$106,2,FALSE),"Manual"),"")</f>
        <v/>
      </c>
      <c r="D18" s="29"/>
      <c r="E18" s="33"/>
      <c r="F18" s="27" t="str">
        <f>IF(E18&lt;&gt;"",IFERROR(VLOOKUP(E18,Refs!$A$3:$B$106,2,FALSE),"Manual"),"")</f>
        <v/>
      </c>
      <c r="G18" s="29"/>
      <c r="H18" s="54"/>
      <c r="J18" s="57" t="s">
        <v>61</v>
      </c>
      <c r="K18" s="39">
        <v>2</v>
      </c>
      <c r="M18" s="37" t="s">
        <v>79</v>
      </c>
      <c r="N18" s="38">
        <v>1</v>
      </c>
      <c r="P18" s="37" t="s">
        <v>46</v>
      </c>
      <c r="Q18" s="38">
        <v>3</v>
      </c>
      <c r="S18" s="37" t="s">
        <v>45</v>
      </c>
      <c r="T18" s="38">
        <v>3</v>
      </c>
      <c r="V18" s="37" t="s">
        <v>72</v>
      </c>
      <c r="W18" s="38">
        <v>1</v>
      </c>
      <c r="Y18" s="37" t="s">
        <v>62</v>
      </c>
      <c r="Z18" s="38">
        <v>2</v>
      </c>
      <c r="AB18" s="37" t="s">
        <v>57</v>
      </c>
      <c r="AC18" s="39">
        <v>3</v>
      </c>
      <c r="AE18" s="80"/>
      <c r="AF18" s="106"/>
      <c r="AH18" s="57" t="s">
        <v>80</v>
      </c>
      <c r="AI18" s="38">
        <v>1</v>
      </c>
      <c r="AK18" s="37" t="s">
        <v>62</v>
      </c>
      <c r="AL18" s="39">
        <v>2</v>
      </c>
      <c r="AQ18" s="37" t="s">
        <v>52</v>
      </c>
      <c r="AR18" s="58">
        <v>1</v>
      </c>
    </row>
    <row r="19" spans="2:44" x14ac:dyDescent="0.4">
      <c r="B19" s="23"/>
      <c r="C19" s="27" t="str">
        <f>IF(B19&lt;&gt;"",IFERROR(VLOOKUP(B19,Refs!$A$3:$B$106,2,FALSE),"Manual"),"")</f>
        <v/>
      </c>
      <c r="D19" s="29"/>
      <c r="E19" s="33"/>
      <c r="F19" s="27" t="str">
        <f>IF(E19&lt;&gt;"",IFERROR(VLOOKUP(E19,Refs!$A$3:$B$106,2,FALSE),"Manual"),"")</f>
        <v/>
      </c>
      <c r="G19" s="29"/>
      <c r="H19" s="54"/>
      <c r="J19" s="59"/>
      <c r="M19" s="37" t="s">
        <v>81</v>
      </c>
      <c r="N19" s="39">
        <v>2</v>
      </c>
      <c r="P19" s="37" t="s">
        <v>48</v>
      </c>
      <c r="Q19" s="38">
        <v>3</v>
      </c>
      <c r="S19" s="37" t="s">
        <v>46</v>
      </c>
      <c r="T19" s="38">
        <v>2</v>
      </c>
      <c r="V19" s="37" t="s">
        <v>74</v>
      </c>
      <c r="W19" s="38">
        <v>1</v>
      </c>
      <c r="Y19" s="37" t="s">
        <v>59</v>
      </c>
      <c r="Z19" s="38">
        <v>1</v>
      </c>
      <c r="AB19" s="37" t="s">
        <v>62</v>
      </c>
      <c r="AC19" s="38">
        <v>2</v>
      </c>
      <c r="AE19" s="37" t="s">
        <v>42</v>
      </c>
      <c r="AF19" s="58">
        <v>3</v>
      </c>
      <c r="AH19" s="57" t="s">
        <v>82</v>
      </c>
      <c r="AI19" s="38">
        <v>2</v>
      </c>
      <c r="AK19" s="37" t="s">
        <v>60</v>
      </c>
      <c r="AL19" s="39">
        <v>1</v>
      </c>
      <c r="AN19" s="100" t="s">
        <v>83</v>
      </c>
      <c r="AO19" s="77"/>
      <c r="AQ19" s="37" t="s">
        <v>62</v>
      </c>
      <c r="AR19" s="58">
        <v>1</v>
      </c>
    </row>
    <row r="20" spans="2:44" x14ac:dyDescent="0.4">
      <c r="B20" s="23"/>
      <c r="C20" s="27" t="str">
        <f>IF(B20&lt;&gt;"",IFERROR(VLOOKUP(B20,Refs!$A$3:$B$106,2,FALSE),"Manual"),"")</f>
        <v/>
      </c>
      <c r="D20" s="29"/>
      <c r="E20" s="33"/>
      <c r="F20" s="27" t="str">
        <f>IF(E20&lt;&gt;"",IFERROR(VLOOKUP(E20,Refs!$A$3:$B$106,2,FALSE),"Manual"),"")</f>
        <v/>
      </c>
      <c r="G20" s="29"/>
      <c r="H20" s="54"/>
      <c r="J20" s="81" t="s">
        <v>84</v>
      </c>
      <c r="K20" s="77"/>
      <c r="M20" s="37" t="s">
        <v>85</v>
      </c>
      <c r="N20" s="38">
        <v>1</v>
      </c>
      <c r="P20" s="37" t="s">
        <v>49</v>
      </c>
      <c r="Q20" s="38">
        <v>3</v>
      </c>
      <c r="S20" s="37" t="s">
        <v>59</v>
      </c>
      <c r="T20" s="38">
        <v>1</v>
      </c>
      <c r="V20" s="37" t="s">
        <v>76</v>
      </c>
      <c r="W20" s="38">
        <v>1</v>
      </c>
      <c r="AB20" s="37" t="s">
        <v>60</v>
      </c>
      <c r="AC20" s="38">
        <v>3</v>
      </c>
      <c r="AE20" s="37" t="s">
        <v>45</v>
      </c>
      <c r="AF20" s="58">
        <v>1</v>
      </c>
      <c r="AH20" s="57" t="s">
        <v>86</v>
      </c>
      <c r="AI20" s="38">
        <v>2</v>
      </c>
      <c r="AK20" s="37" t="s">
        <v>69</v>
      </c>
      <c r="AL20" s="39">
        <v>1</v>
      </c>
      <c r="AN20" s="37" t="s">
        <v>42</v>
      </c>
      <c r="AO20" s="38">
        <v>3</v>
      </c>
      <c r="AQ20" s="37" t="s">
        <v>64</v>
      </c>
      <c r="AR20" s="58">
        <v>1</v>
      </c>
    </row>
    <row r="21" spans="2:44" x14ac:dyDescent="0.4">
      <c r="B21" s="23"/>
      <c r="C21" s="27" t="str">
        <f>IF(B21&lt;&gt;"",IFERROR(VLOOKUP(B21,Refs!$A$3:$B$106,2,FALSE),"Manual"),"")</f>
        <v/>
      </c>
      <c r="D21" s="29"/>
      <c r="E21" s="23"/>
      <c r="F21" s="27" t="str">
        <f>IF(E21&lt;&gt;"",IFERROR(VLOOKUP(E21,Refs!$A$3:$B$106,2,FALSE),"Manual"),"")</f>
        <v/>
      </c>
      <c r="G21" s="29"/>
      <c r="H21" s="54"/>
      <c r="J21" s="57" t="s">
        <v>42</v>
      </c>
      <c r="K21" s="38">
        <v>2</v>
      </c>
      <c r="M21" s="37" t="s">
        <v>87</v>
      </c>
      <c r="N21" s="39">
        <v>1</v>
      </c>
      <c r="P21" s="37" t="s">
        <v>51</v>
      </c>
      <c r="Q21" s="38">
        <v>2</v>
      </c>
      <c r="S21" s="37" t="s">
        <v>64</v>
      </c>
      <c r="T21" s="38">
        <v>2</v>
      </c>
      <c r="V21" s="37" t="s">
        <v>79</v>
      </c>
      <c r="W21" s="38">
        <v>1</v>
      </c>
      <c r="Y21" s="83" t="s">
        <v>88</v>
      </c>
      <c r="Z21" s="77"/>
      <c r="AB21" s="37" t="s">
        <v>59</v>
      </c>
      <c r="AC21" s="38">
        <v>2</v>
      </c>
      <c r="AE21" s="37" t="s">
        <v>46</v>
      </c>
      <c r="AF21" s="58">
        <v>2</v>
      </c>
      <c r="AH21" s="57" t="s">
        <v>59</v>
      </c>
      <c r="AI21" s="38">
        <v>1</v>
      </c>
      <c r="AK21" s="37" t="s">
        <v>78</v>
      </c>
      <c r="AL21" s="38">
        <v>2</v>
      </c>
      <c r="AN21" s="37" t="s">
        <v>45</v>
      </c>
      <c r="AO21" s="38">
        <v>2</v>
      </c>
      <c r="AR21" s="60"/>
    </row>
    <row r="22" spans="2:44" x14ac:dyDescent="0.4">
      <c r="B22" s="23"/>
      <c r="C22" s="27" t="str">
        <f>IF(B22&lt;&gt;"",IFERROR(VLOOKUP(B22,Refs!$A$3:$B$106,2,FALSE),"Manual"),"")</f>
        <v/>
      </c>
      <c r="D22" s="29"/>
      <c r="E22" s="32"/>
      <c r="F22" s="27" t="str">
        <f>IF(E22&lt;&gt;"",IFERROR(VLOOKUP(E22,Refs!$A$3:$B$106,2,FALSE),"Manual"),"")</f>
        <v/>
      </c>
      <c r="G22" s="29"/>
      <c r="H22" s="54"/>
      <c r="J22" s="57" t="s">
        <v>45</v>
      </c>
      <c r="K22" s="38">
        <v>2</v>
      </c>
      <c r="M22" s="37" t="s">
        <v>89</v>
      </c>
      <c r="N22" s="38">
        <v>2</v>
      </c>
      <c r="P22" s="37" t="s">
        <v>59</v>
      </c>
      <c r="Q22" s="38">
        <v>1</v>
      </c>
      <c r="V22" s="37" t="s">
        <v>81</v>
      </c>
      <c r="W22" s="38">
        <v>2</v>
      </c>
      <c r="Y22" s="37" t="s">
        <v>42</v>
      </c>
      <c r="Z22" s="38">
        <v>1</v>
      </c>
      <c r="AB22" s="37" t="s">
        <v>64</v>
      </c>
      <c r="AC22" s="38">
        <v>3</v>
      </c>
      <c r="AE22" s="37" t="s">
        <v>48</v>
      </c>
      <c r="AF22" s="58">
        <v>1</v>
      </c>
      <c r="AH22" s="57" t="s">
        <v>63</v>
      </c>
      <c r="AI22" s="38">
        <v>1</v>
      </c>
      <c r="AK22" s="37" t="s">
        <v>59</v>
      </c>
      <c r="AL22" s="38">
        <v>1</v>
      </c>
      <c r="AN22" s="37" t="s">
        <v>46</v>
      </c>
      <c r="AO22" s="38">
        <v>2</v>
      </c>
      <c r="AQ22" s="87" t="s">
        <v>90</v>
      </c>
      <c r="AR22" s="88"/>
    </row>
    <row r="23" spans="2:44" x14ac:dyDescent="0.4">
      <c r="B23" s="23"/>
      <c r="C23" s="27" t="str">
        <f>IF(B23&lt;&gt;"",IFERROR(VLOOKUP(B23,Refs!$A$3:$B$106,2,FALSE),"Manual"),"")</f>
        <v/>
      </c>
      <c r="D23" s="29"/>
      <c r="E23" s="32"/>
      <c r="F23" s="27" t="str">
        <f>IF(E23&lt;&gt;"",IFERROR(VLOOKUP(E23,Refs!$A$3:$B$106,2,FALSE),"Manual"),"")</f>
        <v/>
      </c>
      <c r="G23" s="29"/>
      <c r="H23" s="54"/>
      <c r="J23" s="57" t="s">
        <v>46</v>
      </c>
      <c r="K23" s="38">
        <v>3</v>
      </c>
      <c r="M23" s="37" t="s">
        <v>91</v>
      </c>
      <c r="N23" s="39">
        <v>1</v>
      </c>
      <c r="P23" s="37" t="s">
        <v>64</v>
      </c>
      <c r="Q23" s="38">
        <v>2</v>
      </c>
      <c r="S23" s="76" t="s">
        <v>92</v>
      </c>
      <c r="T23" s="77"/>
      <c r="V23" s="37" t="s">
        <v>85</v>
      </c>
      <c r="W23" s="38">
        <v>1</v>
      </c>
      <c r="Y23" s="37" t="s">
        <v>45</v>
      </c>
      <c r="Z23" s="38">
        <v>1</v>
      </c>
      <c r="AB23" s="37" t="s">
        <v>47</v>
      </c>
      <c r="AC23" s="38">
        <v>2</v>
      </c>
      <c r="AE23" s="37" t="s">
        <v>49</v>
      </c>
      <c r="AF23" s="58">
        <v>1</v>
      </c>
      <c r="AH23" s="57" t="s">
        <v>67</v>
      </c>
      <c r="AI23" s="38">
        <v>1</v>
      </c>
      <c r="AN23" s="37" t="s">
        <v>48</v>
      </c>
      <c r="AO23" s="39">
        <v>1</v>
      </c>
      <c r="AQ23" s="37" t="s">
        <v>42</v>
      </c>
      <c r="AR23" s="58">
        <v>2</v>
      </c>
    </row>
    <row r="24" spans="2:44" x14ac:dyDescent="0.4">
      <c r="B24" s="23"/>
      <c r="C24" s="27" t="str">
        <f>IF(B24&lt;&gt;"",IFERROR(VLOOKUP(B24,Refs!$A$3:$B$106,2,FALSE),"Manual"),"")</f>
        <v/>
      </c>
      <c r="D24" s="29"/>
      <c r="E24" s="32"/>
      <c r="F24" s="27" t="str">
        <f>IF(E24&lt;&gt;"",IFERROR(VLOOKUP(E24,Refs!$A$3:$B$106,2,FALSE),"Manual"),"")</f>
        <v/>
      </c>
      <c r="G24" s="29"/>
      <c r="H24" s="54"/>
      <c r="J24" s="57" t="s">
        <v>48</v>
      </c>
      <c r="K24" s="38">
        <v>1</v>
      </c>
      <c r="M24" s="37" t="s">
        <v>93</v>
      </c>
      <c r="N24" s="38">
        <v>1</v>
      </c>
      <c r="S24" s="37" t="s">
        <v>42</v>
      </c>
      <c r="T24" s="38">
        <v>1</v>
      </c>
      <c r="V24" s="37" t="s">
        <v>87</v>
      </c>
      <c r="W24" s="38">
        <v>2</v>
      </c>
      <c r="Y24" s="37" t="s">
        <v>46</v>
      </c>
      <c r="Z24" s="39">
        <v>1</v>
      </c>
      <c r="AB24" s="37" t="s">
        <v>94</v>
      </c>
      <c r="AC24" s="38">
        <v>1</v>
      </c>
      <c r="AE24" s="41" t="s">
        <v>51</v>
      </c>
      <c r="AF24" s="58">
        <v>1</v>
      </c>
      <c r="AH24" s="59"/>
      <c r="AK24" s="101" t="s">
        <v>95</v>
      </c>
      <c r="AL24" s="77"/>
      <c r="AN24" s="37" t="s">
        <v>52</v>
      </c>
      <c r="AO24" s="39">
        <v>2</v>
      </c>
      <c r="AQ24" s="37" t="s">
        <v>45</v>
      </c>
      <c r="AR24" s="58">
        <v>2</v>
      </c>
    </row>
    <row r="25" spans="2:44" ht="15.75" customHeight="1" thickBot="1" x14ac:dyDescent="0.45">
      <c r="B25" s="23"/>
      <c r="C25" s="27" t="str">
        <f>IF(B25&lt;&gt;"",IFERROR(VLOOKUP(B25,Refs!$A$3:$B$106,2,FALSE),"Manual"),"")</f>
        <v/>
      </c>
      <c r="D25" s="29"/>
      <c r="E25" s="32"/>
      <c r="F25" s="27" t="str">
        <f>IF(E25&lt;&gt;"",IFERROR(VLOOKUP(E25,Refs!$A$3:$B$106,2,FALSE),"Manual"),"")</f>
        <v/>
      </c>
      <c r="G25" s="29"/>
      <c r="H25" s="54"/>
      <c r="J25" s="57" t="s">
        <v>49</v>
      </c>
      <c r="K25" s="38">
        <v>1</v>
      </c>
      <c r="M25" s="37" t="s">
        <v>96</v>
      </c>
      <c r="N25" s="38">
        <v>2</v>
      </c>
      <c r="P25" s="83" t="s">
        <v>97</v>
      </c>
      <c r="Q25" s="75"/>
      <c r="S25" s="37" t="s">
        <v>45</v>
      </c>
      <c r="T25" s="38">
        <v>2</v>
      </c>
      <c r="V25" s="37" t="s">
        <v>91</v>
      </c>
      <c r="W25" s="38">
        <v>1</v>
      </c>
      <c r="Y25" s="37" t="s">
        <v>48</v>
      </c>
      <c r="Z25" s="39">
        <v>1</v>
      </c>
      <c r="AB25" s="37" t="s">
        <v>98</v>
      </c>
      <c r="AC25" s="38">
        <v>1</v>
      </c>
      <c r="AE25" s="37" t="s">
        <v>52</v>
      </c>
      <c r="AF25" s="58">
        <v>1</v>
      </c>
      <c r="AH25" s="86" t="s">
        <v>99</v>
      </c>
      <c r="AI25" s="77"/>
      <c r="AK25" s="80"/>
      <c r="AL25" s="80"/>
      <c r="AN25" s="37" t="s">
        <v>57</v>
      </c>
      <c r="AO25" s="39">
        <v>2</v>
      </c>
      <c r="AQ25" s="37" t="s">
        <v>46</v>
      </c>
      <c r="AR25" s="58">
        <v>2</v>
      </c>
    </row>
    <row r="26" spans="2:44" ht="15.75" customHeight="1" thickBot="1" x14ac:dyDescent="0.45">
      <c r="B26" s="103" t="s">
        <v>100</v>
      </c>
      <c r="C26" s="85"/>
      <c r="D26" s="48">
        <f>IF('Tim Calc'!C43&lt;&gt;0,"ERROR",(SUM(C5:C25)*0)+SUMIF(C5:C25,1,D5:D25))</f>
        <v>0</v>
      </c>
      <c r="E26" s="103" t="s">
        <v>100</v>
      </c>
      <c r="F26" s="85"/>
      <c r="G26" s="48">
        <f>IF('Tim Calc'!D43&lt;&gt;0,"ERROR",SUMIF(F5:F25,1,G5:G25))</f>
        <v>11035.351890664817</v>
      </c>
      <c r="H26" s="55"/>
      <c r="J26" s="57" t="s">
        <v>51</v>
      </c>
      <c r="K26" s="38">
        <v>1</v>
      </c>
      <c r="M26" s="37" t="s">
        <v>50</v>
      </c>
      <c r="N26" s="39">
        <v>2</v>
      </c>
      <c r="P26" s="37" t="s">
        <v>42</v>
      </c>
      <c r="Q26" s="38">
        <v>3</v>
      </c>
      <c r="S26" s="37" t="s">
        <v>46</v>
      </c>
      <c r="T26" s="38">
        <v>1</v>
      </c>
      <c r="V26" s="37" t="s">
        <v>93</v>
      </c>
      <c r="W26" s="38">
        <v>1</v>
      </c>
      <c r="Y26" s="37" t="s">
        <v>50</v>
      </c>
      <c r="Z26" s="38">
        <v>2</v>
      </c>
      <c r="AB26" s="37" t="s">
        <v>101</v>
      </c>
      <c r="AC26" s="38">
        <v>2</v>
      </c>
      <c r="AE26" s="41" t="s">
        <v>57</v>
      </c>
      <c r="AF26" s="58">
        <v>1</v>
      </c>
      <c r="AH26" s="57" t="s">
        <v>49</v>
      </c>
      <c r="AI26" s="38">
        <v>3</v>
      </c>
      <c r="AK26" s="37" t="s">
        <v>42</v>
      </c>
      <c r="AL26" s="38">
        <v>2</v>
      </c>
      <c r="AN26" s="37" t="s">
        <v>63</v>
      </c>
      <c r="AO26" s="39">
        <v>1</v>
      </c>
      <c r="AQ26" s="37" t="s">
        <v>48</v>
      </c>
      <c r="AR26" s="58">
        <v>1</v>
      </c>
    </row>
    <row r="27" spans="2:44" ht="15.75" customHeight="1" thickBot="1" x14ac:dyDescent="0.45">
      <c r="B27" s="84" t="s">
        <v>102</v>
      </c>
      <c r="C27" s="85"/>
      <c r="D27" s="49">
        <f>IF('Tim Calc'!C43&lt;&gt;0,"ERROR",SUMIF(C5:C25,2,D5:D25))</f>
        <v>2534.2139624637371</v>
      </c>
      <c r="E27" s="84" t="s">
        <v>102</v>
      </c>
      <c r="F27" s="85"/>
      <c r="G27" s="49">
        <f>IF('Tim Calc'!D43&lt;&gt;0,"ERROR",SUMIF(F5:F25,2,G5:G25))</f>
        <v>9989.0841784609293</v>
      </c>
      <c r="H27" s="55"/>
      <c r="I27" s="28"/>
      <c r="J27" s="57" t="s">
        <v>59</v>
      </c>
      <c r="K27" s="38">
        <v>2</v>
      </c>
      <c r="M27" s="37" t="s">
        <v>65</v>
      </c>
      <c r="N27" s="38">
        <v>2</v>
      </c>
      <c r="P27" s="37" t="s">
        <v>45</v>
      </c>
      <c r="Q27" s="39">
        <v>1</v>
      </c>
      <c r="S27" s="37" t="s">
        <v>50</v>
      </c>
      <c r="T27" s="38">
        <v>2</v>
      </c>
      <c r="Y27" s="37" t="s">
        <v>65</v>
      </c>
      <c r="Z27" s="38">
        <v>2</v>
      </c>
      <c r="AB27" s="37" t="s">
        <v>63</v>
      </c>
      <c r="AC27" s="38">
        <v>2</v>
      </c>
      <c r="AE27" s="37" t="s">
        <v>62</v>
      </c>
      <c r="AF27" s="58">
        <v>1</v>
      </c>
      <c r="AH27" s="57" t="s">
        <v>63</v>
      </c>
      <c r="AI27" s="38">
        <v>1</v>
      </c>
      <c r="AK27" s="37" t="s">
        <v>46</v>
      </c>
      <c r="AL27" s="38">
        <v>1</v>
      </c>
      <c r="AQ27" s="37" t="s">
        <v>49</v>
      </c>
      <c r="AR27" s="58">
        <v>1</v>
      </c>
    </row>
    <row r="28" spans="2:44" ht="15.75" customHeight="1" thickBot="1" x14ac:dyDescent="0.45">
      <c r="B28" s="95" t="s">
        <v>103</v>
      </c>
      <c r="C28" s="85"/>
      <c r="D28" s="50">
        <f>IF('Tim Calc'!C43&lt;&gt;0,"ERROR",SUMIF(C5:C25,3,D5:D25))</f>
        <v>0</v>
      </c>
      <c r="E28" s="95" t="s">
        <v>103</v>
      </c>
      <c r="F28" s="85"/>
      <c r="G28" s="50">
        <f>IF('Tim Calc'!D43&lt;&gt;0,"ERROR",SUMIF(F5:F25,3,G5:G25))</f>
        <v>8453.7703940018782</v>
      </c>
      <c r="H28" s="55"/>
      <c r="J28" s="57" t="s">
        <v>64</v>
      </c>
      <c r="K28" s="38">
        <v>2</v>
      </c>
      <c r="P28" s="37" t="s">
        <v>48</v>
      </c>
      <c r="Q28" s="39">
        <v>1</v>
      </c>
      <c r="V28" s="76" t="s">
        <v>104</v>
      </c>
      <c r="W28" s="77"/>
      <c r="AB28" s="37" t="s">
        <v>67</v>
      </c>
      <c r="AC28" s="38">
        <v>1</v>
      </c>
      <c r="AE28" s="41" t="s">
        <v>60</v>
      </c>
      <c r="AF28" s="58">
        <v>2</v>
      </c>
      <c r="AH28" s="57" t="s">
        <v>67</v>
      </c>
      <c r="AI28" s="38">
        <v>1</v>
      </c>
      <c r="AK28" s="37" t="s">
        <v>48</v>
      </c>
      <c r="AL28" s="38">
        <v>2</v>
      </c>
      <c r="AN28" s="101" t="s">
        <v>105</v>
      </c>
      <c r="AO28" s="77"/>
      <c r="AQ28" s="37" t="s">
        <v>51</v>
      </c>
      <c r="AR28" s="58">
        <v>2</v>
      </c>
    </row>
    <row r="29" spans="2:44" ht="15.75" customHeight="1" thickBot="1" x14ac:dyDescent="0.45">
      <c r="B29" s="89" t="s">
        <v>106</v>
      </c>
      <c r="C29" s="85"/>
      <c r="D29" s="31" t="str">
        <f>'Tim Calc'!M2</f>
        <v>GOOD</v>
      </c>
      <c r="E29" s="89" t="s">
        <v>106</v>
      </c>
      <c r="F29" s="85"/>
      <c r="G29" s="31" t="str">
        <f>'Tim Calc'!M5</f>
        <v>GOOD</v>
      </c>
      <c r="H29" s="34"/>
      <c r="J29" s="57" t="s">
        <v>50</v>
      </c>
      <c r="K29" s="38">
        <v>2</v>
      </c>
      <c r="M29" s="83" t="s">
        <v>107</v>
      </c>
      <c r="N29" s="77"/>
      <c r="P29" s="37" t="s">
        <v>49</v>
      </c>
      <c r="Q29" s="38">
        <v>2</v>
      </c>
      <c r="S29" s="76" t="s">
        <v>108</v>
      </c>
      <c r="T29" s="77"/>
      <c r="V29" s="37" t="s">
        <v>42</v>
      </c>
      <c r="W29" s="38">
        <v>3</v>
      </c>
      <c r="Y29" s="90" t="s">
        <v>109</v>
      </c>
      <c r="Z29" s="77"/>
      <c r="AB29" s="37" t="s">
        <v>72</v>
      </c>
      <c r="AC29" s="38">
        <v>1</v>
      </c>
      <c r="AE29" s="37" t="s">
        <v>69</v>
      </c>
      <c r="AF29" s="58">
        <v>1</v>
      </c>
      <c r="AH29" s="59"/>
      <c r="AK29" s="37" t="s">
        <v>49</v>
      </c>
      <c r="AL29" s="38">
        <v>1</v>
      </c>
      <c r="AN29" s="80"/>
      <c r="AO29" s="80"/>
      <c r="AQ29" s="37" t="s">
        <v>52</v>
      </c>
      <c r="AR29" s="58">
        <v>1</v>
      </c>
    </row>
    <row r="30" spans="2:44" x14ac:dyDescent="0.4">
      <c r="J30" s="59"/>
      <c r="M30" s="37" t="s">
        <v>61</v>
      </c>
      <c r="N30" s="39">
        <v>2</v>
      </c>
      <c r="P30" s="37" t="s">
        <v>51</v>
      </c>
      <c r="Q30" s="39">
        <v>1</v>
      </c>
      <c r="S30" s="37" t="s">
        <v>42</v>
      </c>
      <c r="T30" s="38">
        <v>1</v>
      </c>
      <c r="V30" s="37" t="s">
        <v>59</v>
      </c>
      <c r="W30" s="38">
        <v>1</v>
      </c>
      <c r="Y30" s="80"/>
      <c r="Z30" s="80"/>
      <c r="AB30" s="37" t="s">
        <v>74</v>
      </c>
      <c r="AC30" s="38">
        <v>1</v>
      </c>
      <c r="AF30" s="60"/>
      <c r="AH30" s="86" t="s">
        <v>110</v>
      </c>
      <c r="AI30" s="77"/>
      <c r="AK30" s="37" t="s">
        <v>52</v>
      </c>
      <c r="AL30" s="38">
        <v>3</v>
      </c>
      <c r="AN30" s="37" t="s">
        <v>48</v>
      </c>
      <c r="AO30" s="38">
        <v>2</v>
      </c>
      <c r="AR30" s="60"/>
    </row>
    <row r="31" spans="2:44" ht="17.25" customHeight="1" x14ac:dyDescent="0.4">
      <c r="B31" s="25" t="s">
        <v>111</v>
      </c>
      <c r="D31" s="28">
        <f>PI()*(70^2)</f>
        <v>15393.804002589986</v>
      </c>
      <c r="E31" t="s">
        <v>112</v>
      </c>
      <c r="J31" s="81" t="s">
        <v>113</v>
      </c>
      <c r="K31" s="77"/>
      <c r="M31" s="37" t="s">
        <v>114</v>
      </c>
      <c r="N31" s="39">
        <v>2</v>
      </c>
      <c r="P31" s="37" t="s">
        <v>52</v>
      </c>
      <c r="Q31" s="38">
        <v>1</v>
      </c>
      <c r="S31" s="37" t="s">
        <v>45</v>
      </c>
      <c r="T31" s="38">
        <v>2</v>
      </c>
      <c r="V31" s="37" t="s">
        <v>64</v>
      </c>
      <c r="W31" s="38">
        <v>1</v>
      </c>
      <c r="Y31" s="37" t="s">
        <v>42</v>
      </c>
      <c r="Z31" s="38">
        <v>3</v>
      </c>
      <c r="AB31" s="37" t="s">
        <v>76</v>
      </c>
      <c r="AC31" s="38">
        <v>2</v>
      </c>
      <c r="AF31" s="60"/>
      <c r="AH31" s="57" t="s">
        <v>42</v>
      </c>
      <c r="AI31" s="38">
        <v>3</v>
      </c>
      <c r="AK31" s="37" t="s">
        <v>57</v>
      </c>
      <c r="AL31" s="38">
        <v>1</v>
      </c>
      <c r="AQ31" s="87" t="s">
        <v>115</v>
      </c>
      <c r="AR31" s="88"/>
    </row>
    <row r="32" spans="2:44" ht="17.25" customHeight="1" x14ac:dyDescent="0.4">
      <c r="B32" s="25" t="s">
        <v>116</v>
      </c>
      <c r="D32" s="28">
        <f>PI()*(200^2)</f>
        <v>125663.70614359173</v>
      </c>
      <c r="E32" t="s">
        <v>112</v>
      </c>
      <c r="J32" s="57" t="s">
        <v>42</v>
      </c>
      <c r="K32" s="38">
        <v>2</v>
      </c>
      <c r="P32" s="37" t="s">
        <v>57</v>
      </c>
      <c r="Q32" s="39">
        <v>3</v>
      </c>
      <c r="S32" s="37" t="s">
        <v>46</v>
      </c>
      <c r="T32" s="38">
        <v>3</v>
      </c>
      <c r="V32" s="37" t="s">
        <v>67</v>
      </c>
      <c r="W32" s="38">
        <v>1</v>
      </c>
      <c r="Y32" s="37" t="s">
        <v>45</v>
      </c>
      <c r="Z32" s="38">
        <v>3</v>
      </c>
      <c r="AB32" s="37" t="s">
        <v>79</v>
      </c>
      <c r="AC32" s="38">
        <v>1</v>
      </c>
      <c r="AF32" s="60"/>
      <c r="AH32" s="57" t="s">
        <v>46</v>
      </c>
      <c r="AI32" s="38">
        <v>1</v>
      </c>
      <c r="AK32" s="37" t="s">
        <v>80</v>
      </c>
      <c r="AL32" s="38">
        <v>2</v>
      </c>
      <c r="AN32" s="100" t="s">
        <v>117</v>
      </c>
      <c r="AO32" s="77"/>
      <c r="AQ32" s="37" t="s">
        <v>42</v>
      </c>
      <c r="AR32" s="58">
        <v>2</v>
      </c>
    </row>
    <row r="33" spans="2:44" ht="15.75" customHeight="1" thickBot="1" x14ac:dyDescent="0.45">
      <c r="J33" s="57" t="s">
        <v>46</v>
      </c>
      <c r="K33" s="38">
        <v>2</v>
      </c>
      <c r="M33" s="83" t="s">
        <v>118</v>
      </c>
      <c r="N33" s="77"/>
      <c r="P33" s="37" t="s">
        <v>62</v>
      </c>
      <c r="Q33" s="38">
        <v>2</v>
      </c>
      <c r="S33" s="37" t="s">
        <v>59</v>
      </c>
      <c r="T33" s="38">
        <v>1</v>
      </c>
      <c r="V33" s="37" t="s">
        <v>76</v>
      </c>
      <c r="W33" s="38">
        <v>1</v>
      </c>
      <c r="Y33" s="37" t="s">
        <v>46</v>
      </c>
      <c r="Z33" s="39">
        <v>2</v>
      </c>
      <c r="AB33" s="37" t="s">
        <v>50</v>
      </c>
      <c r="AC33" s="38">
        <v>2</v>
      </c>
      <c r="AF33" s="60"/>
      <c r="AH33" s="59"/>
      <c r="AK33" s="37" t="s">
        <v>82</v>
      </c>
      <c r="AL33" s="38">
        <v>2</v>
      </c>
      <c r="AN33" s="37" t="s">
        <v>42</v>
      </c>
      <c r="AO33" s="38">
        <v>1</v>
      </c>
      <c r="AQ33" s="37" t="s">
        <v>45</v>
      </c>
      <c r="AR33" s="58">
        <v>2</v>
      </c>
    </row>
    <row r="34" spans="2:44" ht="15.75" customHeight="1" thickBot="1" x14ac:dyDescent="0.45">
      <c r="B34" s="56" t="s">
        <v>119</v>
      </c>
      <c r="C34" s="51"/>
      <c r="D34" s="51"/>
      <c r="E34" s="51"/>
      <c r="F34" s="51"/>
      <c r="G34" s="52"/>
      <c r="J34" s="57" t="s">
        <v>48</v>
      </c>
      <c r="K34" s="38">
        <v>2</v>
      </c>
      <c r="M34" s="37" t="s">
        <v>42</v>
      </c>
      <c r="N34" s="38">
        <v>1</v>
      </c>
      <c r="P34" s="37" t="s">
        <v>60</v>
      </c>
      <c r="Q34" s="39">
        <v>1</v>
      </c>
      <c r="S34" s="37" t="s">
        <v>64</v>
      </c>
      <c r="T34" s="38">
        <v>2</v>
      </c>
      <c r="Y34" s="37" t="s">
        <v>48</v>
      </c>
      <c r="Z34" s="39">
        <v>2</v>
      </c>
      <c r="AF34" s="60"/>
      <c r="AH34" s="78" t="s">
        <v>120</v>
      </c>
      <c r="AI34" s="77"/>
      <c r="AK34" s="37" t="s">
        <v>121</v>
      </c>
      <c r="AL34" s="38">
        <v>1</v>
      </c>
      <c r="AN34" s="37" t="s">
        <v>45</v>
      </c>
      <c r="AO34" s="38">
        <v>2</v>
      </c>
      <c r="AQ34" s="37" t="s">
        <v>46</v>
      </c>
      <c r="AR34" s="58">
        <v>2</v>
      </c>
    </row>
    <row r="35" spans="2:44" ht="15" customHeight="1" x14ac:dyDescent="0.4">
      <c r="B35" s="96" t="s">
        <v>122</v>
      </c>
      <c r="C35" s="92"/>
      <c r="D35" s="92"/>
      <c r="E35" s="92"/>
      <c r="F35" s="92"/>
      <c r="G35" s="93"/>
      <c r="H35" s="53"/>
      <c r="J35" s="57" t="s">
        <v>49</v>
      </c>
      <c r="K35" s="38">
        <v>3</v>
      </c>
      <c r="M35" s="37" t="s">
        <v>45</v>
      </c>
      <c r="N35" s="38">
        <v>3</v>
      </c>
      <c r="P35" s="37" t="s">
        <v>69</v>
      </c>
      <c r="Q35" s="38">
        <v>2</v>
      </c>
      <c r="S35" s="37" t="s">
        <v>47</v>
      </c>
      <c r="T35" s="38">
        <v>2</v>
      </c>
      <c r="V35" s="76" t="s">
        <v>123</v>
      </c>
      <c r="W35" s="77"/>
      <c r="AB35" s="83" t="s">
        <v>124</v>
      </c>
      <c r="AC35" s="77"/>
      <c r="AF35" s="60"/>
      <c r="AH35" s="79"/>
      <c r="AI35" s="80"/>
      <c r="AK35" s="37" t="s">
        <v>86</v>
      </c>
      <c r="AL35" s="38">
        <v>3</v>
      </c>
      <c r="AN35" s="37" t="s">
        <v>46</v>
      </c>
      <c r="AO35" s="38">
        <v>1</v>
      </c>
      <c r="AR35" s="60"/>
    </row>
    <row r="36" spans="2:44" x14ac:dyDescent="0.4">
      <c r="B36" s="94"/>
      <c r="C36" s="75"/>
      <c r="D36" s="75"/>
      <c r="E36" s="75"/>
      <c r="F36" s="75"/>
      <c r="G36" s="88"/>
      <c r="H36" s="53"/>
      <c r="J36" s="57" t="s">
        <v>51</v>
      </c>
      <c r="K36" s="38">
        <v>1</v>
      </c>
      <c r="M36" s="37" t="s">
        <v>46</v>
      </c>
      <c r="N36" s="39">
        <v>2</v>
      </c>
      <c r="P36" s="37" t="s">
        <v>59</v>
      </c>
      <c r="Q36" s="39">
        <v>1</v>
      </c>
      <c r="S36" s="37" t="s">
        <v>50</v>
      </c>
      <c r="T36" s="38">
        <v>2</v>
      </c>
      <c r="V36" s="37" t="s">
        <v>45</v>
      </c>
      <c r="W36" s="38">
        <v>3</v>
      </c>
      <c r="Y36" s="90" t="s">
        <v>125</v>
      </c>
      <c r="Z36" s="77"/>
      <c r="AB36" s="37" t="s">
        <v>42</v>
      </c>
      <c r="AC36" s="38">
        <v>2</v>
      </c>
      <c r="AF36" s="60"/>
      <c r="AH36" s="57" t="s">
        <v>45</v>
      </c>
      <c r="AI36" s="38">
        <v>1</v>
      </c>
      <c r="AK36" s="37" t="s">
        <v>59</v>
      </c>
      <c r="AL36" s="38">
        <v>1</v>
      </c>
      <c r="AN36" s="37" t="s">
        <v>48</v>
      </c>
      <c r="AO36" s="39">
        <v>2</v>
      </c>
      <c r="AQ36" s="87" t="s">
        <v>126</v>
      </c>
      <c r="AR36" s="88"/>
    </row>
    <row r="37" spans="2:44" x14ac:dyDescent="0.4">
      <c r="B37" s="94"/>
      <c r="C37" s="75"/>
      <c r="D37" s="75"/>
      <c r="E37" s="75"/>
      <c r="F37" s="75"/>
      <c r="G37" s="88"/>
      <c r="H37" s="53"/>
      <c r="J37" s="57" t="s">
        <v>52</v>
      </c>
      <c r="K37" s="38">
        <v>2</v>
      </c>
      <c r="M37" s="37" t="s">
        <v>48</v>
      </c>
      <c r="N37" s="39">
        <v>2</v>
      </c>
      <c r="P37" s="37" t="s">
        <v>64</v>
      </c>
      <c r="Q37" s="38">
        <v>2</v>
      </c>
      <c r="V37" s="37" t="s">
        <v>46</v>
      </c>
      <c r="W37" s="38">
        <v>1</v>
      </c>
      <c r="Y37" s="80"/>
      <c r="Z37" s="80"/>
      <c r="AB37" s="37" t="s">
        <v>45</v>
      </c>
      <c r="AC37" s="38">
        <v>2</v>
      </c>
      <c r="AF37" s="60"/>
      <c r="AH37" s="57" t="s">
        <v>46</v>
      </c>
      <c r="AI37" s="38">
        <v>2</v>
      </c>
      <c r="AK37" s="37" t="s">
        <v>64</v>
      </c>
      <c r="AL37" s="38">
        <v>1</v>
      </c>
      <c r="AN37" s="37" t="s">
        <v>49</v>
      </c>
      <c r="AO37" s="39">
        <v>2</v>
      </c>
      <c r="AQ37" s="37" t="s">
        <v>46</v>
      </c>
      <c r="AR37" s="58">
        <v>1</v>
      </c>
    </row>
    <row r="38" spans="2:44" x14ac:dyDescent="0.4">
      <c r="B38" s="94"/>
      <c r="C38" s="75"/>
      <c r="D38" s="75"/>
      <c r="E38" s="75"/>
      <c r="F38" s="75"/>
      <c r="G38" s="88"/>
      <c r="H38" s="53"/>
      <c r="J38" s="57" t="s">
        <v>59</v>
      </c>
      <c r="K38" s="38">
        <v>1</v>
      </c>
      <c r="M38" s="37" t="s">
        <v>59</v>
      </c>
      <c r="N38" s="38">
        <v>1</v>
      </c>
      <c r="P38" s="37" t="s">
        <v>47</v>
      </c>
      <c r="Q38" s="39">
        <v>1</v>
      </c>
      <c r="S38" s="76" t="s">
        <v>127</v>
      </c>
      <c r="T38" s="77"/>
      <c r="V38" s="37" t="s">
        <v>48</v>
      </c>
      <c r="W38" s="38">
        <v>2</v>
      </c>
      <c r="Y38" s="37" t="s">
        <v>42</v>
      </c>
      <c r="Z38" s="38">
        <v>1</v>
      </c>
      <c r="AB38" s="37" t="s">
        <v>46</v>
      </c>
      <c r="AC38" s="39">
        <v>1</v>
      </c>
      <c r="AF38" s="60"/>
      <c r="AH38" s="59"/>
      <c r="AK38" s="37" t="s">
        <v>63</v>
      </c>
      <c r="AL38" s="38">
        <v>2</v>
      </c>
      <c r="AN38" s="37" t="s">
        <v>51</v>
      </c>
      <c r="AO38" s="39">
        <v>1</v>
      </c>
      <c r="AQ38" s="37" t="s">
        <v>51</v>
      </c>
      <c r="AR38" s="58">
        <v>2</v>
      </c>
    </row>
    <row r="39" spans="2:44" x14ac:dyDescent="0.4">
      <c r="B39" s="94"/>
      <c r="C39" s="75"/>
      <c r="D39" s="75"/>
      <c r="E39" s="75"/>
      <c r="F39" s="75"/>
      <c r="G39" s="88"/>
      <c r="J39" s="57" t="s">
        <v>64</v>
      </c>
      <c r="K39" s="38">
        <v>2</v>
      </c>
      <c r="M39" s="37" t="s">
        <v>64</v>
      </c>
      <c r="N39" s="38">
        <v>1</v>
      </c>
      <c r="P39" s="37" t="s">
        <v>94</v>
      </c>
      <c r="Q39" s="38">
        <v>2</v>
      </c>
      <c r="S39" s="37" t="s">
        <v>42</v>
      </c>
      <c r="T39" s="38">
        <v>2</v>
      </c>
      <c r="V39" s="37" t="s">
        <v>49</v>
      </c>
      <c r="W39" s="38">
        <v>2</v>
      </c>
      <c r="Y39" s="37" t="s">
        <v>45</v>
      </c>
      <c r="Z39" s="38">
        <v>2</v>
      </c>
      <c r="AB39" s="37" t="s">
        <v>48</v>
      </c>
      <c r="AC39" s="39">
        <v>1</v>
      </c>
      <c r="AF39" s="60"/>
      <c r="AH39" s="78" t="s">
        <v>128</v>
      </c>
      <c r="AI39" s="77"/>
      <c r="AK39" s="37" t="s">
        <v>67</v>
      </c>
      <c r="AL39" s="38">
        <v>1</v>
      </c>
      <c r="AN39" s="37" t="s">
        <v>57</v>
      </c>
      <c r="AO39" s="38">
        <v>1</v>
      </c>
      <c r="AR39" s="60"/>
    </row>
    <row r="40" spans="2:44" x14ac:dyDescent="0.4">
      <c r="B40" s="94"/>
      <c r="C40" s="75"/>
      <c r="D40" s="75"/>
      <c r="E40" s="75"/>
      <c r="F40" s="75"/>
      <c r="G40" s="88"/>
      <c r="J40" s="57" t="s">
        <v>47</v>
      </c>
      <c r="K40" s="38">
        <v>1</v>
      </c>
      <c r="P40" s="37" t="s">
        <v>98</v>
      </c>
      <c r="Q40" s="39">
        <v>2</v>
      </c>
      <c r="S40" s="37" t="s">
        <v>45</v>
      </c>
      <c r="T40" s="38">
        <v>2</v>
      </c>
      <c r="V40" s="37" t="s">
        <v>51</v>
      </c>
      <c r="W40" s="38">
        <v>2</v>
      </c>
      <c r="Y40" s="37" t="s">
        <v>46</v>
      </c>
      <c r="Z40" s="39">
        <v>2</v>
      </c>
      <c r="AB40" s="37" t="s">
        <v>51</v>
      </c>
      <c r="AC40" s="38">
        <v>3</v>
      </c>
      <c r="AF40" s="60"/>
      <c r="AH40" s="79"/>
      <c r="AI40" s="80"/>
      <c r="AK40" s="37" t="s">
        <v>72</v>
      </c>
      <c r="AL40" s="38">
        <v>1</v>
      </c>
      <c r="AN40" s="37" t="s">
        <v>62</v>
      </c>
      <c r="AO40" s="38">
        <v>2</v>
      </c>
      <c r="AQ40" s="87" t="s">
        <v>129</v>
      </c>
      <c r="AR40" s="88"/>
    </row>
    <row r="41" spans="2:44" x14ac:dyDescent="0.4">
      <c r="B41" s="94"/>
      <c r="C41" s="75"/>
      <c r="D41" s="75"/>
      <c r="E41" s="75"/>
      <c r="F41" s="75"/>
      <c r="G41" s="88"/>
      <c r="J41" s="57" t="s">
        <v>63</v>
      </c>
      <c r="K41" s="38">
        <v>1</v>
      </c>
      <c r="M41" s="83" t="s">
        <v>130</v>
      </c>
      <c r="N41" s="77"/>
      <c r="P41" s="37" t="s">
        <v>63</v>
      </c>
      <c r="Q41" s="38">
        <v>1</v>
      </c>
      <c r="S41" s="37" t="s">
        <v>46</v>
      </c>
      <c r="T41" s="38">
        <v>1</v>
      </c>
      <c r="V41" s="37" t="s">
        <v>59</v>
      </c>
      <c r="W41" s="38">
        <v>1</v>
      </c>
      <c r="Y41" s="37" t="s">
        <v>59</v>
      </c>
      <c r="Z41" s="39">
        <v>2</v>
      </c>
      <c r="AB41" s="37" t="s">
        <v>52</v>
      </c>
      <c r="AC41" s="39">
        <v>3</v>
      </c>
      <c r="AF41" s="60"/>
      <c r="AH41" s="57" t="s">
        <v>42</v>
      </c>
      <c r="AI41" s="38">
        <v>1</v>
      </c>
      <c r="AK41" s="37" t="s">
        <v>74</v>
      </c>
      <c r="AL41" s="38">
        <v>1</v>
      </c>
      <c r="AN41" s="37" t="s">
        <v>59</v>
      </c>
      <c r="AO41" s="38">
        <v>1</v>
      </c>
      <c r="AQ41" s="37" t="s">
        <v>42</v>
      </c>
      <c r="AR41" s="58">
        <v>1</v>
      </c>
    </row>
    <row r="42" spans="2:44" ht="15" customHeight="1" thickBot="1" x14ac:dyDescent="0.45">
      <c r="B42" s="97"/>
      <c r="C42" s="98"/>
      <c r="D42" s="98"/>
      <c r="E42" s="98"/>
      <c r="F42" s="98"/>
      <c r="G42" s="99"/>
      <c r="J42" s="57" t="s">
        <v>67</v>
      </c>
      <c r="K42" s="38">
        <v>2</v>
      </c>
      <c r="M42" s="37" t="s">
        <v>42</v>
      </c>
      <c r="N42" s="38">
        <v>2</v>
      </c>
      <c r="P42" s="37" t="s">
        <v>67</v>
      </c>
      <c r="Q42" s="39">
        <v>1</v>
      </c>
      <c r="S42" s="37" t="s">
        <v>48</v>
      </c>
      <c r="T42" s="38">
        <v>3</v>
      </c>
      <c r="Y42" s="37" t="s">
        <v>64</v>
      </c>
      <c r="Z42" s="38">
        <v>2</v>
      </c>
      <c r="AB42" s="37" t="s">
        <v>57</v>
      </c>
      <c r="AC42" s="39">
        <v>1</v>
      </c>
      <c r="AF42" s="60"/>
      <c r="AH42" s="57" t="s">
        <v>45</v>
      </c>
      <c r="AI42" s="38">
        <v>1</v>
      </c>
      <c r="AK42" s="37" t="s">
        <v>76</v>
      </c>
      <c r="AL42" s="38">
        <v>2</v>
      </c>
      <c r="AN42" s="37" t="s">
        <v>63</v>
      </c>
      <c r="AO42" s="38">
        <v>2</v>
      </c>
      <c r="AQ42" s="37" t="s">
        <v>45</v>
      </c>
      <c r="AR42" s="58">
        <v>1</v>
      </c>
    </row>
    <row r="43" spans="2:44" x14ac:dyDescent="0.4">
      <c r="J43" s="57" t="s">
        <v>72</v>
      </c>
      <c r="K43" s="38">
        <v>1</v>
      </c>
      <c r="M43" s="37" t="s">
        <v>59</v>
      </c>
      <c r="N43" s="38">
        <v>2</v>
      </c>
      <c r="P43" s="37" t="s">
        <v>72</v>
      </c>
      <c r="Q43" s="38">
        <v>1</v>
      </c>
      <c r="S43" s="37" t="s">
        <v>49</v>
      </c>
      <c r="T43" s="38">
        <v>2</v>
      </c>
      <c r="V43" s="90" t="s">
        <v>131</v>
      </c>
      <c r="W43" s="77"/>
      <c r="Y43" s="37" t="s">
        <v>47</v>
      </c>
      <c r="Z43" s="38">
        <v>2</v>
      </c>
      <c r="AB43" s="37" t="s">
        <v>62</v>
      </c>
      <c r="AC43" s="38">
        <v>1</v>
      </c>
      <c r="AF43" s="60"/>
      <c r="AH43" s="59"/>
      <c r="AK43" s="37" t="s">
        <v>79</v>
      </c>
      <c r="AL43" s="38">
        <v>1</v>
      </c>
      <c r="AQ43" s="37" t="s">
        <v>63</v>
      </c>
      <c r="AR43" s="58">
        <v>1</v>
      </c>
    </row>
    <row r="44" spans="2:44" x14ac:dyDescent="0.4">
      <c r="J44" s="57" t="s">
        <v>74</v>
      </c>
      <c r="K44" s="38">
        <v>2</v>
      </c>
      <c r="M44" s="37" t="s">
        <v>114</v>
      </c>
      <c r="N44" s="39">
        <v>2</v>
      </c>
      <c r="P44" s="37" t="s">
        <v>74</v>
      </c>
      <c r="Q44" s="38">
        <v>1</v>
      </c>
      <c r="S44" s="37" t="s">
        <v>64</v>
      </c>
      <c r="T44" s="38">
        <v>2</v>
      </c>
      <c r="V44" s="80"/>
      <c r="W44" s="80"/>
      <c r="AB44" s="37" t="s">
        <v>61</v>
      </c>
      <c r="AC44" s="38">
        <v>2</v>
      </c>
      <c r="AF44" s="60"/>
      <c r="AH44" s="78" t="s">
        <v>132</v>
      </c>
      <c r="AI44" s="77"/>
      <c r="AN44" s="100" t="s">
        <v>133</v>
      </c>
      <c r="AO44" s="77"/>
      <c r="AR44" s="60"/>
    </row>
    <row r="45" spans="2:44" x14ac:dyDescent="0.4">
      <c r="J45" s="59"/>
      <c r="P45" s="37" t="s">
        <v>76</v>
      </c>
      <c r="Q45" s="39">
        <v>2</v>
      </c>
      <c r="S45" s="37" t="s">
        <v>47</v>
      </c>
      <c r="T45" s="38">
        <v>2</v>
      </c>
      <c r="V45" s="37" t="s">
        <v>45</v>
      </c>
      <c r="W45" s="38">
        <v>2</v>
      </c>
      <c r="Y45" s="83" t="s">
        <v>134</v>
      </c>
      <c r="Z45" s="77"/>
      <c r="AB45" s="37" t="s">
        <v>63</v>
      </c>
      <c r="AC45" s="38">
        <v>1</v>
      </c>
      <c r="AF45" s="60"/>
      <c r="AH45" s="79"/>
      <c r="AI45" s="80"/>
      <c r="AN45" s="37" t="s">
        <v>42</v>
      </c>
      <c r="AO45" s="38">
        <v>3</v>
      </c>
      <c r="AR45" s="60"/>
    </row>
    <row r="46" spans="2:44" x14ac:dyDescent="0.4">
      <c r="J46" s="59"/>
      <c r="P46" s="37" t="s">
        <v>79</v>
      </c>
      <c r="Q46" s="38">
        <v>1</v>
      </c>
      <c r="S46" s="37" t="s">
        <v>94</v>
      </c>
      <c r="T46" s="38">
        <v>1</v>
      </c>
      <c r="V46" s="37" t="s">
        <v>46</v>
      </c>
      <c r="W46" s="38">
        <v>1</v>
      </c>
      <c r="Y46" s="37" t="s">
        <v>42</v>
      </c>
      <c r="Z46" s="38">
        <v>2</v>
      </c>
      <c r="AB46" s="37" t="s">
        <v>67</v>
      </c>
      <c r="AC46" s="38">
        <v>3</v>
      </c>
      <c r="AF46" s="60"/>
      <c r="AH46" s="57" t="s">
        <v>46</v>
      </c>
      <c r="AI46" s="38">
        <v>3</v>
      </c>
      <c r="AN46" s="37" t="s">
        <v>45</v>
      </c>
      <c r="AO46" s="38">
        <v>3</v>
      </c>
      <c r="AR46" s="60"/>
    </row>
    <row r="47" spans="2:44" x14ac:dyDescent="0.4">
      <c r="J47" s="59"/>
      <c r="P47" s="37" t="s">
        <v>81</v>
      </c>
      <c r="Q47" s="38">
        <v>1</v>
      </c>
      <c r="V47" s="37" t="s">
        <v>59</v>
      </c>
      <c r="W47" s="38">
        <v>2</v>
      </c>
      <c r="Y47" s="37" t="s">
        <v>50</v>
      </c>
      <c r="Z47" s="38">
        <v>2</v>
      </c>
      <c r="AB47" s="37" t="s">
        <v>72</v>
      </c>
      <c r="AC47" s="38">
        <v>1</v>
      </c>
      <c r="AF47" s="60"/>
      <c r="AH47" s="57" t="s">
        <v>48</v>
      </c>
      <c r="AI47" s="38">
        <v>3</v>
      </c>
      <c r="AN47" s="37" t="s">
        <v>46</v>
      </c>
      <c r="AO47" s="38">
        <v>1</v>
      </c>
      <c r="AR47" s="60"/>
    </row>
    <row r="48" spans="2:44" x14ac:dyDescent="0.4">
      <c r="J48" s="59"/>
      <c r="P48" s="37" t="s">
        <v>85</v>
      </c>
      <c r="Q48" s="39">
        <v>2</v>
      </c>
      <c r="V48" s="37" t="s">
        <v>50</v>
      </c>
      <c r="W48" s="38">
        <v>2</v>
      </c>
      <c r="AB48" s="37" t="s">
        <v>74</v>
      </c>
      <c r="AC48" s="38">
        <v>1</v>
      </c>
      <c r="AF48" s="60"/>
      <c r="AH48" s="59"/>
      <c r="AN48" s="37" t="s">
        <v>48</v>
      </c>
      <c r="AO48" s="38">
        <v>1</v>
      </c>
      <c r="AR48" s="60"/>
    </row>
    <row r="49" spans="10:44" ht="15.75" customHeight="1" thickBot="1" x14ac:dyDescent="0.45">
      <c r="J49" s="59"/>
      <c r="P49" s="37" t="s">
        <v>87</v>
      </c>
      <c r="Q49" s="38">
        <v>1</v>
      </c>
      <c r="AB49" s="37" t="s">
        <v>76</v>
      </c>
      <c r="AC49" s="38">
        <v>1</v>
      </c>
      <c r="AF49" s="60"/>
      <c r="AH49" s="61"/>
      <c r="AI49" s="26"/>
      <c r="AJ49" s="62"/>
      <c r="AK49" s="62"/>
      <c r="AL49" s="26"/>
      <c r="AM49" s="62"/>
      <c r="AN49" s="62"/>
      <c r="AO49" s="26"/>
      <c r="AP49" s="62"/>
      <c r="AQ49" s="62"/>
      <c r="AR49" s="63"/>
    </row>
    <row r="50" spans="10:44" x14ac:dyDescent="0.4">
      <c r="J50" s="59"/>
      <c r="P50" s="37" t="s">
        <v>89</v>
      </c>
      <c r="Q50" s="38">
        <v>1</v>
      </c>
      <c r="AB50" s="37" t="s">
        <v>79</v>
      </c>
      <c r="AC50" s="38">
        <v>1</v>
      </c>
      <c r="AF50" s="60"/>
    </row>
    <row r="51" spans="10:44" x14ac:dyDescent="0.4">
      <c r="J51" s="59"/>
      <c r="P51" s="37" t="s">
        <v>91</v>
      </c>
      <c r="Q51" s="39">
        <v>1</v>
      </c>
      <c r="AB51" s="37" t="s">
        <v>81</v>
      </c>
      <c r="AC51" s="38">
        <v>2</v>
      </c>
      <c r="AF51" s="60"/>
    </row>
    <row r="52" spans="10:44" x14ac:dyDescent="0.4">
      <c r="J52" s="59"/>
      <c r="AB52" s="37" t="s">
        <v>85</v>
      </c>
      <c r="AC52" s="38">
        <v>1</v>
      </c>
      <c r="AF52" s="60"/>
    </row>
    <row r="53" spans="10:44" x14ac:dyDescent="0.4">
      <c r="J53" s="59"/>
      <c r="AB53" s="37" t="s">
        <v>87</v>
      </c>
      <c r="AC53" s="38">
        <v>2</v>
      </c>
      <c r="AF53" s="60"/>
    </row>
    <row r="54" spans="10:44" x14ac:dyDescent="0.4">
      <c r="J54" s="59"/>
      <c r="AB54" s="37" t="s">
        <v>89</v>
      </c>
      <c r="AC54" s="38">
        <v>2</v>
      </c>
      <c r="AF54" s="60"/>
    </row>
    <row r="55" spans="10:44" x14ac:dyDescent="0.4">
      <c r="J55" s="59"/>
      <c r="AB55" s="37" t="s">
        <v>91</v>
      </c>
      <c r="AC55" s="38">
        <v>1</v>
      </c>
      <c r="AF55" s="60"/>
    </row>
    <row r="56" spans="10:44" x14ac:dyDescent="0.4">
      <c r="J56" s="59"/>
      <c r="AB56" s="37" t="s">
        <v>135</v>
      </c>
      <c r="AC56" s="38">
        <v>1</v>
      </c>
      <c r="AF56" s="60"/>
    </row>
    <row r="57" spans="10:44" x14ac:dyDescent="0.4">
      <c r="J57" s="59"/>
      <c r="AB57" s="37" t="s">
        <v>96</v>
      </c>
      <c r="AC57" s="38">
        <v>2</v>
      </c>
      <c r="AF57" s="60"/>
    </row>
    <row r="58" spans="10:44" x14ac:dyDescent="0.4">
      <c r="J58" s="59"/>
      <c r="AB58" s="37" t="s">
        <v>136</v>
      </c>
      <c r="AC58" s="38">
        <v>1</v>
      </c>
      <c r="AF58" s="60"/>
    </row>
    <row r="59" spans="10:44" x14ac:dyDescent="0.4">
      <c r="J59" s="59"/>
      <c r="AB59" s="37" t="s">
        <v>50</v>
      </c>
      <c r="AC59" s="38">
        <v>2</v>
      </c>
      <c r="AF59" s="60"/>
    </row>
    <row r="60" spans="10:44" ht="15.75" customHeight="1" thickBot="1" x14ac:dyDescent="0.45">
      <c r="J60" s="61"/>
      <c r="K60" s="26"/>
      <c r="L60" s="62"/>
      <c r="M60" s="62"/>
      <c r="N60" s="26"/>
      <c r="O60" s="62"/>
      <c r="P60" s="62"/>
      <c r="Q60" s="62"/>
      <c r="R60" s="62"/>
      <c r="S60" s="62"/>
      <c r="T60" s="26"/>
      <c r="U60" s="62"/>
      <c r="V60" s="62"/>
      <c r="W60" s="26"/>
      <c r="X60" s="62"/>
      <c r="Y60" s="62"/>
      <c r="Z60" s="26"/>
      <c r="AA60" s="62"/>
      <c r="AB60" s="62"/>
      <c r="AC60" s="26"/>
      <c r="AD60" s="62"/>
      <c r="AE60" s="62"/>
      <c r="AF60" s="63"/>
    </row>
  </sheetData>
  <mergeCells count="68">
    <mergeCell ref="AH44:AI45"/>
    <mergeCell ref="AK5:AL6"/>
    <mergeCell ref="AQ5:AR6"/>
    <mergeCell ref="Y45:Z45"/>
    <mergeCell ref="AQ40:AR40"/>
    <mergeCell ref="B3:D3"/>
    <mergeCell ref="AQ31:AR31"/>
    <mergeCell ref="AQ36:AR36"/>
    <mergeCell ref="M29:N29"/>
    <mergeCell ref="S29:T29"/>
    <mergeCell ref="AE17:AF18"/>
    <mergeCell ref="P15:Q15"/>
    <mergeCell ref="S5:T5"/>
    <mergeCell ref="AH25:AI25"/>
    <mergeCell ref="AB10:AC10"/>
    <mergeCell ref="Y29:Z30"/>
    <mergeCell ref="AN19:AO19"/>
    <mergeCell ref="AE5:AF5"/>
    <mergeCell ref="AK24:AL25"/>
    <mergeCell ref="AN44:AO44"/>
    <mergeCell ref="V43:W44"/>
    <mergeCell ref="J20:K20"/>
    <mergeCell ref="J11:K11"/>
    <mergeCell ref="B29:C29"/>
    <mergeCell ref="AN28:AO29"/>
    <mergeCell ref="B28:C28"/>
    <mergeCell ref="E27:F27"/>
    <mergeCell ref="M33:N33"/>
    <mergeCell ref="J31:K31"/>
    <mergeCell ref="M41:N41"/>
    <mergeCell ref="AH30:AI30"/>
    <mergeCell ref="E26:F26"/>
    <mergeCell ref="AN14:AO14"/>
    <mergeCell ref="B26:C26"/>
    <mergeCell ref="Y10:Z11"/>
    <mergeCell ref="B27:C27"/>
    <mergeCell ref="AH5:AI5"/>
    <mergeCell ref="AB35:AC35"/>
    <mergeCell ref="AH39:AI40"/>
    <mergeCell ref="AQ22:AR22"/>
    <mergeCell ref="V35:W35"/>
    <mergeCell ref="Y21:Z21"/>
    <mergeCell ref="E29:F29"/>
    <mergeCell ref="V28:W28"/>
    <mergeCell ref="Y36:Z37"/>
    <mergeCell ref="Y5:Z5"/>
    <mergeCell ref="S38:T38"/>
    <mergeCell ref="S23:T23"/>
    <mergeCell ref="E28:F28"/>
    <mergeCell ref="B35:G42"/>
    <mergeCell ref="AN32:AO32"/>
    <mergeCell ref="B1:G1"/>
    <mergeCell ref="V5:W5"/>
    <mergeCell ref="AB5:AC5"/>
    <mergeCell ref="P25:Q25"/>
    <mergeCell ref="M5:N5"/>
    <mergeCell ref="J3:AF4"/>
    <mergeCell ref="P5:Q5"/>
    <mergeCell ref="E3:G3"/>
    <mergeCell ref="L2:M2"/>
    <mergeCell ref="S16:T16"/>
    <mergeCell ref="AH34:AI35"/>
    <mergeCell ref="J5:K5"/>
    <mergeCell ref="J14:K14"/>
    <mergeCell ref="AH3:AR4"/>
    <mergeCell ref="AQ14:AR14"/>
    <mergeCell ref="AK10:AL10"/>
    <mergeCell ref="AN5:AO6"/>
  </mergeCells>
  <conditionalFormatting sqref="C5:C25">
    <cfRule type="cellIs" dxfId="4" priority="2" operator="equal">
      <formula>"Manual"</formula>
    </cfRule>
    <cfRule type="cellIs" dxfId="3" priority="3" operator="equal">
      <formula>"""Manual"""</formula>
    </cfRule>
  </conditionalFormatting>
  <conditionalFormatting sqref="D29 G29:H29">
    <cfRule type="cellIs" dxfId="2" priority="4" operator="equal">
      <formula>"ERROR"</formula>
    </cfRule>
    <cfRule type="cellIs" dxfId="1" priority="5" operator="equal">
      <formula>"GOOD"</formula>
    </cfRule>
  </conditionalFormatting>
  <conditionalFormatting sqref="F5:F25">
    <cfRule type="cellIs" dxfId="0" priority="1" operator="equal">
      <formula>"Manual"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6"/>
  <sheetViews>
    <sheetView topLeftCell="A55" workbookViewId="0">
      <selection activeCell="E46" sqref="E46"/>
    </sheetView>
  </sheetViews>
  <sheetFormatPr defaultRowHeight="14.6" x14ac:dyDescent="0.4"/>
  <cols>
    <col min="2" max="2" width="8.69140625" style="11" customWidth="1"/>
    <col min="3" max="3" width="35.4609375" customWidth="1"/>
  </cols>
  <sheetData>
    <row r="2" spans="1:3" x14ac:dyDescent="0.4">
      <c r="A2" t="s">
        <v>137</v>
      </c>
      <c r="B2" s="11" t="s">
        <v>138</v>
      </c>
      <c r="C2" t="s">
        <v>139</v>
      </c>
    </row>
    <row r="3" spans="1:3" x14ac:dyDescent="0.4">
      <c r="B3" s="11" t="s">
        <v>140</v>
      </c>
    </row>
    <row r="4" spans="1:3" x14ac:dyDescent="0.4">
      <c r="A4" t="s">
        <v>141</v>
      </c>
      <c r="B4" s="11">
        <v>2</v>
      </c>
      <c r="C4" t="s">
        <v>142</v>
      </c>
    </row>
    <row r="5" spans="1:3" x14ac:dyDescent="0.4">
      <c r="A5" t="s">
        <v>143</v>
      </c>
      <c r="B5" s="11">
        <v>2</v>
      </c>
      <c r="C5" t="s">
        <v>144</v>
      </c>
    </row>
    <row r="6" spans="1:3" x14ac:dyDescent="0.4">
      <c r="A6" t="s">
        <v>145</v>
      </c>
      <c r="B6" s="11">
        <v>2</v>
      </c>
      <c r="C6" t="s">
        <v>144</v>
      </c>
    </row>
    <row r="7" spans="1:3" x14ac:dyDescent="0.4">
      <c r="A7" t="s">
        <v>146</v>
      </c>
      <c r="B7" s="11">
        <v>3</v>
      </c>
      <c r="C7" t="s">
        <v>147</v>
      </c>
    </row>
    <row r="8" spans="1:3" x14ac:dyDescent="0.4">
      <c r="A8" t="s">
        <v>148</v>
      </c>
      <c r="B8" s="11">
        <v>3</v>
      </c>
      <c r="C8" t="s">
        <v>147</v>
      </c>
    </row>
    <row r="9" spans="1:3" x14ac:dyDescent="0.4">
      <c r="A9" t="s">
        <v>149</v>
      </c>
      <c r="B9" s="11">
        <v>2</v>
      </c>
      <c r="C9" t="s">
        <v>144</v>
      </c>
    </row>
    <row r="10" spans="1:3" x14ac:dyDescent="0.4">
      <c r="A10" t="s">
        <v>41</v>
      </c>
      <c r="B10" s="11">
        <v>2</v>
      </c>
      <c r="C10" t="s">
        <v>144</v>
      </c>
    </row>
    <row r="11" spans="1:3" x14ac:dyDescent="0.4">
      <c r="A11" t="s">
        <v>150</v>
      </c>
      <c r="B11" s="11">
        <v>3</v>
      </c>
      <c r="C11" t="s">
        <v>147</v>
      </c>
    </row>
    <row r="12" spans="1:3" x14ac:dyDescent="0.4">
      <c r="A12" t="s">
        <v>151</v>
      </c>
      <c r="B12" s="11">
        <v>3</v>
      </c>
      <c r="C12" t="s">
        <v>152</v>
      </c>
    </row>
    <row r="13" spans="1:3" x14ac:dyDescent="0.4">
      <c r="A13" t="s">
        <v>153</v>
      </c>
      <c r="B13" s="11">
        <v>2</v>
      </c>
      <c r="C13" t="s">
        <v>154</v>
      </c>
    </row>
    <row r="14" spans="1:3" x14ac:dyDescent="0.4">
      <c r="A14" t="s">
        <v>155</v>
      </c>
      <c r="B14" s="11">
        <v>2</v>
      </c>
      <c r="C14" t="s">
        <v>156</v>
      </c>
    </row>
    <row r="15" spans="1:3" x14ac:dyDescent="0.4">
      <c r="A15" t="s">
        <v>157</v>
      </c>
      <c r="B15" s="11">
        <v>2</v>
      </c>
      <c r="C15" t="s">
        <v>158</v>
      </c>
    </row>
    <row r="16" spans="1:3" x14ac:dyDescent="0.4">
      <c r="A16" t="s">
        <v>159</v>
      </c>
      <c r="B16" s="11">
        <v>2</v>
      </c>
      <c r="C16" t="s">
        <v>160</v>
      </c>
    </row>
    <row r="17" spans="1:3" x14ac:dyDescent="0.4">
      <c r="A17" t="s">
        <v>161</v>
      </c>
      <c r="B17" s="11">
        <v>1</v>
      </c>
      <c r="C17" t="s">
        <v>162</v>
      </c>
    </row>
    <row r="18" spans="1:3" x14ac:dyDescent="0.4">
      <c r="A18" t="s">
        <v>163</v>
      </c>
      <c r="B18" s="11">
        <v>1</v>
      </c>
      <c r="C18" t="s">
        <v>164</v>
      </c>
    </row>
    <row r="19" spans="1:3" x14ac:dyDescent="0.4">
      <c r="A19" t="s">
        <v>165</v>
      </c>
      <c r="B19" s="11">
        <v>1</v>
      </c>
      <c r="C19" t="s">
        <v>166</v>
      </c>
    </row>
    <row r="20" spans="1:3" x14ac:dyDescent="0.4">
      <c r="A20" t="s">
        <v>167</v>
      </c>
      <c r="B20" s="11">
        <v>3</v>
      </c>
      <c r="C20" t="s">
        <v>168</v>
      </c>
    </row>
    <row r="21" spans="1:3" x14ac:dyDescent="0.4">
      <c r="A21" t="s">
        <v>169</v>
      </c>
      <c r="B21" s="11">
        <v>3</v>
      </c>
      <c r="C21" t="s">
        <v>170</v>
      </c>
    </row>
    <row r="22" spans="1:3" x14ac:dyDescent="0.4">
      <c r="A22" t="s">
        <v>171</v>
      </c>
      <c r="B22" s="11">
        <v>2</v>
      </c>
      <c r="C22" t="s">
        <v>172</v>
      </c>
    </row>
    <row r="23" spans="1:3" x14ac:dyDescent="0.4">
      <c r="A23" t="s">
        <v>173</v>
      </c>
      <c r="B23" s="11">
        <v>1</v>
      </c>
      <c r="C23" t="s">
        <v>174</v>
      </c>
    </row>
    <row r="24" spans="1:3" x14ac:dyDescent="0.4">
      <c r="A24" t="s">
        <v>26</v>
      </c>
      <c r="B24" s="11">
        <v>2</v>
      </c>
      <c r="C24" t="s">
        <v>175</v>
      </c>
    </row>
    <row r="25" spans="1:3" x14ac:dyDescent="0.4">
      <c r="A25" t="s">
        <v>176</v>
      </c>
      <c r="B25" s="11">
        <v>1</v>
      </c>
      <c r="C25" t="s">
        <v>177</v>
      </c>
    </row>
    <row r="26" spans="1:3" x14ac:dyDescent="0.4">
      <c r="A26" t="s">
        <v>178</v>
      </c>
      <c r="B26" s="11">
        <v>1</v>
      </c>
      <c r="C26" t="s">
        <v>179</v>
      </c>
    </row>
    <row r="27" spans="1:3" x14ac:dyDescent="0.4">
      <c r="A27" t="s">
        <v>180</v>
      </c>
      <c r="B27" s="11">
        <v>2</v>
      </c>
      <c r="C27" t="s">
        <v>181</v>
      </c>
    </row>
    <row r="28" spans="1:3" x14ac:dyDescent="0.4">
      <c r="A28" t="s">
        <v>182</v>
      </c>
      <c r="B28" s="11">
        <v>1</v>
      </c>
      <c r="C28" t="s">
        <v>183</v>
      </c>
    </row>
    <row r="29" spans="1:3" x14ac:dyDescent="0.4">
      <c r="A29" t="s">
        <v>184</v>
      </c>
      <c r="B29" s="11">
        <v>2</v>
      </c>
      <c r="C29" t="s">
        <v>185</v>
      </c>
    </row>
    <row r="30" spans="1:3" x14ac:dyDescent="0.4">
      <c r="A30" t="s">
        <v>186</v>
      </c>
      <c r="B30" s="11">
        <v>1</v>
      </c>
      <c r="C30" t="s">
        <v>187</v>
      </c>
    </row>
    <row r="31" spans="1:3" x14ac:dyDescent="0.4">
      <c r="A31" t="s">
        <v>188</v>
      </c>
      <c r="B31" s="11">
        <v>2</v>
      </c>
      <c r="C31" t="s">
        <v>189</v>
      </c>
    </row>
    <row r="32" spans="1:3" x14ac:dyDescent="0.4">
      <c r="A32" t="s">
        <v>190</v>
      </c>
      <c r="B32" s="11">
        <v>1</v>
      </c>
      <c r="C32" t="s">
        <v>191</v>
      </c>
    </row>
    <row r="33" spans="1:3" x14ac:dyDescent="0.4">
      <c r="A33" t="s">
        <v>192</v>
      </c>
      <c r="B33" s="11">
        <v>2</v>
      </c>
      <c r="C33" t="s">
        <v>193</v>
      </c>
    </row>
    <row r="34" spans="1:3" x14ac:dyDescent="0.4">
      <c r="A34" t="s">
        <v>194</v>
      </c>
      <c r="B34" s="11">
        <v>2</v>
      </c>
      <c r="C34" t="s">
        <v>195</v>
      </c>
    </row>
    <row r="35" spans="1:3" x14ac:dyDescent="0.4">
      <c r="A35" t="s">
        <v>196</v>
      </c>
      <c r="B35" s="11">
        <v>3</v>
      </c>
      <c r="C35" t="s">
        <v>197</v>
      </c>
    </row>
    <row r="36" spans="1:3" x14ac:dyDescent="0.4">
      <c r="A36" t="s">
        <v>198</v>
      </c>
      <c r="B36" s="11">
        <v>2</v>
      </c>
      <c r="C36" t="s">
        <v>199</v>
      </c>
    </row>
    <row r="37" spans="1:3" x14ac:dyDescent="0.4">
      <c r="A37" t="s">
        <v>200</v>
      </c>
      <c r="B37" s="11">
        <v>1</v>
      </c>
      <c r="C37" t="s">
        <v>201</v>
      </c>
    </row>
    <row r="38" spans="1:3" x14ac:dyDescent="0.4">
      <c r="A38" t="s">
        <v>202</v>
      </c>
      <c r="B38" s="11">
        <v>1</v>
      </c>
      <c r="C38" t="s">
        <v>203</v>
      </c>
    </row>
    <row r="39" spans="1:3" x14ac:dyDescent="0.4">
      <c r="A39" t="s">
        <v>204</v>
      </c>
      <c r="B39" s="11">
        <v>1</v>
      </c>
      <c r="C39" t="s">
        <v>205</v>
      </c>
    </row>
    <row r="40" spans="1:3" x14ac:dyDescent="0.4">
      <c r="A40" t="s">
        <v>40</v>
      </c>
      <c r="B40" s="11">
        <v>2</v>
      </c>
      <c r="C40" t="s">
        <v>206</v>
      </c>
    </row>
    <row r="41" spans="1:3" x14ac:dyDescent="0.4">
      <c r="A41" t="s">
        <v>53</v>
      </c>
      <c r="B41" s="11">
        <v>3</v>
      </c>
      <c r="C41" t="s">
        <v>207</v>
      </c>
    </row>
    <row r="42" spans="1:3" x14ac:dyDescent="0.4">
      <c r="A42" t="s">
        <v>43</v>
      </c>
      <c r="B42" s="11">
        <v>2</v>
      </c>
      <c r="C42" t="s">
        <v>208</v>
      </c>
    </row>
    <row r="43" spans="1:3" x14ac:dyDescent="0.4">
      <c r="A43" t="s">
        <v>209</v>
      </c>
      <c r="B43" s="11">
        <v>2</v>
      </c>
      <c r="C43" t="s">
        <v>206</v>
      </c>
    </row>
    <row r="44" spans="1:3" x14ac:dyDescent="0.4">
      <c r="A44" t="s">
        <v>210</v>
      </c>
      <c r="B44" s="11">
        <v>1</v>
      </c>
      <c r="C44" t="s">
        <v>211</v>
      </c>
    </row>
    <row r="45" spans="1:3" x14ac:dyDescent="0.4">
      <c r="A45" t="s">
        <v>212</v>
      </c>
      <c r="B45" s="11">
        <v>1</v>
      </c>
      <c r="C45" t="s">
        <v>213</v>
      </c>
    </row>
    <row r="46" spans="1:3" x14ac:dyDescent="0.4">
      <c r="A46" t="s">
        <v>214</v>
      </c>
      <c r="B46" s="11">
        <v>1</v>
      </c>
    </row>
    <row r="47" spans="1:3" x14ac:dyDescent="0.4">
      <c r="A47" t="s">
        <v>215</v>
      </c>
      <c r="B47" s="11">
        <v>2</v>
      </c>
    </row>
    <row r="48" spans="1:3" x14ac:dyDescent="0.4">
      <c r="A48" t="s">
        <v>216</v>
      </c>
      <c r="B48" s="11">
        <v>3</v>
      </c>
    </row>
    <row r="49" spans="1:3" x14ac:dyDescent="0.4">
      <c r="A49" t="s">
        <v>217</v>
      </c>
      <c r="B49" s="11">
        <v>1</v>
      </c>
    </row>
    <row r="50" spans="1:3" x14ac:dyDescent="0.4">
      <c r="A50" t="s">
        <v>218</v>
      </c>
      <c r="B50" s="11">
        <v>2</v>
      </c>
    </row>
    <row r="51" spans="1:3" x14ac:dyDescent="0.4">
      <c r="A51" t="s">
        <v>219</v>
      </c>
      <c r="B51" s="11">
        <v>3</v>
      </c>
    </row>
    <row r="52" spans="1:3" x14ac:dyDescent="0.4">
      <c r="A52" t="s">
        <v>220</v>
      </c>
      <c r="B52" s="11">
        <v>1</v>
      </c>
    </row>
    <row r="53" spans="1:3" x14ac:dyDescent="0.4">
      <c r="A53" t="s">
        <v>221</v>
      </c>
      <c r="B53" s="11">
        <v>2</v>
      </c>
    </row>
    <row r="54" spans="1:3" x14ac:dyDescent="0.4">
      <c r="A54" t="s">
        <v>222</v>
      </c>
      <c r="B54" s="11">
        <v>3</v>
      </c>
    </row>
    <row r="55" spans="1:3" x14ac:dyDescent="0.4">
      <c r="A55" t="s">
        <v>223</v>
      </c>
      <c r="B55" s="11">
        <v>1</v>
      </c>
    </row>
    <row r="56" spans="1:3" x14ac:dyDescent="0.4">
      <c r="A56" t="s">
        <v>224</v>
      </c>
      <c r="B56" s="11">
        <v>2</v>
      </c>
    </row>
    <row r="57" spans="1:3" x14ac:dyDescent="0.4">
      <c r="A57" t="s">
        <v>225</v>
      </c>
      <c r="B57" s="11">
        <v>3</v>
      </c>
    </row>
    <row r="58" spans="1:3" x14ac:dyDescent="0.4">
      <c r="A58" t="s">
        <v>226</v>
      </c>
      <c r="B58" s="11">
        <v>1</v>
      </c>
    </row>
    <row r="59" spans="1:3" x14ac:dyDescent="0.4">
      <c r="A59" t="s">
        <v>227</v>
      </c>
      <c r="B59" s="11">
        <v>2</v>
      </c>
    </row>
    <row r="60" spans="1:3" x14ac:dyDescent="0.4">
      <c r="A60" t="s">
        <v>228</v>
      </c>
      <c r="B60" s="11">
        <v>3</v>
      </c>
    </row>
    <row r="61" spans="1:3" x14ac:dyDescent="0.4">
      <c r="A61" t="s">
        <v>27</v>
      </c>
      <c r="B61" s="11">
        <v>1</v>
      </c>
    </row>
    <row r="62" spans="1:3" x14ac:dyDescent="0.4">
      <c r="A62" t="s">
        <v>229</v>
      </c>
      <c r="B62" s="11">
        <v>2</v>
      </c>
    </row>
    <row r="63" spans="1:3" x14ac:dyDescent="0.4">
      <c r="A63" t="s">
        <v>230</v>
      </c>
      <c r="B63" s="11">
        <v>3</v>
      </c>
    </row>
    <row r="64" spans="1:3" x14ac:dyDescent="0.4">
      <c r="A64" t="s">
        <v>231</v>
      </c>
      <c r="B64" s="11">
        <v>1</v>
      </c>
      <c r="C64" t="s">
        <v>232</v>
      </c>
    </row>
    <row r="66" spans="1:3" x14ac:dyDescent="0.4">
      <c r="A66" t="s">
        <v>50</v>
      </c>
      <c r="B66" s="11" t="s">
        <v>233</v>
      </c>
      <c r="C66" t="s">
        <v>234</v>
      </c>
    </row>
    <row r="67" spans="1:3" x14ac:dyDescent="0.4">
      <c r="A67" t="s">
        <v>65</v>
      </c>
      <c r="B67" s="11" t="s">
        <v>233</v>
      </c>
      <c r="C67" t="s">
        <v>234</v>
      </c>
    </row>
    <row r="68" spans="1:3" x14ac:dyDescent="0.4">
      <c r="A68" t="s">
        <v>68</v>
      </c>
      <c r="B68" s="11" t="s">
        <v>233</v>
      </c>
      <c r="C68" t="s">
        <v>234</v>
      </c>
    </row>
    <row r="69" spans="1:3" x14ac:dyDescent="0.4">
      <c r="A69" t="s">
        <v>59</v>
      </c>
      <c r="B69" s="11" t="s">
        <v>233</v>
      </c>
      <c r="C69" t="s">
        <v>234</v>
      </c>
    </row>
    <row r="70" spans="1:3" x14ac:dyDescent="0.4">
      <c r="A70" t="s">
        <v>64</v>
      </c>
      <c r="B70" s="11" t="s">
        <v>233</v>
      </c>
      <c r="C70" t="s">
        <v>234</v>
      </c>
    </row>
    <row r="71" spans="1:3" x14ac:dyDescent="0.4">
      <c r="A71" t="s">
        <v>47</v>
      </c>
      <c r="B71" s="11" t="s">
        <v>233</v>
      </c>
      <c r="C71" t="s">
        <v>234</v>
      </c>
    </row>
    <row r="72" spans="1:3" x14ac:dyDescent="0.4">
      <c r="A72" t="s">
        <v>94</v>
      </c>
      <c r="B72" s="11" t="s">
        <v>233</v>
      </c>
      <c r="C72" t="s">
        <v>234</v>
      </c>
    </row>
    <row r="73" spans="1:3" x14ac:dyDescent="0.4">
      <c r="A73" t="s">
        <v>98</v>
      </c>
      <c r="B73" s="11" t="s">
        <v>233</v>
      </c>
      <c r="C73" t="s">
        <v>234</v>
      </c>
    </row>
    <row r="74" spans="1:3" x14ac:dyDescent="0.4">
      <c r="A74" t="s">
        <v>61</v>
      </c>
      <c r="B74" s="11" t="s">
        <v>233</v>
      </c>
      <c r="C74" t="s">
        <v>234</v>
      </c>
    </row>
    <row r="75" spans="1:3" x14ac:dyDescent="0.4">
      <c r="A75" t="s">
        <v>114</v>
      </c>
      <c r="B75" s="11" t="s">
        <v>233</v>
      </c>
      <c r="C75" t="s">
        <v>234</v>
      </c>
    </row>
    <row r="76" spans="1:3" x14ac:dyDescent="0.4">
      <c r="A76" t="s">
        <v>42</v>
      </c>
      <c r="B76" s="11" t="s">
        <v>233</v>
      </c>
      <c r="C76" t="s">
        <v>234</v>
      </c>
    </row>
    <row r="77" spans="1:3" x14ac:dyDescent="0.4">
      <c r="A77" t="s">
        <v>60</v>
      </c>
      <c r="B77" s="11" t="s">
        <v>233</v>
      </c>
      <c r="C77" t="s">
        <v>234</v>
      </c>
    </row>
    <row r="78" spans="1:3" x14ac:dyDescent="0.4">
      <c r="A78" t="s">
        <v>69</v>
      </c>
      <c r="B78" s="11" t="s">
        <v>233</v>
      </c>
      <c r="C78" t="s">
        <v>234</v>
      </c>
    </row>
    <row r="79" spans="1:3" x14ac:dyDescent="0.4">
      <c r="A79" t="s">
        <v>78</v>
      </c>
      <c r="B79" s="11" t="s">
        <v>233</v>
      </c>
      <c r="C79" t="s">
        <v>234</v>
      </c>
    </row>
    <row r="80" spans="1:3" x14ac:dyDescent="0.4">
      <c r="A80" t="s">
        <v>80</v>
      </c>
      <c r="B80" s="11" t="s">
        <v>233</v>
      </c>
      <c r="C80" t="s">
        <v>234</v>
      </c>
    </row>
    <row r="81" spans="1:3" x14ac:dyDescent="0.4">
      <c r="A81" t="s">
        <v>82</v>
      </c>
      <c r="B81" s="11" t="s">
        <v>233</v>
      </c>
      <c r="C81" t="s">
        <v>234</v>
      </c>
    </row>
    <row r="82" spans="1:3" x14ac:dyDescent="0.4">
      <c r="A82" t="s">
        <v>121</v>
      </c>
      <c r="B82" s="11" t="s">
        <v>233</v>
      </c>
      <c r="C82" t="s">
        <v>234</v>
      </c>
    </row>
    <row r="83" spans="1:3" x14ac:dyDescent="0.4">
      <c r="A83" t="s">
        <v>86</v>
      </c>
      <c r="B83" s="11" t="s">
        <v>233</v>
      </c>
      <c r="C83" t="s">
        <v>234</v>
      </c>
    </row>
    <row r="84" spans="1:3" x14ac:dyDescent="0.4">
      <c r="A84" t="s">
        <v>45</v>
      </c>
      <c r="B84" s="11" t="s">
        <v>233</v>
      </c>
      <c r="C84" t="s">
        <v>234</v>
      </c>
    </row>
    <row r="85" spans="1:3" x14ac:dyDescent="0.4">
      <c r="A85" t="s">
        <v>46</v>
      </c>
      <c r="B85" s="11" t="s">
        <v>233</v>
      </c>
      <c r="C85" t="s">
        <v>234</v>
      </c>
    </row>
    <row r="86" spans="1:3" x14ac:dyDescent="0.4">
      <c r="A86" t="s">
        <v>48</v>
      </c>
      <c r="B86" s="11" t="s">
        <v>233</v>
      </c>
      <c r="C86" t="s">
        <v>234</v>
      </c>
    </row>
    <row r="87" spans="1:3" x14ac:dyDescent="0.4">
      <c r="A87" t="s">
        <v>49</v>
      </c>
      <c r="B87" s="11" t="s">
        <v>233</v>
      </c>
      <c r="C87" t="s">
        <v>234</v>
      </c>
    </row>
    <row r="88" spans="1:3" x14ac:dyDescent="0.4">
      <c r="A88" t="s">
        <v>51</v>
      </c>
      <c r="B88" s="11" t="s">
        <v>233</v>
      </c>
      <c r="C88" t="s">
        <v>234</v>
      </c>
    </row>
    <row r="89" spans="1:3" x14ac:dyDescent="0.4">
      <c r="A89" t="s">
        <v>52</v>
      </c>
      <c r="B89" s="11" t="s">
        <v>233</v>
      </c>
      <c r="C89" t="s">
        <v>234</v>
      </c>
    </row>
    <row r="90" spans="1:3" x14ac:dyDescent="0.4">
      <c r="A90" t="s">
        <v>57</v>
      </c>
      <c r="B90" s="11" t="s">
        <v>233</v>
      </c>
      <c r="C90" t="s">
        <v>234</v>
      </c>
    </row>
    <row r="91" spans="1:3" x14ac:dyDescent="0.4">
      <c r="A91" t="s">
        <v>62</v>
      </c>
      <c r="B91" s="11" t="s">
        <v>233</v>
      </c>
      <c r="C91" t="s">
        <v>234</v>
      </c>
    </row>
    <row r="92" spans="1:3" x14ac:dyDescent="0.4">
      <c r="A92" t="s">
        <v>212</v>
      </c>
      <c r="B92" s="11" t="s">
        <v>233</v>
      </c>
      <c r="C92" t="s">
        <v>234</v>
      </c>
    </row>
    <row r="93" spans="1:3" x14ac:dyDescent="0.4">
      <c r="A93" t="s">
        <v>63</v>
      </c>
      <c r="B93" s="11" t="s">
        <v>233</v>
      </c>
      <c r="C93" t="s">
        <v>234</v>
      </c>
    </row>
    <row r="94" spans="1:3" x14ac:dyDescent="0.4">
      <c r="A94" t="s">
        <v>89</v>
      </c>
      <c r="B94" s="11" t="s">
        <v>233</v>
      </c>
      <c r="C94" t="s">
        <v>234</v>
      </c>
    </row>
    <row r="95" spans="1:3" x14ac:dyDescent="0.4">
      <c r="A95" t="s">
        <v>91</v>
      </c>
      <c r="B95" s="11" t="s">
        <v>233</v>
      </c>
      <c r="C95" t="s">
        <v>234</v>
      </c>
    </row>
    <row r="96" spans="1:3" x14ac:dyDescent="0.4">
      <c r="A96" t="s">
        <v>93</v>
      </c>
      <c r="B96" s="11" t="s">
        <v>233</v>
      </c>
      <c r="C96" t="s">
        <v>234</v>
      </c>
    </row>
    <row r="97" spans="1:3" x14ac:dyDescent="0.4">
      <c r="A97" t="s">
        <v>135</v>
      </c>
      <c r="B97" s="11" t="s">
        <v>233</v>
      </c>
      <c r="C97" t="s">
        <v>234</v>
      </c>
    </row>
    <row r="98" spans="1:3" x14ac:dyDescent="0.4">
      <c r="A98" t="s">
        <v>96</v>
      </c>
      <c r="B98" s="11" t="s">
        <v>233</v>
      </c>
      <c r="C98" t="s">
        <v>234</v>
      </c>
    </row>
    <row r="99" spans="1:3" x14ac:dyDescent="0.4">
      <c r="A99" t="s">
        <v>67</v>
      </c>
      <c r="B99" s="11" t="s">
        <v>233</v>
      </c>
      <c r="C99" t="s">
        <v>234</v>
      </c>
    </row>
    <row r="100" spans="1:3" x14ac:dyDescent="0.4">
      <c r="A100" t="s">
        <v>72</v>
      </c>
      <c r="B100" s="11" t="s">
        <v>233</v>
      </c>
      <c r="C100" t="s">
        <v>234</v>
      </c>
    </row>
    <row r="101" spans="1:3" x14ac:dyDescent="0.4">
      <c r="A101" t="s">
        <v>74</v>
      </c>
      <c r="B101" s="11" t="s">
        <v>233</v>
      </c>
      <c r="C101" t="s">
        <v>234</v>
      </c>
    </row>
    <row r="102" spans="1:3" x14ac:dyDescent="0.4">
      <c r="A102" t="s">
        <v>76</v>
      </c>
      <c r="B102" s="11" t="s">
        <v>233</v>
      </c>
      <c r="C102" t="s">
        <v>234</v>
      </c>
    </row>
    <row r="103" spans="1:3" x14ac:dyDescent="0.4">
      <c r="A103" t="s">
        <v>79</v>
      </c>
      <c r="B103" s="11" t="s">
        <v>233</v>
      </c>
      <c r="C103" t="s">
        <v>234</v>
      </c>
    </row>
    <row r="104" spans="1:3" x14ac:dyDescent="0.4">
      <c r="A104" t="s">
        <v>81</v>
      </c>
      <c r="B104" s="11" t="s">
        <v>233</v>
      </c>
      <c r="C104" t="s">
        <v>234</v>
      </c>
    </row>
    <row r="105" spans="1:3" x14ac:dyDescent="0.4">
      <c r="A105" t="s">
        <v>85</v>
      </c>
      <c r="B105" s="11" t="s">
        <v>233</v>
      </c>
      <c r="C105" t="s">
        <v>234</v>
      </c>
    </row>
    <row r="106" spans="1:3" x14ac:dyDescent="0.4">
      <c r="A106" t="s">
        <v>87</v>
      </c>
      <c r="B106" s="11" t="s">
        <v>233</v>
      </c>
      <c r="C106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I42" sqref="I42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workbookViewId="0">
      <selection activeCell="K22" sqref="K22"/>
    </sheetView>
  </sheetViews>
  <sheetFormatPr defaultColWidth="8.69140625" defaultRowHeight="14.6" x14ac:dyDescent="0.4"/>
  <cols>
    <col min="1" max="1" width="10.23046875" style="12" bestFit="1" customWidth="1"/>
    <col min="2" max="3" width="8.69140625" style="12" customWidth="1"/>
    <col min="4" max="4" width="18" style="12" bestFit="1" customWidth="1"/>
    <col min="5" max="5" width="10.4609375" style="12" bestFit="1" customWidth="1"/>
    <col min="6" max="6" width="12" style="12" bestFit="1" customWidth="1"/>
    <col min="7" max="7" width="8.69140625" style="12" customWidth="1"/>
    <col min="8" max="8" width="17.23046875" style="12" bestFit="1" customWidth="1"/>
    <col min="9" max="14" width="8.69140625" style="12" customWidth="1"/>
    <col min="15" max="16384" width="8.69140625" style="12"/>
  </cols>
  <sheetData>
    <row r="1" spans="1:13" x14ac:dyDescent="0.4">
      <c r="J1" t="s">
        <v>235</v>
      </c>
      <c r="K1" t="s">
        <v>236</v>
      </c>
    </row>
    <row r="2" spans="1:13" x14ac:dyDescent="0.4">
      <c r="A2" s="12" t="s">
        <v>19</v>
      </c>
      <c r="B2" s="12">
        <v>1</v>
      </c>
      <c r="C2" s="13">
        <f>'EPR2021 Assessment &amp; Report'!D31-('EPR2021 Assessment &amp; Report'!D27+'EPR2021 Assessment &amp; Report'!D28)</f>
        <v>12859.59004012625</v>
      </c>
      <c r="E2" s="12" t="s">
        <v>237</v>
      </c>
      <c r="F2" s="13">
        <f>PI()*70^2</f>
        <v>15393.804002589986</v>
      </c>
      <c r="G2" s="12" t="s">
        <v>112</v>
      </c>
      <c r="H2" s="13">
        <f>SUM('EPR2021 Assessment &amp; Report'!D5:D25)</f>
        <v>15393.804002589986</v>
      </c>
      <c r="J2">
        <f>F2*1.05</f>
        <v>16163.494202719487</v>
      </c>
      <c r="K2" s="12">
        <f>F2/1.05</f>
        <v>14660.765716752367</v>
      </c>
      <c r="M2" s="12" t="str">
        <f>IF(ISNUMBER(H2),IF(AND(H2&gt;K2,H2&lt;J2),"GOOD","ERROR"),"ERROR")</f>
        <v>GOOD</v>
      </c>
    </row>
    <row r="3" spans="1:13" x14ac:dyDescent="0.4">
      <c r="B3" s="12">
        <v>2</v>
      </c>
      <c r="C3" s="13">
        <f>'EPR2021 Assessment &amp; Report'!D27</f>
        <v>2534.2139624637371</v>
      </c>
    </row>
    <row r="4" spans="1:13" x14ac:dyDescent="0.4">
      <c r="B4" s="12">
        <v>3</v>
      </c>
      <c r="C4" s="13">
        <f>'EPR2021 Assessment &amp; Report'!D28</f>
        <v>0</v>
      </c>
    </row>
    <row r="5" spans="1:13" x14ac:dyDescent="0.4">
      <c r="A5" s="12" t="s">
        <v>20</v>
      </c>
      <c r="B5" s="12">
        <v>1</v>
      </c>
      <c r="C5" s="13">
        <f>'EPR2021 Assessment &amp; Report'!D32-('EPR2021 Assessment &amp; Report'!G27+'EPR2021 Assessment &amp; Report'!G28)</f>
        <v>107220.85157112892</v>
      </c>
      <c r="E5" s="12" t="s">
        <v>237</v>
      </c>
      <c r="F5" s="13">
        <f>PI()*200^2</f>
        <v>125663.70614359173</v>
      </c>
      <c r="G5" s="12" t="s">
        <v>112</v>
      </c>
      <c r="H5" s="13">
        <f>SUM('EPR2021 Assessment &amp; Report'!G5:G25)</f>
        <v>125663.70614359174</v>
      </c>
      <c r="J5" s="12">
        <f>F5*1.05</f>
        <v>131946.89145077131</v>
      </c>
      <c r="K5" s="12">
        <f>F5/1.05</f>
        <v>119679.72013675403</v>
      </c>
      <c r="M5" s="12" t="str">
        <f>IF(AND(H5&gt;K5,H5&lt;J5),"GOOD","ERROR")</f>
        <v>GOOD</v>
      </c>
    </row>
    <row r="6" spans="1:13" x14ac:dyDescent="0.4">
      <c r="B6" s="12">
        <v>2</v>
      </c>
      <c r="C6" s="13">
        <f>'EPR2021 Assessment &amp; Report'!G27</f>
        <v>9989.0841784609293</v>
      </c>
    </row>
    <row r="7" spans="1:13" x14ac:dyDescent="0.4">
      <c r="B7" s="12">
        <v>3</v>
      </c>
      <c r="C7" s="13">
        <f>'EPR2021 Assessment &amp; Report'!G28</f>
        <v>8453.7703940018782</v>
      </c>
    </row>
    <row r="10" spans="1:13" x14ac:dyDescent="0.4">
      <c r="A10" s="12" t="s">
        <v>238</v>
      </c>
      <c r="B10" s="12">
        <f>(0.5*((C4+(0.5*C3))/F2))+(0.5*((C7+(0.5*C6))/F5))</f>
        <v>9.4665531012914861E-2</v>
      </c>
    </row>
    <row r="13" spans="1:13" x14ac:dyDescent="0.4">
      <c r="B13" t="s">
        <v>9</v>
      </c>
      <c r="D13" s="11" t="s">
        <v>239</v>
      </c>
      <c r="E13" s="12" t="s">
        <v>240</v>
      </c>
      <c r="F13" s="14" t="s">
        <v>241</v>
      </c>
      <c r="G13" s="14" t="s">
        <v>242</v>
      </c>
      <c r="H13" s="24" t="s">
        <v>243</v>
      </c>
    </row>
    <row r="14" spans="1:13" x14ac:dyDescent="0.4">
      <c r="A14" s="12" t="s">
        <v>1</v>
      </c>
      <c r="B14" s="18">
        <f>IF(AND(M2="GOOD",M5="GOOD"),IF(ISNUMBER(B10),ROUND(18*B10+50,0),"ERROR"),"ERROR")</f>
        <v>52</v>
      </c>
      <c r="C14" s="12" t="s">
        <v>244</v>
      </c>
      <c r="D14" s="15">
        <f>'Front Page'!F6</f>
        <v>0</v>
      </c>
      <c r="E14" s="14">
        <f>IF((D14+6)&gt;B14,D14+6,0)</f>
        <v>0</v>
      </c>
      <c r="F14" s="15">
        <f>IF(B14&gt;(D14+12.999),(0.5*(B14+D14))+4.5,0)</f>
        <v>30.5</v>
      </c>
      <c r="G14" s="15">
        <f>IF((E14+F14)&gt;0,E14+F14,B14)</f>
        <v>30.5</v>
      </c>
      <c r="H14" s="17">
        <f>IF(AND(M2="GOOD",M5="GOOD"),IF(ISNUMBER(G14),IF(G14&gt;45,G14,45),"ERROR"),"ERROR")</f>
        <v>45</v>
      </c>
    </row>
    <row r="15" spans="1:13" x14ac:dyDescent="0.4">
      <c r="A15" s="12" t="s">
        <v>14</v>
      </c>
      <c r="B15" s="18">
        <f>IF(AND(M2="GOOD",M5="GOOD"),IF(ISNUMBER(B10),ROUND(17*B10+44,0),"ERROR"),"ERROR")</f>
        <v>46</v>
      </c>
      <c r="C15" s="12" t="s">
        <v>244</v>
      </c>
      <c r="D15" s="14">
        <f>'Front Page'!F7</f>
        <v>0</v>
      </c>
      <c r="E15" s="14">
        <f>IF((D15+3)&gt;B15,D15+3,0)</f>
        <v>0</v>
      </c>
      <c r="F15" s="15">
        <f>IF(B15&gt;(D15+9.999),(0.5*(B15+D15))+3,0)</f>
        <v>26</v>
      </c>
      <c r="G15" s="15">
        <f>IF((E15+F15)&gt;0,E15+F15,B15)</f>
        <v>26</v>
      </c>
      <c r="H15" s="17">
        <f>IF(AND(M2="GOOD",M5="GOOD"),IF(ISNUMBER(G15),IF(G15&gt;40,G15,40),"ERROR"),"ERROR")</f>
        <v>40</v>
      </c>
    </row>
    <row r="16" spans="1:13" x14ac:dyDescent="0.4">
      <c r="A16" s="12" t="s">
        <v>6</v>
      </c>
      <c r="B16" s="18">
        <f>IF(AND(M2="GOOD",M5="GOOD"),IF(ISNUMBER(B10),ROUND(17*B10+39,0),"ERROR"),"ERROR")</f>
        <v>41</v>
      </c>
      <c r="C16" s="12" t="s">
        <v>244</v>
      </c>
      <c r="D16" s="14">
        <f>'Front Page'!F8</f>
        <v>0</v>
      </c>
      <c r="E16" s="14">
        <f>IF((D16+3)&gt;B16,D16+3,0)</f>
        <v>0</v>
      </c>
      <c r="F16" s="15">
        <f>IF(B16&gt;(D16+9.999),(0.5*(B16+D16))+3,0)</f>
        <v>23.5</v>
      </c>
      <c r="G16" s="15">
        <f>IF((E16+F16)&gt;0,E16+F16,B16)</f>
        <v>23.5</v>
      </c>
      <c r="H16" s="17">
        <f>IF(AND(M2="GOOD",M5="GOOD"),IF(ISNUMBER(G16),IF(G16&gt;35,G16,35),"ERROR"),"ERROR")</f>
        <v>35</v>
      </c>
    </row>
    <row r="21" spans="3:4" x14ac:dyDescent="0.4">
      <c r="C21" s="12">
        <f t="array" ref="C21:C41">IF(('EPR2021 Assessment &amp; Report'!C5:C25)="Manual",1,0)</f>
        <v>0</v>
      </c>
      <c r="D21" s="12">
        <f t="array" ref="D21:D41">IF(('EPR2021 Assessment &amp; Report'!F5:F25)="Manual",1,0)</f>
        <v>0</v>
      </c>
    </row>
    <row r="22" spans="3:4" x14ac:dyDescent="0.4">
      <c r="C22" s="12">
        <v>0</v>
      </c>
      <c r="D22" s="12">
        <v>0</v>
      </c>
    </row>
    <row r="23" spans="3:4" x14ac:dyDescent="0.4">
      <c r="C23" s="12">
        <v>0</v>
      </c>
      <c r="D23" s="12">
        <v>0</v>
      </c>
    </row>
    <row r="24" spans="3:4" x14ac:dyDescent="0.4">
      <c r="C24" s="12">
        <v>0</v>
      </c>
      <c r="D24" s="12">
        <v>0</v>
      </c>
    </row>
    <row r="25" spans="3:4" x14ac:dyDescent="0.4">
      <c r="C25" s="12">
        <v>0</v>
      </c>
      <c r="D25" s="12">
        <v>0</v>
      </c>
    </row>
    <row r="26" spans="3:4" x14ac:dyDescent="0.4">
      <c r="C26" s="12">
        <v>0</v>
      </c>
      <c r="D26" s="12">
        <v>0</v>
      </c>
    </row>
    <row r="27" spans="3:4" x14ac:dyDescent="0.4">
      <c r="C27" s="12">
        <v>0</v>
      </c>
      <c r="D27" s="12">
        <v>0</v>
      </c>
    </row>
    <row r="28" spans="3:4" x14ac:dyDescent="0.4">
      <c r="C28" s="12">
        <v>0</v>
      </c>
      <c r="D28" s="12">
        <v>0</v>
      </c>
    </row>
    <row r="29" spans="3:4" x14ac:dyDescent="0.4">
      <c r="C29" s="12">
        <v>0</v>
      </c>
      <c r="D29" s="12">
        <v>0</v>
      </c>
    </row>
    <row r="30" spans="3:4" x14ac:dyDescent="0.4">
      <c r="C30" s="12">
        <v>0</v>
      </c>
      <c r="D30" s="12">
        <v>0</v>
      </c>
    </row>
    <row r="31" spans="3:4" x14ac:dyDescent="0.4">
      <c r="C31" s="12">
        <v>0</v>
      </c>
      <c r="D31" s="12">
        <v>0</v>
      </c>
    </row>
    <row r="32" spans="3:4" x14ac:dyDescent="0.4">
      <c r="C32" s="12">
        <v>0</v>
      </c>
      <c r="D32" s="12">
        <v>0</v>
      </c>
    </row>
    <row r="33" spans="3:4" x14ac:dyDescent="0.4">
      <c r="C33" s="12">
        <v>0</v>
      </c>
      <c r="D33" s="12">
        <v>0</v>
      </c>
    </row>
    <row r="34" spans="3:4" x14ac:dyDescent="0.4">
      <c r="C34" s="12">
        <v>0</v>
      </c>
      <c r="D34" s="12">
        <v>0</v>
      </c>
    </row>
    <row r="35" spans="3:4" x14ac:dyDescent="0.4">
      <c r="C35" s="12">
        <v>0</v>
      </c>
      <c r="D35" s="12">
        <v>0</v>
      </c>
    </row>
    <row r="36" spans="3:4" x14ac:dyDescent="0.4">
      <c r="C36" s="12">
        <v>0</v>
      </c>
      <c r="D36" s="12">
        <v>0</v>
      </c>
    </row>
    <row r="37" spans="3:4" x14ac:dyDescent="0.4">
      <c r="C37" s="12">
        <v>0</v>
      </c>
      <c r="D37" s="12">
        <v>0</v>
      </c>
    </row>
    <row r="38" spans="3:4" x14ac:dyDescent="0.4">
      <c r="C38" s="12">
        <v>0</v>
      </c>
      <c r="D38" s="12">
        <v>0</v>
      </c>
    </row>
    <row r="39" spans="3:4" x14ac:dyDescent="0.4">
      <c r="C39" s="12">
        <v>0</v>
      </c>
      <c r="D39" s="12">
        <v>0</v>
      </c>
    </row>
    <row r="40" spans="3:4" x14ac:dyDescent="0.4">
      <c r="C40" s="12">
        <v>0</v>
      </c>
      <c r="D40" s="12">
        <v>0</v>
      </c>
    </row>
    <row r="41" spans="3:4" x14ac:dyDescent="0.4">
      <c r="C41" s="12">
        <v>0</v>
      </c>
      <c r="D41" s="12">
        <v>0</v>
      </c>
    </row>
    <row r="43" spans="3:4" x14ac:dyDescent="0.4">
      <c r="C43" s="12">
        <f>SUM(_xlfn.ANCHORARRAY(C21))</f>
        <v>0</v>
      </c>
      <c r="D43" s="12">
        <f>SUM(_xlfn.ANCHORARRAY(D21))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3C39A671E92499204FDF989587CFC" ma:contentTypeVersion="18" ma:contentTypeDescription="Create a new document." ma:contentTypeScope="" ma:versionID="88ce1cab5af800e5db670de12eba86f1">
  <xsd:schema xmlns:xsd="http://www.w3.org/2001/XMLSchema" xmlns:xs="http://www.w3.org/2001/XMLSchema" xmlns:p="http://schemas.microsoft.com/office/2006/metadata/properties" xmlns:ns2="0ad578c7-0c9d-44d1-a3f3-fe5c4550a566" xmlns:ns3="9196c754-26b9-469c-ac45-de51f3c12731" targetNamespace="http://schemas.microsoft.com/office/2006/metadata/properties" ma:root="true" ma:fieldsID="54291955e05c7f0f8ffa37e93763a897" ns2:_="" ns3:_="">
    <xsd:import namespace="0ad578c7-0c9d-44d1-a3f3-fe5c4550a566"/>
    <xsd:import namespace="9196c754-26b9-469c-ac45-de51f3c127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Time" minOccurs="0"/>
                <xsd:element ref="ns2:LastSharedByUser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578c7-0c9d-44d1-a3f3-fe5c4550a5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Time" ma:index="10" nillable="true" ma:displayName="Last Shared By Time" ma:internalName="LastSharedByTime" ma:readOnly="true">
      <xsd:simpleType>
        <xsd:restriction base="dms:DateTime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9e5462-a8cb-43f8-b131-26948c3f33d0}" ma:internalName="TaxCatchAll" ma:showField="CatchAllData" ma:web="0ad578c7-0c9d-44d1-a3f3-fe5c4550a5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6c754-26b9-469c-ac45-de51f3c12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75f0680-16d5-404e-ace1-412c9e19f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CF0A7-47C7-442F-AAE6-F6E1C8D2A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323225-1197-4633-B3E1-FF2BE4B70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d578c7-0c9d-44d1-a3f3-fe5c4550a566"/>
    <ds:schemaRef ds:uri="9196c754-26b9-469c-ac45-de51f3c12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EPR2021 Assessment &amp; Report</vt:lpstr>
      <vt:lpstr>Refs</vt:lpstr>
      <vt:lpstr>Add zoning map</vt:lpstr>
      <vt:lpstr>Tim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Luke Eyles</cp:lastModifiedBy>
  <dcterms:created xsi:type="dcterms:W3CDTF">2016-12-22T00:51:12Z</dcterms:created>
  <dcterms:modified xsi:type="dcterms:W3CDTF">2023-06-30T06:49:22Z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0x010100CEA3C39A671E92499204FDF989587CFC</vt:lpwstr>
  </property>
</Properties>
</file>