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octaveacoustics.sharepoint.com/Shared Documents/Live Projects/AC201-AC250/AC226ME le 60 Vale Street Moe/05. Calculations/EPR zoning/"/>
    </mc:Choice>
  </mc:AlternateContent>
  <xr:revisionPtr revIDLastSave="145" documentId="13_ncr:1_{98C04781-FDC4-49B2-A53B-AB3642C0092E}" xr6:coauthVersionLast="47" xr6:coauthVersionMax="47" xr10:uidLastSave="{45C14F39-417C-4777-99BB-1B140F4F0765}"/>
  <bookViews>
    <workbookView xWindow="-120" yWindow="-120" windowWidth="38640" windowHeight="21120" activeTab="1" xr2:uid="{00000000-000D-0000-FFFF-FFFF00000000}"/>
  </bookViews>
  <sheets>
    <sheet name="Front Page" sheetId="9" r:id="rId1"/>
    <sheet name="EPR2021 Assessment &amp; Report" sheetId="6" r:id="rId2"/>
    <sheet name="Refs" sheetId="7" state="hidden" r:id="rId3"/>
    <sheet name="Add zoning map" sheetId="4" r:id="rId4"/>
    <sheet name="Tim Calc" sheetId="8"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6" l="1"/>
  <c r="E8" i="6"/>
  <c r="E9" i="6"/>
  <c r="E10" i="6"/>
  <c r="E11" i="6"/>
  <c r="E5" i="6"/>
  <c r="E6" i="6"/>
  <c r="B7" i="6"/>
  <c r="B8" i="6"/>
  <c r="B9" i="6"/>
  <c r="B10" i="6"/>
  <c r="B11" i="6"/>
  <c r="B5" i="6"/>
  <c r="F2" i="8" l="1"/>
  <c r="F5" i="8"/>
  <c r="D16" i="8"/>
  <c r="D15" i="8"/>
  <c r="D14" i="8"/>
  <c r="B20" i="6" l="1"/>
  <c r="B6" i="6"/>
  <c r="F14" i="6" l="1"/>
  <c r="C14" i="6"/>
  <c r="F15" i="6"/>
  <c r="C6" i="8" s="1"/>
  <c r="F16" i="6"/>
  <c r="C16" i="6"/>
  <c r="B19" i="6"/>
  <c r="C15" i="6" s="1"/>
  <c r="C17" i="6" l="1"/>
  <c r="F17" i="6"/>
  <c r="C5" i="8"/>
  <c r="G13" i="9"/>
  <c r="C7" i="8"/>
  <c r="G14" i="9"/>
  <c r="F14" i="9"/>
  <c r="C4" i="8"/>
  <c r="F13" i="9"/>
  <c r="C3" i="8"/>
  <c r="C2" i="8"/>
  <c r="B10" i="8" l="1"/>
  <c r="B16" i="8" s="1"/>
  <c r="E16" i="8" l="1"/>
  <c r="F16" i="8"/>
  <c r="B15" i="8"/>
  <c r="E15" i="8" s="1"/>
  <c r="B14" i="8"/>
  <c r="F14" i="8" s="1"/>
  <c r="F20" i="9"/>
  <c r="G16" i="8" l="1"/>
  <c r="H16" i="8" s="1"/>
  <c r="F25" i="9" s="1"/>
  <c r="F19" i="9"/>
  <c r="F15" i="8"/>
  <c r="G15" i="8" s="1"/>
  <c r="H15" i="8" s="1"/>
  <c r="F24" i="9" s="1"/>
  <c r="F18" i="9"/>
  <c r="E14" i="8"/>
  <c r="G14" i="8" s="1"/>
  <c r="H14" i="8" s="1"/>
  <c r="F23" i="9" s="1"/>
</calcChain>
</file>

<file path=xl/sharedStrings.xml><?xml version="1.0" encoding="utf-8"?>
<sst xmlns="http://schemas.openxmlformats.org/spreadsheetml/2006/main" count="190" uniqueCount="144">
  <si>
    <t>Day</t>
  </si>
  <si>
    <t>Evening /Night</t>
  </si>
  <si>
    <t>High</t>
  </si>
  <si>
    <t>Background, L90 dB(A)</t>
  </si>
  <si>
    <t xml:space="preserve">Evening </t>
  </si>
  <si>
    <t>Night</t>
  </si>
  <si>
    <t>Zoning Level</t>
  </si>
  <si>
    <t>Diameter circle (m)</t>
  </si>
  <si>
    <t>Neutral</t>
  </si>
  <si>
    <t>Area Type 3</t>
  </si>
  <si>
    <t>Area Type 2</t>
  </si>
  <si>
    <t>Final criteria, Leq dB(A)</t>
  </si>
  <si>
    <t>Low</t>
  </si>
  <si>
    <t>Evening</t>
  </si>
  <si>
    <t>R1Z</t>
  </si>
  <si>
    <t>R2Z</t>
  </si>
  <si>
    <t>LDRZ</t>
  </si>
  <si>
    <t>MUZ</t>
  </si>
  <si>
    <t>TZ</t>
  </si>
  <si>
    <t>PUZ1</t>
  </si>
  <si>
    <t>b</t>
  </si>
  <si>
    <t>PUZ3</t>
  </si>
  <si>
    <t>PUZ4</t>
  </si>
  <si>
    <t>c</t>
  </si>
  <si>
    <t>PUZ5</t>
  </si>
  <si>
    <t>PUZ6</t>
  </si>
  <si>
    <t>PUZ7</t>
  </si>
  <si>
    <t>PPRZ</t>
  </si>
  <si>
    <t>PCRZ</t>
  </si>
  <si>
    <t>RDZ1</t>
  </si>
  <si>
    <t>RDZ2</t>
  </si>
  <si>
    <t>70m circle</t>
  </si>
  <si>
    <t>Zone</t>
  </si>
  <si>
    <t xml:space="preserve">Type </t>
  </si>
  <si>
    <t>Area (m2)</t>
  </si>
  <si>
    <t>200m circle</t>
  </si>
  <si>
    <t>Total Type 2</t>
  </si>
  <si>
    <t>Total Type 3</t>
  </si>
  <si>
    <t>Area of 200m circle</t>
  </si>
  <si>
    <t>Area of 70m circle</t>
  </si>
  <si>
    <t>Code</t>
  </si>
  <si>
    <t>Type</t>
  </si>
  <si>
    <t>Description</t>
  </si>
  <si>
    <t>IN1Z</t>
  </si>
  <si>
    <t>IN2Z</t>
  </si>
  <si>
    <t>IN3Z</t>
  </si>
  <si>
    <t>RUZ</t>
  </si>
  <si>
    <t>ERZ</t>
  </si>
  <si>
    <t>RLZ</t>
  </si>
  <si>
    <t>PUZ2 Off</t>
  </si>
  <si>
    <t>PUZ2 Oth</t>
  </si>
  <si>
    <t>PUZ2 Edu</t>
  </si>
  <si>
    <t>RGZ</t>
  </si>
  <si>
    <t>GRZ</t>
  </si>
  <si>
    <t>NRZ</t>
  </si>
  <si>
    <t>""</t>
  </si>
  <si>
    <t>IF</t>
  </si>
  <si>
    <t>m2</t>
  </si>
  <si>
    <t>Area</t>
  </si>
  <si>
    <t>dB</t>
  </si>
  <si>
    <t>High check</t>
  </si>
  <si>
    <t>Low Check</t>
  </si>
  <si>
    <t>Result</t>
  </si>
  <si>
    <t>Total Area Check</t>
  </si>
  <si>
    <t>Neutral criteria, Leq dB(A)</t>
  </si>
  <si>
    <t>NOTE:</t>
  </si>
  <si>
    <t>Grey</t>
  </si>
  <si>
    <t xml:space="preserve">Yellow </t>
  </si>
  <si>
    <t>cells can be freely filled in</t>
  </si>
  <si>
    <t>Lower Limit Check</t>
  </si>
  <si>
    <t>Background Values</t>
  </si>
  <si>
    <t>cells have drop down selection menus and will automatically update the "type" cell</t>
  </si>
  <si>
    <t>Total Type 1</t>
  </si>
  <si>
    <t>LETTER PROCEDURES</t>
  </si>
  <si>
    <t>Non-hospital land uses shall be designated Type 2.</t>
  </si>
  <si>
    <t>Existing land uses</t>
  </si>
  <si>
    <t>A sewage farm, retarding basin, reservoir or easement shall be designated Type 1.</t>
  </si>
  <si>
    <t>An existing office or a small public-purpose installation shall be designated Type 2.</t>
  </si>
  <si>
    <t>An existing large public-purpose installation shall be designated Type 3.</t>
  </si>
  <si>
    <t>The Eastern Treatment Plant shall be designated Type 3.</t>
  </si>
  <si>
    <t>Proposed land uses</t>
  </si>
  <si>
    <t>then the land shall be designated the same as the Existing Land Uses classification above.</t>
  </si>
  <si>
    <t>years, then the land shall be designated Type 1.</t>
  </si>
  <si>
    <t>Private Utilities</t>
  </si>
  <si>
    <t>A private utility not used for a public purpose shall be designated Type 2.</t>
  </si>
  <si>
    <t>An existing office, railway reservation, tram depot or bus depot shall be designated Type 2,</t>
  </si>
  <si>
    <t>except those railways enclosed by</t>
  </si>
  <si>
    <t>· Champion Road, North Williamstown; Ferguson Street and The Strand, Williamstown;</t>
  </si>
  <si>
    <t>North Road, Douglas Parade to a point directly east of Hudsons Road, Hudsons Road in a</t>
  </si>
  <si>
    <t>direct line south on Stephenson Street to Blackshaws Road and Blackshaws Road,</t>
  </si>
  <si>
    <t>· the municipal boundaries of the City of Melbourne excluding the Flemington Racecourse</t>
  </si>
  <si>
    <t>railway and that part of the Clifton Hill railway east of Jolimont Road, East Melbourne</t>
  </si>
  <si>
    <t>· Geelong Road and Barkly Street, Footscray; Barkly Street and Ashley Street, Footscray</t>
  </si>
  <si>
    <t>West; South Road, Braybrook; Monash Street, Hampshire Road and Wright Street,</t>
  </si>
  <si>
    <t>Sunshine; Sunshine Road, Tottenham; Sunshine Road, Footscray West</t>
  </si>
  <si>
    <t>which shall be designated Type 3.</t>
  </si>
  <si>
    <t>Existing airports and heliports shall be designated Type 3.</t>
  </si>
  <si>
    <t>Where the land is undeveloped for the purpose of the zone, is intended for a railway and it is</t>
  </si>
  <si>
    <t>expected that the railway will be fully or partially operational within three years, then the</t>
  </si>
  <si>
    <t>designated type shall be the same as the existing Public Use Zone classification. However,</t>
  </si>
  <si>
    <t>where it is expected that the railway will not be fully or partially operational within three years,</t>
  </si>
  <si>
    <t>the land shall be designated Type 1.</t>
  </si>
  <si>
    <t>d</t>
  </si>
  <si>
    <t>An existing extractive industry shall be designated Type 3.</t>
  </si>
  <si>
    <t>a</t>
  </si>
  <si>
    <t>e</t>
  </si>
  <si>
    <t>Existing Land Uses</t>
  </si>
  <si>
    <t>An existing Category 1 road shall be designated Type 3</t>
  </si>
  <si>
    <t>An existing Category 2 road shall be designated Type 2</t>
  </si>
  <si>
    <t>Proposed Land Uses</t>
  </si>
  <si>
    <t>proposed road, it shall be designated that type.</t>
  </si>
  <si>
    <t>Area input</t>
  </si>
  <si>
    <t>Where it is expected that the office, large or small public-purpose installation, sewage farm, retarding basin, reservoir or easement will be fully or partially operational within three years,</t>
  </si>
  <si>
    <t>Where it is expected that the office, large or small public-purpose installation, sewage farm, retarding basin, reservoir or easement will not be fully or partially operational within three</t>
  </si>
  <si>
    <t>A private utility used for a public purpose shall be designated as an existing or proposed use above as appropriate.</t>
  </si>
  <si>
    <t>Spotswood; Hansen Street, Altona East; Blenheim Road, Rosshire Road and Jubilee Street, Newport</t>
  </si>
  <si>
    <t>Transport-related infrastructure, other than a railway, tramway, airport or heliport, shall be designated Type 2.</t>
  </si>
  <si>
    <t>Where the land is undeveloped for the purpose of the zone, and it is expected that the extractive industry will be fully or partially operational within three years, the land shall be designated Type 3.</t>
  </si>
  <si>
    <t>Where it is expected that the extractive industry will not be fully or partially operational within three years, the land shall be designated Type 1.</t>
  </si>
  <si>
    <t>Where the land is zoned but not developed for the purpose of a Category 1 or Category 2 road which has a completion date not scheduled to occur within three years, the land shall be</t>
  </si>
  <si>
    <t>designated the type that is numerically the lower of the two different types of the zones or reservations on both sides of the proposed road. Where the type is the same on both sides of the</t>
  </si>
  <si>
    <t>Where any part of the proposed Category 1 road has a completion date which is scheduled to occur within three years, that part shall be designated Type 3.</t>
  </si>
  <si>
    <t>Where any part of the proposed Category 2 road has a completion date which is scheduled to occur within three years, that part shall be designated Type 2.</t>
  </si>
  <si>
    <t>Rural Zone</t>
  </si>
  <si>
    <t>Township Zone</t>
  </si>
  <si>
    <t>Residential Zone</t>
  </si>
  <si>
    <t>Low Density Residential Zone</t>
  </si>
  <si>
    <t>Mixed Use Zone</t>
  </si>
  <si>
    <t>Commercial Zone</t>
  </si>
  <si>
    <t>C1Z</t>
  </si>
  <si>
    <t>C2Z</t>
  </si>
  <si>
    <t>Environmental Rural Zone</t>
  </si>
  <si>
    <t>Industrial Zone</t>
  </si>
  <si>
    <t>Rural Living Zone</t>
  </si>
  <si>
    <t>DZ</t>
  </si>
  <si>
    <t>Docklands Zone</t>
  </si>
  <si>
    <t>CCZ1</t>
  </si>
  <si>
    <t>CCZ2</t>
  </si>
  <si>
    <t>Melbourne Schedule 1</t>
  </si>
  <si>
    <t>MElbourne Schedule 2</t>
  </si>
  <si>
    <t>Hospitals shall be Type 1 – except those medical, surgical and maternity hospitals with more than 150 beds, which shall be designated Type 2.</t>
  </si>
  <si>
    <t>Password</t>
  </si>
  <si>
    <t>Octave</t>
  </si>
  <si>
    <t>EPR 2021 Calculation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</si>
</sst>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rgb="FF000000"/>
      <name val="Calibri"/>
      <family val="2"/>
    </font>
    <font>
      <b/>
      <u/>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theme="1"/>
      <name val="Calibri"/>
      <family val="2"/>
      <scheme val="minor"/>
    </font>
    <font>
      <sz val="24"/>
      <color theme="1"/>
      <name val="Baskerville Old Face"/>
      <family val="1"/>
    </font>
  </fonts>
  <fills count="12">
    <fill>
      <patternFill patternType="none"/>
    </fill>
    <fill>
      <patternFill patternType="gray125"/>
    </fill>
    <fill>
      <patternFill patternType="solid">
        <fgColor theme="5" tint="0.39997558519241921"/>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FFFF66"/>
        <bgColor indexed="64"/>
      </patternFill>
    </fill>
    <fill>
      <patternFill patternType="solid">
        <fgColor rgb="FFFFFF00"/>
        <bgColor indexed="64"/>
      </patternFill>
    </fill>
    <fill>
      <patternFill patternType="solid">
        <fgColor rgb="FF00B0F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8"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cellStyleXfs>
  <cellXfs count="65">
    <xf numFmtId="0" fontId="0" fillId="0" borderId="0" xfId="0"/>
    <xf numFmtId="0" fontId="5" fillId="0" borderId="0" xfId="0" applyFont="1"/>
    <xf numFmtId="0" fontId="5" fillId="0" borderId="0" xfId="0" applyFont="1" applyAlignment="1">
      <alignment horizontal="center"/>
    </xf>
    <xf numFmtId="0" fontId="4" fillId="0" borderId="0" xfId="0" applyFont="1" applyAlignment="1">
      <alignment horizontal="left"/>
    </xf>
    <xf numFmtId="0" fontId="4" fillId="0" borderId="1" xfId="0" applyFont="1" applyBorder="1"/>
    <xf numFmtId="1" fontId="5" fillId="6" borderId="1" xfId="0" applyNumberFormat="1" applyFont="1" applyFill="1" applyBorder="1" applyAlignment="1" applyProtection="1">
      <alignment horizontal="center"/>
      <protection locked="0"/>
    </xf>
    <xf numFmtId="0" fontId="5" fillId="6" borderId="1" xfId="0" applyFont="1" applyFill="1" applyBorder="1" applyAlignment="1" applyProtection="1">
      <alignment horizontal="center"/>
      <protection locked="0"/>
    </xf>
    <xf numFmtId="0" fontId="5" fillId="4" borderId="1" xfId="0" applyFont="1" applyFill="1" applyBorder="1" applyAlignment="1">
      <alignment horizontal="center"/>
    </xf>
    <xf numFmtId="0" fontId="5" fillId="0" borderId="1" xfId="0" applyFont="1" applyBorder="1" applyAlignment="1">
      <alignment horizontal="center"/>
    </xf>
    <xf numFmtId="0" fontId="4" fillId="0" borderId="5" xfId="0" applyFont="1" applyBorder="1"/>
    <xf numFmtId="0" fontId="4" fillId="0" borderId="0" xfId="0" applyFont="1"/>
    <xf numFmtId="1" fontId="5" fillId="5" borderId="1" xfId="0" applyNumberFormat="1" applyFont="1" applyFill="1" applyBorder="1" applyAlignment="1">
      <alignment horizontal="center"/>
    </xf>
    <xf numFmtId="0" fontId="0" fillId="0" borderId="0" xfId="0" applyAlignment="1">
      <alignment horizontal="center"/>
    </xf>
    <xf numFmtId="0" fontId="6" fillId="0" borderId="0" xfId="0" applyFont="1"/>
    <xf numFmtId="3" fontId="6" fillId="0" borderId="0" xfId="0" applyNumberFormat="1" applyFont="1"/>
    <xf numFmtId="0" fontId="6" fillId="0" borderId="0" xfId="0" applyFont="1" applyAlignment="1">
      <alignment horizontal="center"/>
    </xf>
    <xf numFmtId="1" fontId="6" fillId="0" borderId="0" xfId="0" applyNumberFormat="1" applyFont="1" applyAlignment="1">
      <alignment horizontal="center"/>
    </xf>
    <xf numFmtId="0" fontId="4" fillId="0" borderId="0" xfId="0" applyFont="1" applyAlignment="1">
      <alignment horizontal="center"/>
    </xf>
    <xf numFmtId="1" fontId="6" fillId="8" borderId="1" xfId="0" applyNumberFormat="1" applyFont="1" applyFill="1" applyBorder="1" applyAlignment="1">
      <alignment horizontal="center"/>
    </xf>
    <xf numFmtId="0" fontId="6" fillId="7" borderId="0" xfId="0" applyFont="1" applyFill="1" applyAlignment="1">
      <alignment horizontal="center"/>
    </xf>
    <xf numFmtId="1" fontId="5" fillId="0" borderId="0" xfId="0" applyNumberFormat="1" applyFont="1" applyAlignment="1">
      <alignment horizontal="center"/>
    </xf>
    <xf numFmtId="0" fontId="1" fillId="0" borderId="0" xfId="0" applyFont="1"/>
    <xf numFmtId="1" fontId="5" fillId="4" borderId="1" xfId="0" applyNumberFormat="1" applyFont="1" applyFill="1" applyBorder="1" applyAlignment="1">
      <alignment horizontal="center"/>
    </xf>
    <xf numFmtId="3" fontId="5" fillId="0" borderId="1" xfId="0" applyNumberFormat="1" applyFont="1" applyBorder="1" applyAlignment="1">
      <alignment horizontal="center"/>
    </xf>
    <xf numFmtId="0" fontId="7" fillId="7" borderId="13" xfId="0" applyFont="1" applyFill="1" applyBorder="1" applyProtection="1">
      <protection locked="0"/>
    </xf>
    <xf numFmtId="0" fontId="7" fillId="7" borderId="17" xfId="0" applyFont="1" applyFill="1" applyBorder="1" applyAlignment="1" applyProtection="1">
      <alignment horizontal="center"/>
      <protection locked="0"/>
    </xf>
    <xf numFmtId="0" fontId="7" fillId="7" borderId="18" xfId="0" applyFont="1" applyFill="1" applyBorder="1" applyAlignment="1" applyProtection="1">
      <alignment horizontal="center"/>
      <protection locked="0"/>
    </xf>
    <xf numFmtId="0" fontId="0" fillId="8" borderId="1" xfId="0" applyFill="1" applyBorder="1" applyAlignment="1">
      <alignment horizontal="center"/>
    </xf>
    <xf numFmtId="0" fontId="7" fillId="9" borderId="13" xfId="0" applyFont="1" applyFill="1" applyBorder="1" applyProtection="1">
      <protection locked="0"/>
    </xf>
    <xf numFmtId="0" fontId="0" fillId="9" borderId="13" xfId="0" applyFill="1" applyBorder="1" applyProtection="1">
      <protection locked="0"/>
    </xf>
    <xf numFmtId="0" fontId="7" fillId="0" borderId="0" xfId="0" applyFont="1"/>
    <xf numFmtId="0" fontId="7" fillId="0" borderId="10" xfId="0" applyFont="1" applyBorder="1"/>
    <xf numFmtId="0" fontId="7" fillId="0" borderId="11" xfId="0" applyFont="1" applyBorder="1" applyAlignment="1">
      <alignment horizontal="center"/>
    </xf>
    <xf numFmtId="0" fontId="7" fillId="0" borderId="12" xfId="0" applyFont="1" applyBorder="1"/>
    <xf numFmtId="0" fontId="7" fillId="0" borderId="17" xfId="0" applyFont="1" applyBorder="1" applyAlignment="1">
      <alignment horizontal="center"/>
    </xf>
    <xf numFmtId="0" fontId="0" fillId="9" borderId="0" xfId="0" applyFill="1"/>
    <xf numFmtId="0" fontId="0" fillId="7" borderId="0" xfId="0" applyFill="1"/>
    <xf numFmtId="3" fontId="7" fillId="0" borderId="6" xfId="0" applyNumberFormat="1" applyFont="1" applyBorder="1" applyAlignment="1">
      <alignment horizontal="center"/>
    </xf>
    <xf numFmtId="3" fontId="7" fillId="0" borderId="0" xfId="0" applyNumberFormat="1" applyFont="1"/>
    <xf numFmtId="0" fontId="7" fillId="0" borderId="6" xfId="0" applyFont="1" applyBorder="1" applyAlignment="1">
      <alignment horizontal="center"/>
    </xf>
    <xf numFmtId="0" fontId="8" fillId="0" borderId="0" xfId="0" applyFont="1"/>
    <xf numFmtId="0" fontId="8" fillId="10" borderId="0" xfId="0" applyFont="1" applyFill="1"/>
    <xf numFmtId="0" fontId="0" fillId="11" borderId="0" xfId="0" applyFill="1"/>
    <xf numFmtId="3" fontId="7" fillId="7" borderId="14" xfId="0" applyNumberFormat="1" applyFont="1" applyFill="1" applyBorder="1" applyAlignment="1" applyProtection="1">
      <alignment horizontal="center"/>
      <protection locked="0"/>
    </xf>
    <xf numFmtId="3" fontId="7" fillId="7" borderId="17" xfId="0" applyNumberFormat="1" applyFont="1" applyFill="1" applyBorder="1" applyAlignment="1" applyProtection="1">
      <alignment horizontal="center"/>
      <protection locked="0"/>
    </xf>
    <xf numFmtId="0" fontId="3" fillId="0" borderId="0" xfId="0" applyFont="1" applyAlignment="1">
      <alignment horizontal="center"/>
    </xf>
    <xf numFmtId="0" fontId="5" fillId="2" borderId="2" xfId="0" applyFont="1" applyFill="1" applyBorder="1" applyAlignment="1">
      <alignment horizontal="center" vertical="center" textRotation="90"/>
    </xf>
    <xf numFmtId="0" fontId="5" fillId="2" borderId="3" xfId="0" applyFont="1" applyFill="1" applyBorder="1" applyAlignment="1">
      <alignment horizontal="center" vertical="center" textRotation="90"/>
    </xf>
    <xf numFmtId="0" fontId="5" fillId="2" borderId="4" xfId="0" applyFont="1" applyFill="1" applyBorder="1" applyAlignment="1">
      <alignment horizontal="center" vertical="center" textRotation="90"/>
    </xf>
    <xf numFmtId="0" fontId="5" fillId="2" borderId="1" xfId="0" applyFont="1" applyFill="1" applyBorder="1" applyAlignment="1">
      <alignment horizontal="center" vertical="center" textRotation="90"/>
    </xf>
    <xf numFmtId="0" fontId="4" fillId="0" borderId="0" xfId="0" applyFont="1" applyAlignment="1">
      <alignment horizontal="center"/>
    </xf>
    <xf numFmtId="0" fontId="5" fillId="4" borderId="1" xfId="0" applyFont="1" applyFill="1" applyBorder="1" applyAlignment="1">
      <alignment horizontal="center" vertical="center" textRotation="90"/>
    </xf>
    <xf numFmtId="0" fontId="5" fillId="4" borderId="2" xfId="0" applyFont="1" applyFill="1" applyBorder="1" applyAlignment="1">
      <alignment horizontal="center" vertical="center" textRotation="90"/>
    </xf>
    <xf numFmtId="0" fontId="5" fillId="4" borderId="3" xfId="0" applyFont="1" applyFill="1" applyBorder="1" applyAlignment="1">
      <alignment horizontal="center" vertical="center" textRotation="90"/>
    </xf>
    <xf numFmtId="0" fontId="5" fillId="4" borderId="4" xfId="0" applyFont="1" applyFill="1" applyBorder="1" applyAlignment="1">
      <alignment horizontal="center" vertical="center" textRotation="90"/>
    </xf>
    <xf numFmtId="0" fontId="5" fillId="3" borderId="1" xfId="0" applyFont="1" applyFill="1" applyBorder="1" applyAlignment="1">
      <alignment horizontal="center" vertical="center" textRotation="90"/>
    </xf>
    <xf numFmtId="0" fontId="9" fillId="0" borderId="0" xfId="0" applyFont="1" applyAlignment="1">
      <alignment horizontal="center"/>
    </xf>
    <xf numFmtId="0" fontId="0" fillId="0" borderId="6" xfId="0" applyBorder="1" applyAlignment="1">
      <alignment horizontal="center"/>
    </xf>
    <xf numFmtId="0" fontId="7" fillId="0" borderId="6" xfId="0" applyFont="1" applyBorder="1" applyAlignment="1">
      <alignment horizontal="center"/>
    </xf>
    <xf numFmtId="0" fontId="7" fillId="0" borderId="7" xfId="0" applyFont="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0" fillId="0" borderId="7" xfId="0" applyBorder="1" applyAlignment="1">
      <alignment horizontal="center"/>
    </xf>
    <xf numFmtId="0" fontId="7" fillId="0" borderId="15" xfId="0" applyFont="1" applyBorder="1" applyAlignment="1">
      <alignment horizontal="center"/>
    </xf>
    <xf numFmtId="0" fontId="7" fillId="0" borderId="16" xfId="0" applyFont="1" applyBorder="1" applyAlignment="1">
      <alignment horizontal="center"/>
    </xf>
  </cellXfs>
  <cellStyles count="2">
    <cellStyle name="Normal" xfId="0" builtinId="0"/>
    <cellStyle name="Normal 2" xfId="1" xr:uid="{00000000-0005-0000-0000-00000100000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FF66"/>
      <color rgb="FFFFFF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476250</xdr:colOff>
      <xdr:row>1</xdr:row>
      <xdr:rowOff>47625</xdr:rowOff>
    </xdr:from>
    <xdr:to>
      <xdr:col>11</xdr:col>
      <xdr:colOff>363643</xdr:colOff>
      <xdr:row>8</xdr:row>
      <xdr:rowOff>55079</xdr:rowOff>
    </xdr:to>
    <xdr:pic>
      <xdr:nvPicPr>
        <xdr:cNvPr id="2" name="Picture 1">
          <a:extLst>
            <a:ext uri="{FF2B5EF4-FFF2-40B4-BE49-F238E27FC236}">
              <a16:creationId xmlns:a16="http://schemas.microsoft.com/office/drawing/2014/main" id="{D0B74580-E024-469E-965A-53F653FDAB7F}"/>
            </a:ext>
          </a:extLst>
        </xdr:cNvPr>
        <xdr:cNvPicPr>
          <a:picLocks noChangeAspect="1"/>
        </xdr:cNvPicPr>
      </xdr:nvPicPr>
      <xdr:blipFill>
        <a:blip xmlns:r="http://schemas.openxmlformats.org/officeDocument/2006/relationships" r:embed="rId1"/>
        <a:stretch>
          <a:fillRect/>
        </a:stretch>
      </xdr:blipFill>
      <xdr:spPr>
        <a:xfrm>
          <a:off x="5353050" y="238125"/>
          <a:ext cx="1714500" cy="13279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B7B6C-1D20-4A76-BBCA-E97E3E931A46}">
  <dimension ref="A1:H31"/>
  <sheetViews>
    <sheetView showGridLines="0" zoomScale="115" zoomScaleNormal="115" workbookViewId="0">
      <selection activeCell="G7" sqref="G7"/>
    </sheetView>
  </sheetViews>
  <sheetFormatPr defaultRowHeight="15" x14ac:dyDescent="0.25"/>
  <cols>
    <col min="1" max="1" width="12" bestFit="1" customWidth="1"/>
    <col min="3" max="3" width="14.28515625" bestFit="1" customWidth="1"/>
    <col min="5" max="5" width="11.28515625" bestFit="1" customWidth="1"/>
  </cols>
  <sheetData>
    <row r="1" spans="1:8" x14ac:dyDescent="0.25">
      <c r="A1" s="2"/>
      <c r="B1" s="1"/>
      <c r="C1" s="1"/>
      <c r="D1" s="1"/>
      <c r="E1" s="1"/>
      <c r="F1" s="1"/>
      <c r="G1" s="1"/>
      <c r="H1" s="1"/>
    </row>
    <row r="2" spans="1:8" x14ac:dyDescent="0.25">
      <c r="A2" s="45" t="s">
        <v>143</v>
      </c>
      <c r="B2" s="45"/>
      <c r="C2" s="45"/>
      <c r="D2" s="45"/>
      <c r="E2" s="45"/>
      <c r="F2" s="45"/>
      <c r="G2" s="45"/>
      <c r="H2" s="45"/>
    </row>
    <row r="3" spans="1:8" x14ac:dyDescent="0.25">
      <c r="A3" s="2"/>
      <c r="B3" s="1"/>
      <c r="C3" s="1"/>
      <c r="D3" s="1"/>
      <c r="E3" s="1"/>
      <c r="F3" s="1"/>
      <c r="G3" s="1"/>
      <c r="H3" s="1"/>
    </row>
    <row r="4" spans="1:8" x14ac:dyDescent="0.25">
      <c r="A4" s="2"/>
      <c r="B4" s="17" t="s">
        <v>0</v>
      </c>
      <c r="C4" s="17" t="s">
        <v>1</v>
      </c>
      <c r="D4" s="1"/>
      <c r="E4" s="1"/>
      <c r="F4" s="1"/>
      <c r="G4" s="1"/>
      <c r="H4" s="1"/>
    </row>
    <row r="5" spans="1:8" x14ac:dyDescent="0.25">
      <c r="A5" s="2"/>
      <c r="B5" s="46" t="s">
        <v>2</v>
      </c>
      <c r="C5" s="49" t="s">
        <v>2</v>
      </c>
      <c r="D5" s="1"/>
      <c r="E5" s="1"/>
      <c r="F5" s="3" t="s">
        <v>3</v>
      </c>
      <c r="G5" s="1"/>
      <c r="H5" s="1"/>
    </row>
    <row r="6" spans="1:8" x14ac:dyDescent="0.25">
      <c r="A6" s="2"/>
      <c r="B6" s="47"/>
      <c r="C6" s="49"/>
      <c r="D6" s="1"/>
      <c r="E6" s="4" t="s">
        <v>0</v>
      </c>
      <c r="F6" s="5"/>
      <c r="G6" s="1"/>
      <c r="H6" s="1"/>
    </row>
    <row r="7" spans="1:8" x14ac:dyDescent="0.25">
      <c r="A7" s="2"/>
      <c r="B7" s="47"/>
      <c r="C7" s="49"/>
      <c r="D7" s="1"/>
      <c r="E7" s="4" t="s">
        <v>4</v>
      </c>
      <c r="F7" s="6"/>
      <c r="G7" s="1"/>
      <c r="H7" s="1"/>
    </row>
    <row r="8" spans="1:8" x14ac:dyDescent="0.25">
      <c r="A8" s="2"/>
      <c r="B8" s="47"/>
      <c r="C8" s="49"/>
      <c r="D8" s="1"/>
      <c r="E8" s="4" t="s">
        <v>5</v>
      </c>
      <c r="F8" s="6"/>
      <c r="G8" s="1"/>
      <c r="H8" s="1"/>
    </row>
    <row r="9" spans="1:8" x14ac:dyDescent="0.25">
      <c r="A9" s="7" t="s">
        <v>6</v>
      </c>
      <c r="B9" s="47"/>
      <c r="C9" s="49"/>
      <c r="D9" s="1"/>
      <c r="E9" s="1"/>
      <c r="F9" s="1"/>
      <c r="G9" s="1"/>
      <c r="H9" s="1"/>
    </row>
    <row r="10" spans="1:8" x14ac:dyDescent="0.25">
      <c r="A10" s="8">
        <v>1</v>
      </c>
      <c r="B10" s="47"/>
      <c r="C10" s="49"/>
      <c r="D10" s="1"/>
      <c r="E10" s="1"/>
      <c r="F10" s="1"/>
      <c r="G10" s="1"/>
      <c r="H10" s="1"/>
    </row>
    <row r="11" spans="1:8" x14ac:dyDescent="0.25">
      <c r="A11" s="8">
        <v>2</v>
      </c>
      <c r="B11" s="47"/>
      <c r="C11" s="49"/>
      <c r="D11" s="1"/>
      <c r="E11" s="1"/>
      <c r="F11" s="50" t="s">
        <v>7</v>
      </c>
      <c r="G11" s="50"/>
      <c r="H11" s="1"/>
    </row>
    <row r="12" spans="1:8" x14ac:dyDescent="0.25">
      <c r="A12" s="8">
        <v>3</v>
      </c>
      <c r="B12" s="47"/>
      <c r="C12" s="51" t="s">
        <v>8</v>
      </c>
      <c r="D12" s="1"/>
      <c r="E12" s="1"/>
      <c r="F12" s="8">
        <v>140</v>
      </c>
      <c r="G12" s="8">
        <v>400</v>
      </c>
      <c r="H12" s="1"/>
    </row>
    <row r="13" spans="1:8" x14ac:dyDescent="0.25">
      <c r="A13" s="8">
        <v>4</v>
      </c>
      <c r="B13" s="47"/>
      <c r="C13" s="51"/>
      <c r="D13" s="1"/>
      <c r="E13" s="9" t="s">
        <v>10</v>
      </c>
      <c r="F13" s="23">
        <f>'EPR2021 Assessment &amp; Report'!C15</f>
        <v>12291.7898549973</v>
      </c>
      <c r="G13" s="23">
        <f>'EPR2021 Assessment &amp; Report'!F15</f>
        <v>1339.3332361810301</v>
      </c>
      <c r="H13" s="1"/>
    </row>
    <row r="14" spans="1:8" x14ac:dyDescent="0.25">
      <c r="A14" s="8">
        <v>5</v>
      </c>
      <c r="B14" s="48"/>
      <c r="C14" s="51"/>
      <c r="D14" s="1"/>
      <c r="E14" s="9" t="s">
        <v>9</v>
      </c>
      <c r="F14" s="23">
        <f>'EPR2021 Assessment &amp; Report'!C16</f>
        <v>0</v>
      </c>
      <c r="G14" s="23">
        <f>'EPR2021 Assessment &amp; Report'!F16</f>
        <v>0</v>
      </c>
      <c r="H14" s="1"/>
    </row>
    <row r="15" spans="1:8" x14ac:dyDescent="0.25">
      <c r="A15" s="8">
        <v>6</v>
      </c>
      <c r="B15" s="52" t="s">
        <v>8</v>
      </c>
      <c r="C15" s="51"/>
      <c r="D15" s="1"/>
      <c r="E15" s="1"/>
      <c r="F15" s="1"/>
      <c r="G15" s="1"/>
      <c r="H15" s="1"/>
    </row>
    <row r="16" spans="1:8" x14ac:dyDescent="0.25">
      <c r="A16" s="8">
        <v>7</v>
      </c>
      <c r="B16" s="53"/>
      <c r="C16" s="51"/>
      <c r="D16" s="1"/>
      <c r="E16" s="1"/>
      <c r="F16" s="1"/>
      <c r="G16" s="1"/>
      <c r="H16" s="1"/>
    </row>
    <row r="17" spans="1:8" x14ac:dyDescent="0.25">
      <c r="A17" s="8">
        <v>8</v>
      </c>
      <c r="B17" s="53"/>
      <c r="C17" s="51"/>
      <c r="D17" s="1"/>
      <c r="E17" s="1"/>
      <c r="F17" s="21" t="s">
        <v>64</v>
      </c>
      <c r="G17" s="1"/>
      <c r="H17" s="1"/>
    </row>
    <row r="18" spans="1:8" x14ac:dyDescent="0.25">
      <c r="A18" s="8">
        <v>9</v>
      </c>
      <c r="B18" s="53"/>
      <c r="C18" s="51"/>
      <c r="D18" s="1"/>
      <c r="E18" s="4" t="s">
        <v>0</v>
      </c>
      <c r="F18" s="22">
        <f>'Tim Calc'!B14</f>
        <v>54</v>
      </c>
      <c r="G18" s="1"/>
      <c r="H18" s="1"/>
    </row>
    <row r="19" spans="1:8" x14ac:dyDescent="0.25">
      <c r="A19" s="8">
        <v>10</v>
      </c>
      <c r="B19" s="53"/>
      <c r="C19" s="55" t="s">
        <v>12</v>
      </c>
      <c r="D19" s="1"/>
      <c r="E19" s="4" t="s">
        <v>13</v>
      </c>
      <c r="F19" s="22">
        <f>'Tim Calc'!B15</f>
        <v>47</v>
      </c>
      <c r="G19" s="1"/>
      <c r="H19" s="1"/>
    </row>
    <row r="20" spans="1:8" x14ac:dyDescent="0.25">
      <c r="A20" s="8">
        <v>11</v>
      </c>
      <c r="B20" s="53"/>
      <c r="C20" s="55"/>
      <c r="D20" s="1"/>
      <c r="E20" s="4" t="s">
        <v>5</v>
      </c>
      <c r="F20" s="22">
        <f>'Tim Calc'!B16</f>
        <v>42</v>
      </c>
      <c r="G20" s="1"/>
      <c r="H20" s="1"/>
    </row>
    <row r="21" spans="1:8" x14ac:dyDescent="0.25">
      <c r="A21" s="8">
        <v>12</v>
      </c>
      <c r="B21" s="54"/>
      <c r="C21" s="55"/>
      <c r="D21" s="1"/>
      <c r="E21" s="10"/>
      <c r="F21" s="20"/>
      <c r="G21" s="1"/>
      <c r="H21" s="1"/>
    </row>
    <row r="22" spans="1:8" x14ac:dyDescent="0.25">
      <c r="A22" s="8">
        <v>13</v>
      </c>
      <c r="B22" s="55" t="s">
        <v>12</v>
      </c>
      <c r="C22" s="55"/>
      <c r="D22" s="1"/>
      <c r="E22" s="1"/>
      <c r="F22" s="10" t="s">
        <v>11</v>
      </c>
      <c r="G22" s="1"/>
      <c r="H22" s="1"/>
    </row>
    <row r="23" spans="1:8" x14ac:dyDescent="0.25">
      <c r="A23" s="2"/>
      <c r="B23" s="55"/>
      <c r="C23" s="55"/>
      <c r="D23" s="1"/>
      <c r="E23" s="4" t="s">
        <v>0</v>
      </c>
      <c r="F23" s="11">
        <f>'Tim Calc'!H14</f>
        <v>45</v>
      </c>
      <c r="G23" s="1"/>
      <c r="H23" s="1"/>
    </row>
    <row r="24" spans="1:8" x14ac:dyDescent="0.25">
      <c r="A24" s="2"/>
      <c r="B24" s="55"/>
      <c r="C24" s="55"/>
      <c r="D24" s="1"/>
      <c r="E24" s="4" t="s">
        <v>13</v>
      </c>
      <c r="F24" s="11">
        <f>'Tim Calc'!H15</f>
        <v>40</v>
      </c>
      <c r="G24" s="1"/>
      <c r="H24" s="1"/>
    </row>
    <row r="25" spans="1:8" x14ac:dyDescent="0.25">
      <c r="A25" s="2"/>
      <c r="B25" s="55"/>
      <c r="C25" s="55"/>
      <c r="D25" s="1"/>
      <c r="E25" s="4" t="s">
        <v>5</v>
      </c>
      <c r="F25" s="11">
        <f>'Tim Calc'!H16</f>
        <v>35</v>
      </c>
      <c r="G25" s="1"/>
      <c r="H25" s="1"/>
    </row>
    <row r="26" spans="1:8" x14ac:dyDescent="0.25">
      <c r="A26" s="2"/>
      <c r="B26" s="1"/>
      <c r="C26" s="1"/>
      <c r="D26" s="1"/>
      <c r="E26" s="1"/>
      <c r="F26" s="1"/>
      <c r="G26" s="1"/>
      <c r="H26" s="1"/>
    </row>
    <row r="27" spans="1:8" x14ac:dyDescent="0.25">
      <c r="E27" s="1"/>
      <c r="F27" s="1"/>
      <c r="G27" s="1"/>
    </row>
    <row r="28" spans="1:8" x14ac:dyDescent="0.25">
      <c r="E28" s="1"/>
      <c r="F28" s="1"/>
      <c r="G28" s="1"/>
    </row>
    <row r="29" spans="1:8" x14ac:dyDescent="0.25">
      <c r="E29" s="1"/>
      <c r="F29" s="1"/>
      <c r="G29" s="1"/>
    </row>
    <row r="30" spans="1:8" x14ac:dyDescent="0.25">
      <c r="E30" s="1"/>
      <c r="F30" s="1"/>
      <c r="G30" s="1"/>
    </row>
    <row r="31" spans="1:8" x14ac:dyDescent="0.25">
      <c r="E31" s="1"/>
      <c r="F31" s="1"/>
      <c r="G31" s="1"/>
    </row>
  </sheetData>
  <sheetProtection algorithmName="SHA-512" hashValue="9bqGXN2JYGVbzRhLPBWmapkmGTJUZgA8VxBGvttwzTg29tjsYlL7pVckqanQkpbmUHoYysjIQVHazdJYR4nxow==" saltValue="Zp+LojelwnBn9vLssg5jJA==" spinCount="100000" sheet="1" objects="1" scenarios="1"/>
  <protectedRanges>
    <protectedRange sqref="F6:F8" name="Range1"/>
    <protectedRange algorithmName="SHA-512" hashValue="XRpYBoSBcuNvXqsMjL/JZ3jShlzkSNliaK5S6EyZEThXXrGUoDWXM35qV1gAlKa3SLViV58C/+wxCo2C6uLBZg==" saltValue="TcE26rh6iKko2eXU0zH+zA==" spinCount="100000" sqref="F13:G14" name="Range2"/>
  </protectedRanges>
  <mergeCells count="8">
    <mergeCell ref="A2:H2"/>
    <mergeCell ref="B5:B14"/>
    <mergeCell ref="C5:C11"/>
    <mergeCell ref="F11:G11"/>
    <mergeCell ref="C12:C18"/>
    <mergeCell ref="B15:B21"/>
    <mergeCell ref="C19:C25"/>
    <mergeCell ref="B22:B2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0"/>
  <sheetViews>
    <sheetView tabSelected="1" zoomScaleNormal="100" workbookViewId="0">
      <selection activeCell="O21" sqref="O21"/>
    </sheetView>
  </sheetViews>
  <sheetFormatPr defaultColWidth="8.7109375" defaultRowHeight="15" x14ac:dyDescent="0.25"/>
  <cols>
    <col min="1" max="1" width="17.7109375" style="30" customWidth="1"/>
    <col min="2" max="2" width="8.7109375" style="30"/>
    <col min="3" max="3" width="10" style="30" bestFit="1" customWidth="1"/>
    <col min="4" max="4" width="17.7109375" style="30" customWidth="1"/>
    <col min="5" max="5" width="8.7109375" style="30"/>
    <col min="6" max="6" width="9.7109375" style="30" bestFit="1" customWidth="1"/>
    <col min="7" max="8" width="8.7109375" style="30"/>
    <col min="9" max="9" width="10.7109375" style="30" customWidth="1"/>
    <col min="10" max="16384" width="8.7109375" style="30"/>
  </cols>
  <sheetData>
    <row r="1" spans="1:10" ht="30.75" x14ac:dyDescent="0.45">
      <c r="A1" s="56" t="s">
        <v>111</v>
      </c>
      <c r="B1" s="56"/>
      <c r="C1" s="56"/>
      <c r="D1" s="56"/>
      <c r="E1" s="56"/>
      <c r="F1" s="56"/>
    </row>
    <row r="2" spans="1:10" ht="15.75" thickBot="1" x14ac:dyDescent="0.3"/>
    <row r="3" spans="1:10" x14ac:dyDescent="0.25">
      <c r="A3" s="59" t="s">
        <v>31</v>
      </c>
      <c r="B3" s="60"/>
      <c r="C3" s="61"/>
      <c r="D3" s="62" t="s">
        <v>35</v>
      </c>
      <c r="E3" s="60"/>
      <c r="F3" s="61"/>
    </row>
    <row r="4" spans="1:10" ht="15.75" thickBot="1" x14ac:dyDescent="0.3">
      <c r="A4" s="31" t="s">
        <v>32</v>
      </c>
      <c r="B4" s="32" t="s">
        <v>33</v>
      </c>
      <c r="C4" s="33" t="s">
        <v>34</v>
      </c>
      <c r="D4" s="31" t="s">
        <v>32</v>
      </c>
      <c r="E4" s="32" t="s">
        <v>33</v>
      </c>
      <c r="F4" s="33" t="s">
        <v>34</v>
      </c>
    </row>
    <row r="5" spans="1:10" x14ac:dyDescent="0.25">
      <c r="A5" s="29" t="s">
        <v>49</v>
      </c>
      <c r="B5" s="34">
        <f>IFERROR(VLOOKUP(A5,Refs!$A$3:$B$36,2,FALSE),"")</f>
        <v>2</v>
      </c>
      <c r="C5" s="43">
        <v>12291.7898549973</v>
      </c>
      <c r="D5" s="29" t="s">
        <v>54</v>
      </c>
      <c r="E5" s="34">
        <f>IFERROR(VLOOKUP(D5,Refs!$A$3:$B$36,2,FALSE),"")</f>
        <v>1</v>
      </c>
      <c r="F5" s="44">
        <v>108495.505587946</v>
      </c>
      <c r="I5" t="s">
        <v>65</v>
      </c>
    </row>
    <row r="6" spans="1:10" x14ac:dyDescent="0.25">
      <c r="A6" s="29" t="s">
        <v>53</v>
      </c>
      <c r="B6" s="34">
        <f>IFERROR(VLOOKUP(A6,Refs!$A$3:$B$36,2,FALSE),"")</f>
        <v>1</v>
      </c>
      <c r="C6" s="43">
        <v>3102.0141450026099</v>
      </c>
      <c r="D6" s="28" t="s">
        <v>17</v>
      </c>
      <c r="E6" s="34">
        <f>IFERROR(VLOOKUP(D6,Refs!$A$3:$B$36,2,FALSE),"")</f>
        <v>2</v>
      </c>
      <c r="F6" s="44">
        <v>1339.3332361810301</v>
      </c>
      <c r="I6" s="35" t="s">
        <v>66</v>
      </c>
      <c r="J6" t="s">
        <v>71</v>
      </c>
    </row>
    <row r="7" spans="1:10" x14ac:dyDescent="0.25">
      <c r="A7" s="28" t="s">
        <v>51</v>
      </c>
      <c r="B7" s="34">
        <f>IFERROR(VLOOKUP(A7,Refs!$A$3:$B$36,2,FALSE),"")</f>
        <v>1</v>
      </c>
      <c r="C7" s="43"/>
      <c r="D7" s="29" t="s">
        <v>53</v>
      </c>
      <c r="E7" s="34">
        <f>IFERROR(VLOOKUP(D7,Refs!$A$3:$B$36,2,FALSE),"")</f>
        <v>1</v>
      </c>
      <c r="F7" s="43">
        <v>15828.867175872099</v>
      </c>
      <c r="I7" s="36" t="s">
        <v>67</v>
      </c>
      <c r="J7" s="30" t="s">
        <v>68</v>
      </c>
    </row>
    <row r="8" spans="1:10" x14ac:dyDescent="0.25">
      <c r="A8" s="28" t="s">
        <v>26</v>
      </c>
      <c r="B8" s="34" t="str">
        <f>IFERROR(VLOOKUP(A8,Refs!$A$3:$B$36,2,FALSE),"")</f>
        <v>b</v>
      </c>
      <c r="C8" s="43"/>
      <c r="D8" s="29"/>
      <c r="E8" s="34" t="str">
        <f>IFERROR(VLOOKUP(D8,Refs!$A$3:$B$36,2,FALSE),"")</f>
        <v/>
      </c>
      <c r="F8" s="43"/>
    </row>
    <row r="9" spans="1:10" x14ac:dyDescent="0.25">
      <c r="A9" s="28"/>
      <c r="B9" s="34" t="str">
        <f>IFERROR(VLOOKUP(A9,Refs!$A$3:$B$36,2,FALSE),"")</f>
        <v/>
      </c>
      <c r="C9" s="43"/>
      <c r="D9" s="28"/>
      <c r="E9" s="34" t="str">
        <f>IFERROR(VLOOKUP(D9,Refs!$A$3:$B$36,2,FALSE),"")</f>
        <v/>
      </c>
      <c r="F9" s="43"/>
    </row>
    <row r="10" spans="1:10" x14ac:dyDescent="0.25">
      <c r="A10" s="28" t="s">
        <v>19</v>
      </c>
      <c r="B10" s="34" t="str">
        <f>IFERROR(VLOOKUP(A10,Refs!$A$3:$B$36,2,FALSE),"")</f>
        <v>b</v>
      </c>
      <c r="C10" s="43"/>
      <c r="D10" s="28"/>
      <c r="E10" s="34" t="str">
        <f>IFERROR(VLOOKUP(D10,Refs!$A$3:$B$36,2,FALSE),"")</f>
        <v/>
      </c>
      <c r="F10" s="43"/>
    </row>
    <row r="11" spans="1:10" x14ac:dyDescent="0.25">
      <c r="A11" s="28"/>
      <c r="B11" s="34" t="str">
        <f>IFERROR(VLOOKUP(A11,Refs!$A$3:$B$36,2,FALSE),"")</f>
        <v/>
      </c>
      <c r="C11" s="43"/>
      <c r="D11" s="29"/>
      <c r="E11" s="34" t="str">
        <f>IFERROR(VLOOKUP(D11,Refs!$A$3:$B$36,2,FALSE),"")</f>
        <v/>
      </c>
      <c r="F11" s="43"/>
    </row>
    <row r="12" spans="1:10" x14ac:dyDescent="0.25">
      <c r="A12" s="24"/>
      <c r="B12" s="25"/>
      <c r="C12" s="43"/>
      <c r="D12" s="24"/>
      <c r="E12" s="25"/>
      <c r="F12" s="43"/>
    </row>
    <row r="13" spans="1:10" ht="15.75" thickBot="1" x14ac:dyDescent="0.3">
      <c r="A13" s="24"/>
      <c r="B13" s="26"/>
      <c r="C13" s="43"/>
      <c r="D13" s="24"/>
      <c r="E13" s="26"/>
      <c r="F13" s="43"/>
    </row>
    <row r="14" spans="1:10" ht="15.75" thickBot="1" x14ac:dyDescent="0.3">
      <c r="A14" s="63" t="s">
        <v>72</v>
      </c>
      <c r="B14" s="64"/>
      <c r="C14" s="37">
        <f>SUMIF(B4:B12,1,C4:C12)</f>
        <v>3102.0141450026099</v>
      </c>
      <c r="D14" s="63" t="s">
        <v>72</v>
      </c>
      <c r="E14" s="64"/>
      <c r="F14" s="37">
        <f>SUMIF(E4:E13,1,F4:F13)</f>
        <v>124324.3727638181</v>
      </c>
    </row>
    <row r="15" spans="1:10" ht="15.75" thickBot="1" x14ac:dyDescent="0.3">
      <c r="A15" s="63" t="s">
        <v>36</v>
      </c>
      <c r="B15" s="64"/>
      <c r="C15" s="37">
        <f>SUMIF(B5:B13,2,C5:C13)</f>
        <v>12291.7898549973</v>
      </c>
      <c r="D15" s="63" t="s">
        <v>36</v>
      </c>
      <c r="E15" s="64"/>
      <c r="F15" s="37">
        <f>SUMIF(E5:E13,2,F5:F13)</f>
        <v>1339.3332361810301</v>
      </c>
      <c r="G15" s="38"/>
    </row>
    <row r="16" spans="1:10" ht="15.75" thickBot="1" x14ac:dyDescent="0.3">
      <c r="A16" s="63" t="s">
        <v>37</v>
      </c>
      <c r="B16" s="64"/>
      <c r="C16" s="37">
        <f>SUMIF(B5:B13,3,C5:C13)</f>
        <v>0</v>
      </c>
      <c r="D16" s="63" t="s">
        <v>37</v>
      </c>
      <c r="E16" s="64"/>
      <c r="F16" s="37">
        <f>SUMIF(E5:E13,3,F5:F13)</f>
        <v>0</v>
      </c>
      <c r="I16" t="s">
        <v>141</v>
      </c>
      <c r="J16" s="42" t="s">
        <v>142</v>
      </c>
    </row>
    <row r="17" spans="1:6" ht="15.75" thickBot="1" x14ac:dyDescent="0.3">
      <c r="A17" s="57" t="s">
        <v>63</v>
      </c>
      <c r="B17" s="58"/>
      <c r="C17" s="39" t="str">
        <f>IF(SUM(C14:C16)&gt;B19,"ERROR","GOOD")</f>
        <v>GOOD</v>
      </c>
      <c r="D17" s="57" t="s">
        <v>63</v>
      </c>
      <c r="E17" s="58"/>
      <c r="F17" s="39" t="str">
        <f>IF(SUM(F14:F16)&gt;B20,"ERROR","GOOD")</f>
        <v>GOOD</v>
      </c>
    </row>
    <row r="19" spans="1:6" x14ac:dyDescent="0.25">
      <c r="A19" s="30" t="s">
        <v>39</v>
      </c>
      <c r="B19" s="38">
        <f>PI()*(70^2)</f>
        <v>15393.804002589986</v>
      </c>
    </row>
    <row r="20" spans="1:6" x14ac:dyDescent="0.25">
      <c r="A20" s="30" t="s">
        <v>38</v>
      </c>
      <c r="B20" s="38">
        <f>PI()*(200^2)</f>
        <v>125663.70614359173</v>
      </c>
    </row>
    <row r="24" spans="1:6" ht="18.75" x14ac:dyDescent="0.3">
      <c r="A24" s="40" t="s">
        <v>73</v>
      </c>
    </row>
    <row r="25" spans="1:6" ht="18.75" x14ac:dyDescent="0.3">
      <c r="A25" s="41" t="s">
        <v>104</v>
      </c>
    </row>
    <row r="26" spans="1:6" x14ac:dyDescent="0.25">
      <c r="A26" t="s">
        <v>140</v>
      </c>
    </row>
    <row r="27" spans="1:6" x14ac:dyDescent="0.25">
      <c r="A27" s="30" t="s">
        <v>74</v>
      </c>
    </row>
    <row r="28" spans="1:6" ht="18.75" x14ac:dyDescent="0.3">
      <c r="A28" s="41" t="s">
        <v>20</v>
      </c>
    </row>
    <row r="29" spans="1:6" x14ac:dyDescent="0.25">
      <c r="A29" s="30" t="s">
        <v>75</v>
      </c>
    </row>
    <row r="30" spans="1:6" x14ac:dyDescent="0.25">
      <c r="A30" s="30" t="s">
        <v>76</v>
      </c>
    </row>
    <row r="31" spans="1:6" x14ac:dyDescent="0.25">
      <c r="A31" s="30" t="s">
        <v>77</v>
      </c>
    </row>
    <row r="32" spans="1:6" x14ac:dyDescent="0.25">
      <c r="A32" s="30" t="s">
        <v>78</v>
      </c>
    </row>
    <row r="33" spans="1:1" x14ac:dyDescent="0.25">
      <c r="A33" s="30" t="s">
        <v>79</v>
      </c>
    </row>
    <row r="34" spans="1:1" x14ac:dyDescent="0.25">
      <c r="A34" s="30" t="s">
        <v>80</v>
      </c>
    </row>
    <row r="35" spans="1:1" x14ac:dyDescent="0.25">
      <c r="A35" t="s">
        <v>112</v>
      </c>
    </row>
    <row r="36" spans="1:1" x14ac:dyDescent="0.25">
      <c r="A36" s="30" t="s">
        <v>81</v>
      </c>
    </row>
    <row r="37" spans="1:1" x14ac:dyDescent="0.25">
      <c r="A37" t="s">
        <v>113</v>
      </c>
    </row>
    <row r="38" spans="1:1" x14ac:dyDescent="0.25">
      <c r="A38" s="30" t="s">
        <v>82</v>
      </c>
    </row>
    <row r="39" spans="1:1" ht="18.75" x14ac:dyDescent="0.3">
      <c r="A39" s="40" t="s">
        <v>83</v>
      </c>
    </row>
    <row r="40" spans="1:1" x14ac:dyDescent="0.25">
      <c r="A40" s="30" t="s">
        <v>84</v>
      </c>
    </row>
    <row r="41" spans="1:1" x14ac:dyDescent="0.25">
      <c r="A41" t="s">
        <v>114</v>
      </c>
    </row>
    <row r="42" spans="1:1" ht="18.75" x14ac:dyDescent="0.3">
      <c r="A42" s="41" t="s">
        <v>23</v>
      </c>
    </row>
    <row r="43" spans="1:1" x14ac:dyDescent="0.25">
      <c r="A43" s="30" t="s">
        <v>75</v>
      </c>
    </row>
    <row r="44" spans="1:1" x14ac:dyDescent="0.25">
      <c r="A44" s="30" t="s">
        <v>85</v>
      </c>
    </row>
    <row r="45" spans="1:1" x14ac:dyDescent="0.25">
      <c r="A45" s="30" t="s">
        <v>86</v>
      </c>
    </row>
    <row r="46" spans="1:1" x14ac:dyDescent="0.25">
      <c r="A46" s="30" t="s">
        <v>87</v>
      </c>
    </row>
    <row r="47" spans="1:1" x14ac:dyDescent="0.25">
      <c r="A47" s="30" t="s">
        <v>88</v>
      </c>
    </row>
    <row r="48" spans="1:1" x14ac:dyDescent="0.25">
      <c r="A48" s="30" t="s">
        <v>89</v>
      </c>
    </row>
    <row r="49" spans="1:1" x14ac:dyDescent="0.25">
      <c r="A49" t="s">
        <v>115</v>
      </c>
    </row>
    <row r="50" spans="1:1" x14ac:dyDescent="0.25">
      <c r="A50" s="30" t="s">
        <v>90</v>
      </c>
    </row>
    <row r="51" spans="1:1" x14ac:dyDescent="0.25">
      <c r="A51" s="30" t="s">
        <v>91</v>
      </c>
    </row>
    <row r="52" spans="1:1" x14ac:dyDescent="0.25">
      <c r="A52" s="30" t="s">
        <v>92</v>
      </c>
    </row>
    <row r="53" spans="1:1" x14ac:dyDescent="0.25">
      <c r="A53" s="30" t="s">
        <v>93</v>
      </c>
    </row>
    <row r="54" spans="1:1" x14ac:dyDescent="0.25">
      <c r="A54" s="30" t="s">
        <v>94</v>
      </c>
    </row>
    <row r="55" spans="1:1" x14ac:dyDescent="0.25">
      <c r="A55" s="30" t="s">
        <v>95</v>
      </c>
    </row>
    <row r="56" spans="1:1" x14ac:dyDescent="0.25">
      <c r="A56" s="30" t="s">
        <v>96</v>
      </c>
    </row>
    <row r="57" spans="1:1" x14ac:dyDescent="0.25">
      <c r="A57" t="s">
        <v>116</v>
      </c>
    </row>
    <row r="58" spans="1:1" x14ac:dyDescent="0.25">
      <c r="A58" s="30" t="s">
        <v>80</v>
      </c>
    </row>
    <row r="59" spans="1:1" x14ac:dyDescent="0.25">
      <c r="A59" s="30" t="s">
        <v>97</v>
      </c>
    </row>
    <row r="60" spans="1:1" x14ac:dyDescent="0.25">
      <c r="A60" s="30" t="s">
        <v>98</v>
      </c>
    </row>
    <row r="61" spans="1:1" x14ac:dyDescent="0.25">
      <c r="A61" s="30" t="s">
        <v>99</v>
      </c>
    </row>
    <row r="62" spans="1:1" x14ac:dyDescent="0.25">
      <c r="A62" s="30" t="s">
        <v>100</v>
      </c>
    </row>
    <row r="63" spans="1:1" x14ac:dyDescent="0.25">
      <c r="A63" s="30" t="s">
        <v>101</v>
      </c>
    </row>
    <row r="64" spans="1:1" ht="18.75" x14ac:dyDescent="0.3">
      <c r="A64" s="41" t="s">
        <v>102</v>
      </c>
    </row>
    <row r="65" spans="1:1" x14ac:dyDescent="0.25">
      <c r="A65" s="30" t="s">
        <v>75</v>
      </c>
    </row>
    <row r="66" spans="1:1" x14ac:dyDescent="0.25">
      <c r="A66" s="30" t="s">
        <v>103</v>
      </c>
    </row>
    <row r="67" spans="1:1" x14ac:dyDescent="0.25">
      <c r="A67" s="30" t="s">
        <v>80</v>
      </c>
    </row>
    <row r="68" spans="1:1" x14ac:dyDescent="0.25">
      <c r="A68" t="s">
        <v>117</v>
      </c>
    </row>
    <row r="69" spans="1:1" x14ac:dyDescent="0.25">
      <c r="A69" t="s">
        <v>118</v>
      </c>
    </row>
    <row r="70" spans="1:1" ht="18.75" x14ac:dyDescent="0.3">
      <c r="A70" s="41" t="s">
        <v>105</v>
      </c>
    </row>
    <row r="71" spans="1:1" x14ac:dyDescent="0.25">
      <c r="A71" s="30" t="s">
        <v>106</v>
      </c>
    </row>
    <row r="72" spans="1:1" x14ac:dyDescent="0.25">
      <c r="A72" s="30" t="s">
        <v>107</v>
      </c>
    </row>
    <row r="73" spans="1:1" x14ac:dyDescent="0.25">
      <c r="A73" s="30" t="s">
        <v>108</v>
      </c>
    </row>
    <row r="74" spans="1:1" x14ac:dyDescent="0.25">
      <c r="A74" s="30" t="s">
        <v>109</v>
      </c>
    </row>
    <row r="75" spans="1:1" x14ac:dyDescent="0.25">
      <c r="A75" t="s">
        <v>119</v>
      </c>
    </row>
    <row r="76" spans="1:1" x14ac:dyDescent="0.25">
      <c r="A76" t="s">
        <v>120</v>
      </c>
    </row>
    <row r="77" spans="1:1" x14ac:dyDescent="0.25">
      <c r="A77" s="30" t="s">
        <v>110</v>
      </c>
    </row>
    <row r="78" spans="1:1" x14ac:dyDescent="0.25">
      <c r="A78" t="s">
        <v>121</v>
      </c>
    </row>
    <row r="79" spans="1:1" x14ac:dyDescent="0.25">
      <c r="A79" t="s">
        <v>122</v>
      </c>
    </row>
    <row r="80" spans="1:1" x14ac:dyDescent="0.25">
      <c r="A80"/>
    </row>
  </sheetData>
  <sheetProtection algorithmName="SHA-512" hashValue="v3P+CiggDt4srbP8mwoheKCsbbmcoJlQZL/OlabXY0iZX/qgEeBrI6afJtatG0P3RZvEd8PbuOHQ6d1oRuZvhw==" saltValue="4gSBrckNnNNRw1VIEppYnQ==" spinCount="100000" sheet="1" objects="1" scenarios="1"/>
  <mergeCells count="11">
    <mergeCell ref="A1:F1"/>
    <mergeCell ref="D17:E17"/>
    <mergeCell ref="A17:B17"/>
    <mergeCell ref="A3:C3"/>
    <mergeCell ref="D3:F3"/>
    <mergeCell ref="A15:B15"/>
    <mergeCell ref="D15:E15"/>
    <mergeCell ref="A16:B16"/>
    <mergeCell ref="D16:E16"/>
    <mergeCell ref="A14:B14"/>
    <mergeCell ref="D14:E14"/>
  </mergeCells>
  <conditionalFormatting sqref="C17 F17">
    <cfRule type="cellIs" dxfId="1" priority="1" operator="equal">
      <formula>"ERROR"</formula>
    </cfRule>
    <cfRule type="cellIs" dxfId="0" priority="2" operator="equal">
      <formula>"GOOD"</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0369CFE-15F2-4C6F-A49D-40C22475D836}">
          <x14:formula1>
            <xm:f>Refs!$A$3:$A$35</xm:f>
          </x14:formula1>
          <xm:sqref>A5:A11</xm:sqref>
        </x14:dataValidation>
        <x14:dataValidation type="list" allowBlank="1" showInputMessage="1" showErrorMessage="1" xr:uid="{D9BD1748-2FEA-4171-8745-5699AE434D40}">
          <x14:formula1>
            <xm:f>Refs!$A$3:$A$36</xm:f>
          </x14:formula1>
          <xm:sqref>D5:D11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6E95D-FF9C-48BC-BD1D-2314DDED6715}">
  <dimension ref="A2:C35"/>
  <sheetViews>
    <sheetView workbookViewId="0">
      <selection activeCell="G17" sqref="G17"/>
    </sheetView>
  </sheetViews>
  <sheetFormatPr defaultRowHeight="15" x14ac:dyDescent="0.25"/>
  <cols>
    <col min="2" max="2" width="8.7109375" style="12"/>
    <col min="3" max="3" width="35.42578125" customWidth="1"/>
  </cols>
  <sheetData>
    <row r="2" spans="1:3" x14ac:dyDescent="0.25">
      <c r="A2" t="s">
        <v>40</v>
      </c>
      <c r="B2" s="12" t="s">
        <v>41</v>
      </c>
      <c r="C2" t="s">
        <v>42</v>
      </c>
    </row>
    <row r="3" spans="1:3" x14ac:dyDescent="0.25">
      <c r="B3" s="12" t="s">
        <v>55</v>
      </c>
    </row>
    <row r="4" spans="1:3" x14ac:dyDescent="0.25">
      <c r="A4" t="s">
        <v>129</v>
      </c>
      <c r="B4" s="12">
        <v>2</v>
      </c>
      <c r="C4" t="s">
        <v>128</v>
      </c>
    </row>
    <row r="5" spans="1:3" x14ac:dyDescent="0.25">
      <c r="A5" t="s">
        <v>130</v>
      </c>
      <c r="B5" s="12">
        <v>3</v>
      </c>
      <c r="C5" t="s">
        <v>128</v>
      </c>
    </row>
    <row r="6" spans="1:3" x14ac:dyDescent="0.25">
      <c r="A6" t="s">
        <v>136</v>
      </c>
      <c r="B6" s="12">
        <v>2</v>
      </c>
      <c r="C6" t="s">
        <v>138</v>
      </c>
    </row>
    <row r="7" spans="1:3" x14ac:dyDescent="0.25">
      <c r="A7" t="s">
        <v>137</v>
      </c>
      <c r="B7" s="12">
        <v>2</v>
      </c>
      <c r="C7" t="s">
        <v>139</v>
      </c>
    </row>
    <row r="8" spans="1:3" x14ac:dyDescent="0.25">
      <c r="A8" t="s">
        <v>134</v>
      </c>
      <c r="B8" s="12">
        <v>2</v>
      </c>
      <c r="C8" t="s">
        <v>135</v>
      </c>
    </row>
    <row r="9" spans="1:3" x14ac:dyDescent="0.25">
      <c r="A9" t="s">
        <v>47</v>
      </c>
      <c r="B9" s="12">
        <v>1</v>
      </c>
      <c r="C9" t="s">
        <v>131</v>
      </c>
    </row>
    <row r="10" spans="1:3" x14ac:dyDescent="0.25">
      <c r="A10" t="s">
        <v>53</v>
      </c>
      <c r="B10" s="12">
        <v>1</v>
      </c>
    </row>
    <row r="11" spans="1:3" x14ac:dyDescent="0.25">
      <c r="A11" t="s">
        <v>43</v>
      </c>
      <c r="B11" s="12">
        <v>3</v>
      </c>
      <c r="C11" t="s">
        <v>132</v>
      </c>
    </row>
    <row r="12" spans="1:3" x14ac:dyDescent="0.25">
      <c r="A12" t="s">
        <v>44</v>
      </c>
      <c r="B12" s="12">
        <v>3</v>
      </c>
      <c r="C12" t="s">
        <v>132</v>
      </c>
    </row>
    <row r="13" spans="1:3" x14ac:dyDescent="0.25">
      <c r="A13" t="s">
        <v>45</v>
      </c>
      <c r="B13" s="12">
        <v>2</v>
      </c>
      <c r="C13" t="s">
        <v>132</v>
      </c>
    </row>
    <row r="14" spans="1:3" x14ac:dyDescent="0.25">
      <c r="A14" t="s">
        <v>16</v>
      </c>
      <c r="B14" s="12">
        <v>1</v>
      </c>
      <c r="C14" t="s">
        <v>126</v>
      </c>
    </row>
    <row r="15" spans="1:3" x14ac:dyDescent="0.25">
      <c r="A15" t="s">
        <v>17</v>
      </c>
      <c r="B15" s="12">
        <v>2</v>
      </c>
      <c r="C15" t="s">
        <v>127</v>
      </c>
    </row>
    <row r="16" spans="1:3" x14ac:dyDescent="0.25">
      <c r="A16" t="s">
        <v>54</v>
      </c>
      <c r="B16" s="12">
        <v>1</v>
      </c>
    </row>
    <row r="17" spans="1:3" x14ac:dyDescent="0.25">
      <c r="A17" t="s">
        <v>28</v>
      </c>
      <c r="B17" s="12">
        <v>1</v>
      </c>
    </row>
    <row r="18" spans="1:3" x14ac:dyDescent="0.25">
      <c r="A18" t="s">
        <v>27</v>
      </c>
      <c r="B18" s="12">
        <v>1</v>
      </c>
    </row>
    <row r="19" spans="1:3" x14ac:dyDescent="0.25">
      <c r="A19" t="s">
        <v>19</v>
      </c>
      <c r="B19" s="12" t="s">
        <v>20</v>
      </c>
    </row>
    <row r="20" spans="1:3" x14ac:dyDescent="0.25">
      <c r="A20" t="s">
        <v>51</v>
      </c>
      <c r="B20" s="12">
        <v>1</v>
      </c>
    </row>
    <row r="21" spans="1:3" x14ac:dyDescent="0.25">
      <c r="A21" t="s">
        <v>49</v>
      </c>
      <c r="B21" s="12">
        <v>2</v>
      </c>
    </row>
    <row r="22" spans="1:3" x14ac:dyDescent="0.25">
      <c r="A22" t="s">
        <v>50</v>
      </c>
      <c r="B22" s="12">
        <v>1</v>
      </c>
    </row>
    <row r="23" spans="1:3" x14ac:dyDescent="0.25">
      <c r="A23" t="s">
        <v>21</v>
      </c>
      <c r="B23" s="12">
        <v>2</v>
      </c>
    </row>
    <row r="24" spans="1:3" x14ac:dyDescent="0.25">
      <c r="A24" t="s">
        <v>22</v>
      </c>
      <c r="B24" s="12" t="s">
        <v>23</v>
      </c>
    </row>
    <row r="25" spans="1:3" x14ac:dyDescent="0.25">
      <c r="A25" t="s">
        <v>24</v>
      </c>
      <c r="B25" s="12">
        <v>1</v>
      </c>
    </row>
    <row r="26" spans="1:3" x14ac:dyDescent="0.25">
      <c r="A26" t="s">
        <v>25</v>
      </c>
      <c r="B26" s="12" t="s">
        <v>20</v>
      </c>
    </row>
    <row r="27" spans="1:3" x14ac:dyDescent="0.25">
      <c r="A27" t="s">
        <v>26</v>
      </c>
      <c r="B27" s="12" t="s">
        <v>20</v>
      </c>
    </row>
    <row r="28" spans="1:3" x14ac:dyDescent="0.25">
      <c r="A28" t="s">
        <v>14</v>
      </c>
      <c r="B28" s="12">
        <v>1</v>
      </c>
      <c r="C28" t="s">
        <v>125</v>
      </c>
    </row>
    <row r="29" spans="1:3" x14ac:dyDescent="0.25">
      <c r="A29" t="s">
        <v>15</v>
      </c>
      <c r="B29" s="12">
        <v>1</v>
      </c>
      <c r="C29" t="s">
        <v>125</v>
      </c>
    </row>
    <row r="30" spans="1:3" x14ac:dyDescent="0.25">
      <c r="A30" t="s">
        <v>29</v>
      </c>
      <c r="B30" s="12">
        <v>3</v>
      </c>
    </row>
    <row r="31" spans="1:3" x14ac:dyDescent="0.25">
      <c r="A31" t="s">
        <v>30</v>
      </c>
      <c r="B31" s="12">
        <v>2</v>
      </c>
    </row>
    <row r="32" spans="1:3" x14ac:dyDescent="0.25">
      <c r="A32" t="s">
        <v>52</v>
      </c>
      <c r="B32" s="12">
        <v>1</v>
      </c>
    </row>
    <row r="33" spans="1:3" x14ac:dyDescent="0.25">
      <c r="A33" t="s">
        <v>48</v>
      </c>
      <c r="B33" s="12">
        <v>1</v>
      </c>
      <c r="C33" t="s">
        <v>133</v>
      </c>
    </row>
    <row r="34" spans="1:3" x14ac:dyDescent="0.25">
      <c r="A34" t="s">
        <v>46</v>
      </c>
      <c r="B34" s="12">
        <v>1</v>
      </c>
      <c r="C34" t="s">
        <v>123</v>
      </c>
    </row>
    <row r="35" spans="1:3" x14ac:dyDescent="0.25">
      <c r="A35" t="s">
        <v>18</v>
      </c>
      <c r="B35" s="12">
        <v>1</v>
      </c>
      <c r="C35" t="s">
        <v>124</v>
      </c>
    </row>
  </sheetData>
  <sortState xmlns:xlrd2="http://schemas.microsoft.com/office/spreadsheetml/2017/richdata2" ref="A4:B36">
    <sortCondition ref="A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election activeCell="C37" sqref="C37"/>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1CD20-EDD1-418B-9B4D-3F415E0DF857}">
  <dimension ref="A2:H16"/>
  <sheetViews>
    <sheetView workbookViewId="0">
      <selection activeCell="H21" sqref="H21"/>
    </sheetView>
  </sheetViews>
  <sheetFormatPr defaultColWidth="8.7109375" defaultRowHeight="15" x14ac:dyDescent="0.25"/>
  <cols>
    <col min="1" max="1" width="10.28515625" style="13" bestFit="1" customWidth="1"/>
    <col min="2" max="3" width="8.7109375" style="13"/>
    <col min="4" max="4" width="18" style="13" bestFit="1" customWidth="1"/>
    <col min="5" max="5" width="10.42578125" style="13" bestFit="1" customWidth="1"/>
    <col min="6" max="6" width="12" style="13" bestFit="1" customWidth="1"/>
    <col min="7" max="7" width="8.7109375" style="13"/>
    <col min="8" max="8" width="17.28515625" style="13" bestFit="1" customWidth="1"/>
    <col min="9" max="16384" width="8.7109375" style="13"/>
  </cols>
  <sheetData>
    <row r="2" spans="1:8" x14ac:dyDescent="0.25">
      <c r="A2" s="13" t="s">
        <v>31</v>
      </c>
      <c r="B2" s="13">
        <v>1</v>
      </c>
      <c r="C2" s="14">
        <f>'EPR2021 Assessment &amp; Report'!B19-('EPR2021 Assessment &amp; Report'!C15+'EPR2021 Assessment &amp; Report'!C16)</f>
        <v>3102.0141475926866</v>
      </c>
      <c r="E2" s="13" t="s">
        <v>58</v>
      </c>
      <c r="F2" s="14">
        <f>PI()*70^2</f>
        <v>15393.804002589986</v>
      </c>
      <c r="G2" s="13" t="s">
        <v>57</v>
      </c>
    </row>
    <row r="3" spans="1:8" x14ac:dyDescent="0.25">
      <c r="B3" s="13">
        <v>2</v>
      </c>
      <c r="C3" s="14">
        <f>'EPR2021 Assessment &amp; Report'!C15</f>
        <v>12291.7898549973</v>
      </c>
    </row>
    <row r="4" spans="1:8" x14ac:dyDescent="0.25">
      <c r="B4" s="13">
        <v>3</v>
      </c>
      <c r="C4" s="14">
        <f>'EPR2021 Assessment &amp; Report'!C16</f>
        <v>0</v>
      </c>
    </row>
    <row r="5" spans="1:8" x14ac:dyDescent="0.25">
      <c r="A5" s="13" t="s">
        <v>35</v>
      </c>
      <c r="B5" s="13">
        <v>1</v>
      </c>
      <c r="C5" s="14">
        <f>'EPR2021 Assessment &amp; Report'!B20-('EPR2021 Assessment &amp; Report'!F15+'EPR2021 Assessment &amp; Report'!F16)</f>
        <v>124324.3729074107</v>
      </c>
      <c r="E5" s="13" t="s">
        <v>58</v>
      </c>
      <c r="F5" s="14">
        <f>PI()*200^2</f>
        <v>125663.70614359173</v>
      </c>
      <c r="G5" s="13" t="s">
        <v>57</v>
      </c>
    </row>
    <row r="6" spans="1:8" x14ac:dyDescent="0.25">
      <c r="B6" s="13">
        <v>2</v>
      </c>
      <c r="C6" s="14">
        <f>'EPR2021 Assessment &amp; Report'!F15</f>
        <v>1339.3332361810301</v>
      </c>
    </row>
    <row r="7" spans="1:8" x14ac:dyDescent="0.25">
      <c r="B7" s="13">
        <v>3</v>
      </c>
      <c r="C7" s="14">
        <f>'EPR2021 Assessment &amp; Report'!F16</f>
        <v>0</v>
      </c>
    </row>
    <row r="10" spans="1:8" x14ac:dyDescent="0.25">
      <c r="A10" s="13" t="s">
        <v>56</v>
      </c>
      <c r="B10" s="13">
        <f>(0.5*((C4+(0.5*C3))/F2))+(0.5*((C7+(0.5*C6))/F5))</f>
        <v>0.20228687747248494</v>
      </c>
    </row>
    <row r="13" spans="1:8" x14ac:dyDescent="0.25">
      <c r="B13" t="s">
        <v>8</v>
      </c>
      <c r="D13" s="12" t="s">
        <v>70</v>
      </c>
      <c r="E13" s="13" t="s">
        <v>60</v>
      </c>
      <c r="F13" s="15" t="s">
        <v>61</v>
      </c>
      <c r="G13" s="15" t="s">
        <v>62</v>
      </c>
      <c r="H13" s="27" t="s">
        <v>69</v>
      </c>
    </row>
    <row r="14" spans="1:8" x14ac:dyDescent="0.25">
      <c r="A14" s="13" t="s">
        <v>0</v>
      </c>
      <c r="B14" s="19">
        <f>ROUND(18*B10+50,0)</f>
        <v>54</v>
      </c>
      <c r="C14" s="13" t="s">
        <v>59</v>
      </c>
      <c r="D14" s="16">
        <f>'Front Page'!F6</f>
        <v>0</v>
      </c>
      <c r="E14" s="15">
        <f>IF((D14+6)&gt;B14,D14+6,0)</f>
        <v>0</v>
      </c>
      <c r="F14" s="16">
        <f>IF(B14&gt;(D14+12.999),(0.5*(B14+D14))+4.5,0)</f>
        <v>31.5</v>
      </c>
      <c r="G14" s="16">
        <f>IF((E14+F14)&gt;0,E14+F14,B14)</f>
        <v>31.5</v>
      </c>
      <c r="H14" s="18">
        <f>IF(G14&gt;45,G14,45)</f>
        <v>45</v>
      </c>
    </row>
    <row r="15" spans="1:8" x14ac:dyDescent="0.25">
      <c r="A15" s="13" t="s">
        <v>13</v>
      </c>
      <c r="B15" s="19">
        <f>ROUND(17*B10+44,0)</f>
        <v>47</v>
      </c>
      <c r="C15" s="13" t="s">
        <v>59</v>
      </c>
      <c r="D15" s="15">
        <f>'Front Page'!F7</f>
        <v>0</v>
      </c>
      <c r="E15" s="15">
        <f>IF((D15+3)&gt;B15,D15+3,0)</f>
        <v>0</v>
      </c>
      <c r="F15" s="16">
        <f>IF(B15&gt;(D15+9.999),(0.5*(B15+D15))+3,0)</f>
        <v>26.5</v>
      </c>
      <c r="G15" s="16">
        <f t="shared" ref="G15:G16" si="0">IF((E15+F15)&gt;0,E15+F15,B15)</f>
        <v>26.5</v>
      </c>
      <c r="H15" s="18">
        <f>IF(G15&gt;40,G15,40)</f>
        <v>40</v>
      </c>
    </row>
    <row r="16" spans="1:8" x14ac:dyDescent="0.25">
      <c r="A16" s="13" t="s">
        <v>5</v>
      </c>
      <c r="B16" s="19">
        <f>ROUND(17*B10+39,0)</f>
        <v>42</v>
      </c>
      <c r="C16" s="13" t="s">
        <v>59</v>
      </c>
      <c r="D16" s="15">
        <f>'Front Page'!F8</f>
        <v>0</v>
      </c>
      <c r="E16" s="15">
        <f>IF((D16+3)&gt;B16,D16+3,0)</f>
        <v>0</v>
      </c>
      <c r="F16" s="16">
        <f>IF(B16&gt;(D16+9.999),(0.5*(B16+D16))+3,0)</f>
        <v>24</v>
      </c>
      <c r="G16" s="16">
        <f t="shared" si="0"/>
        <v>24</v>
      </c>
      <c r="H16" s="18">
        <f>IF(G16&gt;35,G16,35)</f>
        <v>35</v>
      </c>
    </row>
  </sheetData>
  <sheetProtection algorithmName="SHA-512" hashValue="D632OkE5mVHNu+KHoSkowTWElki35iQqQIW9C9p0p/dB72GaDXMQ+QHYE0BwvxHmo5U0trlQ/mP9FXFSgN1pBQ==" saltValue="MTkVL40ebAjctdGC2lfrlA==" spinCount="100000"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A3C39A671E92499204FDF989587CFC" ma:contentTypeVersion="18" ma:contentTypeDescription="Create a new document." ma:contentTypeScope="" ma:versionID="88ce1cab5af800e5db670de12eba86f1">
  <xsd:schema xmlns:xsd="http://www.w3.org/2001/XMLSchema" xmlns:xs="http://www.w3.org/2001/XMLSchema" xmlns:p="http://schemas.microsoft.com/office/2006/metadata/properties" xmlns:ns2="0ad578c7-0c9d-44d1-a3f3-fe5c4550a566" xmlns:ns3="9196c754-26b9-469c-ac45-de51f3c12731" targetNamespace="http://schemas.microsoft.com/office/2006/metadata/properties" ma:root="true" ma:fieldsID="54291955e05c7f0f8ffa37e93763a897" ns2:_="" ns3:_="">
    <xsd:import namespace="0ad578c7-0c9d-44d1-a3f3-fe5c4550a566"/>
    <xsd:import namespace="9196c754-26b9-469c-ac45-de51f3c12731"/>
    <xsd:element name="properties">
      <xsd:complexType>
        <xsd:sequence>
          <xsd:element name="documentManagement">
            <xsd:complexType>
              <xsd:all>
                <xsd:element ref="ns2:SharedWithUsers" minOccurs="0"/>
                <xsd:element ref="ns2:SharedWithDetails" minOccurs="0"/>
                <xsd:element ref="ns2:LastSharedByTime" minOccurs="0"/>
                <xsd:element ref="ns2:LastSharedByUser"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d578c7-0c9d-44d1-a3f3-fe5c4550a566"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Time" ma:index="10" nillable="true" ma:displayName="Last Shared By Time" ma:internalName="LastSharedByTime" ma:readOnly="true">
      <xsd:simpleType>
        <xsd:restriction base="dms:DateTime"/>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TaxCatchAll" ma:index="25" nillable="true" ma:displayName="Taxonomy Catch All Column" ma:hidden="true" ma:list="{fe9e5462-a8cb-43f8-b131-26948c3f33d0}" ma:internalName="TaxCatchAll" ma:showField="CatchAllData" ma:web="0ad578c7-0c9d-44d1-a3f3-fe5c4550a56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196c754-26b9-469c-ac45-de51f3c12731"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AutoTags" ma:index="15" nillable="true" ma:displayName="MediaServiceAutoTags" ma:description="" ma:internalName="MediaServiceAutoTags" ma:readOnly="true">
      <xsd:simpleType>
        <xsd:restriction base="dms:Text"/>
      </xsd:simpleType>
    </xsd:element>
    <xsd:element name="MediaServiceLocation" ma:index="16" nillable="true" ma:displayName="MediaServiceLocation" ma:description="" ma:internalName="MediaServiceLocation"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d75f0680-16d5-404e-ace1-412c9e19f954"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196c754-26b9-469c-ac45-de51f3c12731">
      <Terms xmlns="http://schemas.microsoft.com/office/infopath/2007/PartnerControls"/>
    </lcf76f155ced4ddcb4097134ff3c332f>
    <TaxCatchAll xmlns="0ad578c7-0c9d-44d1-a3f3-fe5c4550a566" xsi:nil="true"/>
  </documentManagement>
</p:properties>
</file>

<file path=customXml/itemProps1.xml><?xml version="1.0" encoding="utf-8"?>
<ds:datastoreItem xmlns:ds="http://schemas.openxmlformats.org/officeDocument/2006/customXml" ds:itemID="{CDBD5E69-8062-4057-9C38-D8C57909D6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d578c7-0c9d-44d1-a3f3-fe5c4550a566"/>
    <ds:schemaRef ds:uri="9196c754-26b9-469c-ac45-de51f3c127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8EC9F4D-2AAF-424D-9AB8-1458BC871D5C}">
  <ds:schemaRefs>
    <ds:schemaRef ds:uri="http://schemas.microsoft.com/sharepoint/v3/contenttype/forms"/>
  </ds:schemaRefs>
</ds:datastoreItem>
</file>

<file path=customXml/itemProps3.xml><?xml version="1.0" encoding="utf-8"?>
<ds:datastoreItem xmlns:ds="http://schemas.openxmlformats.org/officeDocument/2006/customXml" ds:itemID="{96789174-1A50-4C9A-8D49-BE0FCC040E9B}">
  <ds:schemaRefs>
    <ds:schemaRef ds:uri="http://schemas.openxmlformats.org/package/2006/metadata/core-properties"/>
    <ds:schemaRef ds:uri="http://schemas.microsoft.com/office/infopath/2007/PartnerControls"/>
    <ds:schemaRef ds:uri="http://schemas.microsoft.com/office/2006/documentManagement/types"/>
    <ds:schemaRef ds:uri="http://purl.org/dc/terms/"/>
    <ds:schemaRef ds:uri="9671ae8e-33fa-45b3-98bf-09e7f2031ec5"/>
    <ds:schemaRef ds:uri="http://schemas.microsoft.com/office/2006/metadata/properties"/>
    <ds:schemaRef ds:uri="0ad578c7-0c9d-44d1-a3f3-fe5c4550a566"/>
    <ds:schemaRef ds:uri="http://www.w3.org/XML/1998/namespace"/>
    <ds:schemaRef ds:uri="http://purl.org/dc/dcmitype/"/>
    <ds:schemaRef ds:uri="http://purl.org/dc/elements/1.1/"/>
    <ds:schemaRef ds:uri="9196c754-26b9-469c-ac45-de51f3c127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Front Page</vt:lpstr>
      <vt:lpstr>EPR2021 Assessment &amp; Report</vt:lpstr>
      <vt:lpstr>Refs</vt:lpstr>
      <vt:lpstr>Add zoning map</vt:lpstr>
      <vt:lpstr>Tim Calc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dc:creator>
  <cp:keywords/>
  <dc:description/>
  <cp:lastModifiedBy>Kevin Vu</cp:lastModifiedBy>
  <cp:revision/>
  <dcterms:created xsi:type="dcterms:W3CDTF">2016-12-22T00:51:12Z</dcterms:created>
  <dcterms:modified xsi:type="dcterms:W3CDTF">2023-06-21T06:39:09Z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0x010100CEA3C39A671E92499204FDF989587CFC</vt:lpwstr>
  </property>
  <property fmtid="{D5CDD505-2E9C-101B-9397-08002B2CF9AE}" pid="3" name="MediaServiceImageTags">
    <vt:lpwstr/>
  </property>
</Properties>
</file>