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uget\BUGET\BUGET 2021\"/>
    </mc:Choice>
  </mc:AlternateContent>
  <xr:revisionPtr revIDLastSave="0" documentId="13_ncr:1_{3F325A97-4768-46A7-A5FC-21BFB22438E4}" xr6:coauthVersionLast="47" xr6:coauthVersionMax="47" xr10:uidLastSave="{00000000-0000-0000-0000-000000000000}"/>
  <bookViews>
    <workbookView xWindow="-108" yWindow="-108" windowWidth="23256" windowHeight="13176" tabRatio="599" activeTab="2" xr2:uid="{FCECA74F-D961-4D85-B5C4-F6AA485D0C19}"/>
  </bookViews>
  <sheets>
    <sheet name="Martie 2021" sheetId="1" r:id="rId1"/>
    <sheet name="Aprilie 2021" sheetId="2" r:id="rId2"/>
    <sheet name="Mai 2021" sheetId="3" r:id="rId3"/>
    <sheet name="Iunie 2021" sheetId="6" r:id="rId4"/>
    <sheet name="Iulie 2021" sheetId="7" r:id="rId5"/>
    <sheet name="August 2021" sheetId="8" r:id="rId6"/>
    <sheet name="Septembrie 2021" sheetId="9" r:id="rId7"/>
    <sheet name="Octombrie 2021" sheetId="10" r:id="rId8"/>
    <sheet name="Noiembrie 2021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1" l="1"/>
  <c r="D38" i="11" l="1"/>
  <c r="D31" i="11"/>
  <c r="D35" i="11"/>
  <c r="D37" i="11"/>
  <c r="F30" i="11"/>
  <c r="D34" i="11"/>
  <c r="F33" i="11"/>
  <c r="D36" i="11"/>
  <c r="D33" i="11"/>
  <c r="N15" i="11"/>
  <c r="N13" i="11"/>
  <c r="M15" i="11"/>
  <c r="A33" i="11"/>
  <c r="D32" i="11"/>
  <c r="K21" i="11"/>
  <c r="F31" i="11"/>
  <c r="J22" i="11"/>
  <c r="K22" i="11" s="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J25" i="1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J26" i="1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H27" i="1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H26" i="11"/>
  <c r="I26" i="11" s="1"/>
  <c r="H25" i="11"/>
  <c r="I25" i="11" s="1"/>
  <c r="H24" i="1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V24" i="11" s="1"/>
  <c r="W24" i="11" s="1"/>
  <c r="H23" i="11"/>
  <c r="I23" i="11" s="1"/>
  <c r="J23" i="11" s="1"/>
  <c r="K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H22" i="11"/>
  <c r="I22" i="11" s="1"/>
  <c r="F13" i="11"/>
  <c r="E13" i="11"/>
  <c r="D13" i="11"/>
  <c r="C13" i="11"/>
  <c r="B13" i="11"/>
  <c r="A13" i="11"/>
  <c r="E10" i="11"/>
  <c r="A10" i="11"/>
  <c r="E5" i="11"/>
  <c r="A5" i="11"/>
  <c r="D38" i="10"/>
  <c r="D37" i="10"/>
  <c r="D33" i="10"/>
  <c r="F31" i="10"/>
  <c r="D31" i="10"/>
  <c r="D35" i="10"/>
  <c r="D34" i="10"/>
  <c r="F30" i="10"/>
  <c r="F33" i="10"/>
  <c r="AI17" i="10"/>
  <c r="AA21" i="10"/>
  <c r="D32" i="10"/>
  <c r="D30" i="10"/>
  <c r="X17" i="10"/>
  <c r="A33" i="10"/>
  <c r="A35" i="10"/>
  <c r="A35" i="9"/>
  <c r="H27" i="10"/>
  <c r="I27" i="10" s="1"/>
  <c r="J27" i="10" s="1"/>
  <c r="K27" i="10" s="1"/>
  <c r="L27" i="10" s="1"/>
  <c r="M27" i="10" s="1"/>
  <c r="N27" i="10" s="1"/>
  <c r="O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H26" i="10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H25" i="10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H24" i="10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H23" i="10"/>
  <c r="I23" i="10" s="1"/>
  <c r="J23" i="10" s="1"/>
  <c r="K23" i="10" s="1"/>
  <c r="L23" i="10" s="1"/>
  <c r="M23" i="10" s="1"/>
  <c r="N23" i="10" s="1"/>
  <c r="O23" i="10" s="1"/>
  <c r="P23" i="10" s="1"/>
  <c r="Q23" i="10" s="1"/>
  <c r="R23" i="10" s="1"/>
  <c r="S23" i="10" s="1"/>
  <c r="T23" i="10" s="1"/>
  <c r="U23" i="10" s="1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H22" i="10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D37" i="9"/>
  <c r="D31" i="9"/>
  <c r="F13" i="10"/>
  <c r="E13" i="10"/>
  <c r="D13" i="10"/>
  <c r="C13" i="10"/>
  <c r="B13" i="10"/>
  <c r="A13" i="10"/>
  <c r="E10" i="10"/>
  <c r="A10" i="10"/>
  <c r="E5" i="10"/>
  <c r="A5" i="10"/>
  <c r="D33" i="9"/>
  <c r="AF13" i="9"/>
  <c r="D32" i="9"/>
  <c r="D38" i="9"/>
  <c r="A33" i="9" s="1"/>
  <c r="AF17" i="9"/>
  <c r="D34" i="9"/>
  <c r="D36" i="9"/>
  <c r="F33" i="9"/>
  <c r="D35" i="9"/>
  <c r="F30" i="9"/>
  <c r="AA17" i="9"/>
  <c r="V22" i="9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V23" i="9"/>
  <c r="W23" i="9" s="1"/>
  <c r="X23" i="9" s="1"/>
  <c r="Y23" i="9" s="1"/>
  <c r="Z23" i="9" s="1"/>
  <c r="V24" i="9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V25" i="9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V26" i="9"/>
  <c r="W26" i="9" s="1"/>
  <c r="X26" i="9" s="1"/>
  <c r="Y26" i="9" s="1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V27" i="9"/>
  <c r="W27" i="9" s="1"/>
  <c r="X27" i="9" s="1"/>
  <c r="Y27" i="9" s="1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D30" i="9"/>
  <c r="U17" i="9"/>
  <c r="T22" i="9"/>
  <c r="U22" i="9" s="1"/>
  <c r="T23" i="9"/>
  <c r="U23" i="9" s="1"/>
  <c r="T24" i="9"/>
  <c r="T25" i="9"/>
  <c r="U25" i="9" s="1"/>
  <c r="T26" i="9"/>
  <c r="U26" i="9" s="1"/>
  <c r="T27" i="9"/>
  <c r="U27" i="9" s="1"/>
  <c r="S17" i="9"/>
  <c r="R19" i="9"/>
  <c r="R22" i="9"/>
  <c r="S22" i="9" s="1"/>
  <c r="R23" i="9"/>
  <c r="S23" i="9" s="1"/>
  <c r="R24" i="9"/>
  <c r="S24" i="9" s="1"/>
  <c r="R25" i="9"/>
  <c r="S25" i="9" s="1"/>
  <c r="R26" i="9"/>
  <c r="S26" i="9" s="1"/>
  <c r="R27" i="9"/>
  <c r="S27" i="9" s="1"/>
  <c r="F34" i="9"/>
  <c r="F31" i="9"/>
  <c r="F33" i="8"/>
  <c r="H27" i="9"/>
  <c r="I27" i="9" s="1"/>
  <c r="J27" i="9" s="1"/>
  <c r="K27" i="9" s="1"/>
  <c r="L27" i="9" s="1"/>
  <c r="M27" i="9" s="1"/>
  <c r="N27" i="9" s="1"/>
  <c r="O27" i="9" s="1"/>
  <c r="P27" i="9" s="1"/>
  <c r="Q27" i="9" s="1"/>
  <c r="H26" i="9"/>
  <c r="I26" i="9" s="1"/>
  <c r="J26" i="9" s="1"/>
  <c r="K26" i="9" s="1"/>
  <c r="L26" i="9" s="1"/>
  <c r="M26" i="9" s="1"/>
  <c r="N26" i="9" s="1"/>
  <c r="O26" i="9" s="1"/>
  <c r="P26" i="9" s="1"/>
  <c r="Q26" i="9" s="1"/>
  <c r="H25" i="9"/>
  <c r="I25" i="9" s="1"/>
  <c r="J25" i="9" s="1"/>
  <c r="K25" i="9" s="1"/>
  <c r="L25" i="9" s="1"/>
  <c r="M25" i="9" s="1"/>
  <c r="N25" i="9" s="1"/>
  <c r="O25" i="9" s="1"/>
  <c r="P25" i="9" s="1"/>
  <c r="Q25" i="9" s="1"/>
  <c r="H24" i="9"/>
  <c r="I24" i="9" s="1"/>
  <c r="J24" i="9" s="1"/>
  <c r="K24" i="9" s="1"/>
  <c r="L24" i="9" s="1"/>
  <c r="M24" i="9" s="1"/>
  <c r="N24" i="9" s="1"/>
  <c r="O24" i="9" s="1"/>
  <c r="P24" i="9" s="1"/>
  <c r="Q24" i="9" s="1"/>
  <c r="H23" i="9"/>
  <c r="I23" i="9" s="1"/>
  <c r="J23" i="9" s="1"/>
  <c r="K23" i="9" s="1"/>
  <c r="L23" i="9" s="1"/>
  <c r="M23" i="9" s="1"/>
  <c r="N23" i="9" s="1"/>
  <c r="O23" i="9" s="1"/>
  <c r="P23" i="9" s="1"/>
  <c r="Q23" i="9" s="1"/>
  <c r="H22" i="9"/>
  <c r="I22" i="9" s="1"/>
  <c r="J22" i="9" s="1"/>
  <c r="K22" i="9" s="1"/>
  <c r="L22" i="9" s="1"/>
  <c r="M22" i="9" s="1"/>
  <c r="N22" i="9" s="1"/>
  <c r="O22" i="9" s="1"/>
  <c r="P22" i="9" s="1"/>
  <c r="Q22" i="9" s="1"/>
  <c r="F13" i="9"/>
  <c r="E13" i="9"/>
  <c r="D13" i="9"/>
  <c r="C13" i="9"/>
  <c r="B13" i="9"/>
  <c r="A13" i="9"/>
  <c r="E10" i="9"/>
  <c r="A10" i="9"/>
  <c r="E5" i="9"/>
  <c r="A5" i="9"/>
  <c r="D37" i="8"/>
  <c r="AK22" i="8"/>
  <c r="AL22" i="8" s="1"/>
  <c r="AK23" i="8"/>
  <c r="AL23" i="8" s="1"/>
  <c r="AK24" i="8"/>
  <c r="AL24" i="8" s="1"/>
  <c r="AK25" i="8"/>
  <c r="AL25" i="8" s="1"/>
  <c r="AK26" i="8"/>
  <c r="AL26" i="8" s="1"/>
  <c r="AK27" i="8"/>
  <c r="AL27" i="8" s="1"/>
  <c r="D33" i="8"/>
  <c r="F31" i="8"/>
  <c r="AJ22" i="8"/>
  <c r="AJ23" i="8"/>
  <c r="AJ24" i="8"/>
  <c r="AJ25" i="8"/>
  <c r="AJ26" i="8"/>
  <c r="AJ27" i="8"/>
  <c r="D38" i="8"/>
  <c r="AI23" i="8"/>
  <c r="D31" i="8"/>
  <c r="D32" i="8"/>
  <c r="AH15" i="8"/>
  <c r="AH23" i="8" s="1"/>
  <c r="AH22" i="8"/>
  <c r="AI22" i="8" s="1"/>
  <c r="AH24" i="8"/>
  <c r="AI24" i="8" s="1"/>
  <c r="AH25" i="8"/>
  <c r="AI25" i="8" s="1"/>
  <c r="AH26" i="8"/>
  <c r="AI26" i="8" s="1"/>
  <c r="AH27" i="8"/>
  <c r="AI27" i="8" s="1"/>
  <c r="AG22" i="8"/>
  <c r="AG23" i="8"/>
  <c r="AG24" i="8"/>
  <c r="AG25" i="8"/>
  <c r="AG26" i="8"/>
  <c r="AG27" i="8"/>
  <c r="D35" i="8"/>
  <c r="F30" i="8"/>
  <c r="D34" i="8"/>
  <c r="W23" i="11" l="1"/>
  <c r="E15" i="11"/>
  <c r="E36" i="11"/>
  <c r="A15" i="11"/>
  <c r="C39" i="11"/>
  <c r="E15" i="10"/>
  <c r="A15" i="10"/>
  <c r="E36" i="10"/>
  <c r="AA23" i="9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E36" i="9"/>
  <c r="U24" i="9"/>
  <c r="E15" i="9"/>
  <c r="A15" i="9"/>
  <c r="C39" i="9"/>
  <c r="D30" i="8"/>
  <c r="F32" i="8"/>
  <c r="V22" i="8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V23" i="8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V24" i="8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V25" i="8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V26" i="8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V27" i="8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R22" i="8"/>
  <c r="S22" i="8" s="1"/>
  <c r="T22" i="8" s="1"/>
  <c r="U22" i="8" s="1"/>
  <c r="R23" i="8"/>
  <c r="S23" i="8"/>
  <c r="T23" i="8" s="1"/>
  <c r="U23" i="8" s="1"/>
  <c r="R24" i="8"/>
  <c r="S24" i="8"/>
  <c r="T24" i="8" s="1"/>
  <c r="U24" i="8" s="1"/>
  <c r="R25" i="8"/>
  <c r="S25" i="8"/>
  <c r="T25" i="8" s="1"/>
  <c r="U25" i="8" s="1"/>
  <c r="R26" i="8"/>
  <c r="S26" i="8"/>
  <c r="T26" i="8" s="1"/>
  <c r="U26" i="8" s="1"/>
  <c r="R27" i="8"/>
  <c r="S27" i="8"/>
  <c r="T27" i="8" s="1"/>
  <c r="U27" i="8" s="1"/>
  <c r="U13" i="8"/>
  <c r="D36" i="8"/>
  <c r="Q17" i="8"/>
  <c r="Q22" i="8"/>
  <c r="Q23" i="8"/>
  <c r="Q24" i="8"/>
  <c r="Q25" i="8"/>
  <c r="Q26" i="8"/>
  <c r="Q27" i="8"/>
  <c r="P22" i="8"/>
  <c r="P23" i="8"/>
  <c r="P24" i="8"/>
  <c r="P25" i="8"/>
  <c r="P26" i="8"/>
  <c r="P27" i="8"/>
  <c r="O22" i="8"/>
  <c r="O23" i="8"/>
  <c r="O24" i="8"/>
  <c r="O25" i="8"/>
  <c r="O26" i="8"/>
  <c r="O27" i="8"/>
  <c r="A33" i="8"/>
  <c r="J22" i="8"/>
  <c r="K22" i="8" s="1"/>
  <c r="L22" i="8" s="1"/>
  <c r="M22" i="8" s="1"/>
  <c r="N22" i="8" s="1"/>
  <c r="J26" i="8"/>
  <c r="K26" i="8" s="1"/>
  <c r="L26" i="8" s="1"/>
  <c r="M26" i="8" s="1"/>
  <c r="N26" i="8" s="1"/>
  <c r="H22" i="8"/>
  <c r="I22" i="8" s="1"/>
  <c r="H23" i="8"/>
  <c r="I23" i="8" s="1"/>
  <c r="J23" i="8" s="1"/>
  <c r="K23" i="8" s="1"/>
  <c r="L23" i="8" s="1"/>
  <c r="M23" i="8" s="1"/>
  <c r="N23" i="8" s="1"/>
  <c r="H24" i="8"/>
  <c r="I24" i="8" s="1"/>
  <c r="J24" i="8" s="1"/>
  <c r="K24" i="8" s="1"/>
  <c r="L24" i="8" s="1"/>
  <c r="M24" i="8" s="1"/>
  <c r="N24" i="8" s="1"/>
  <c r="H25" i="8"/>
  <c r="I25" i="8" s="1"/>
  <c r="J25" i="8" s="1"/>
  <c r="K25" i="8" s="1"/>
  <c r="L25" i="8" s="1"/>
  <c r="M25" i="8" s="1"/>
  <c r="N25" i="8" s="1"/>
  <c r="H26" i="8"/>
  <c r="I26" i="8" s="1"/>
  <c r="H27" i="8"/>
  <c r="I27" i="8" s="1"/>
  <c r="J27" i="8" s="1"/>
  <c r="K27" i="8" s="1"/>
  <c r="L27" i="8" s="1"/>
  <c r="M27" i="8" s="1"/>
  <c r="N27" i="8" s="1"/>
  <c r="F31" i="7"/>
  <c r="F33" i="7"/>
  <c r="A35" i="7"/>
  <c r="D32" i="7"/>
  <c r="AI22" i="7"/>
  <c r="AJ22" i="7"/>
  <c r="AK22" i="7" s="1"/>
  <c r="AL22" i="7" s="1"/>
  <c r="AI23" i="7"/>
  <c r="AJ23" i="7"/>
  <c r="AK23" i="7"/>
  <c r="AL23" i="7" s="1"/>
  <c r="AI24" i="7"/>
  <c r="AJ24" i="7" s="1"/>
  <c r="AK24" i="7" s="1"/>
  <c r="AL24" i="7" s="1"/>
  <c r="AI25" i="7"/>
  <c r="AJ25" i="7" s="1"/>
  <c r="AK25" i="7" s="1"/>
  <c r="AL25" i="7" s="1"/>
  <c r="AI26" i="7"/>
  <c r="AJ26" i="7"/>
  <c r="AK26" i="7" s="1"/>
  <c r="AL26" i="7" s="1"/>
  <c r="AI27" i="7"/>
  <c r="AJ27" i="7"/>
  <c r="AK27" i="7" s="1"/>
  <c r="AL27" i="7" s="1"/>
  <c r="D38" i="7"/>
  <c r="AF22" i="7"/>
  <c r="AG22" i="7" s="1"/>
  <c r="AH22" i="7" s="1"/>
  <c r="AF23" i="7"/>
  <c r="AG23" i="7"/>
  <c r="AH23" i="7" s="1"/>
  <c r="AF24" i="7"/>
  <c r="AG24" i="7"/>
  <c r="AH24" i="7"/>
  <c r="AF25" i="7"/>
  <c r="AG25" i="7"/>
  <c r="AH25" i="7"/>
  <c r="AF26" i="7"/>
  <c r="AG26" i="7" s="1"/>
  <c r="AH26" i="7" s="1"/>
  <c r="AF27" i="7"/>
  <c r="AG27" i="7" s="1"/>
  <c r="AH27" i="7" s="1"/>
  <c r="D31" i="7"/>
  <c r="F13" i="8"/>
  <c r="E13" i="8"/>
  <c r="D13" i="8"/>
  <c r="C13" i="8"/>
  <c r="B13" i="8"/>
  <c r="A13" i="8"/>
  <c r="E10" i="8"/>
  <c r="A10" i="8"/>
  <c r="E5" i="8"/>
  <c r="A5" i="8"/>
  <c r="E37" i="11" l="1"/>
  <c r="E38" i="11" s="1"/>
  <c r="C39" i="10"/>
  <c r="E37" i="10" s="1"/>
  <c r="E38" i="10" s="1"/>
  <c r="E37" i="9"/>
  <c r="E38" i="9" s="1"/>
  <c r="E36" i="8"/>
  <c r="D33" i="7"/>
  <c r="E15" i="8"/>
  <c r="A15" i="8"/>
  <c r="C39" i="8"/>
  <c r="F30" i="7"/>
  <c r="D36" i="7"/>
  <c r="E37" i="8" l="1"/>
  <c r="E38" i="8" s="1"/>
  <c r="D34" i="7"/>
  <c r="W15" i="7" l="1"/>
  <c r="W17" i="7"/>
  <c r="W13" i="7"/>
  <c r="D37" i="7" s="1"/>
  <c r="P15" i="7"/>
  <c r="P13" i="7"/>
  <c r="X21" i="7"/>
  <c r="D30" i="7"/>
  <c r="D35" i="7" l="1"/>
  <c r="J17" i="7" l="1"/>
  <c r="AK17" i="6" l="1"/>
  <c r="E36" i="7" l="1"/>
  <c r="H27" i="7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H26" i="7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H25" i="7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H24" i="7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H23" i="7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F13" i="7"/>
  <c r="E13" i="7"/>
  <c r="D13" i="7"/>
  <c r="C13" i="7"/>
  <c r="B13" i="7"/>
  <c r="E10" i="7"/>
  <c r="A10" i="7"/>
  <c r="E5" i="7"/>
  <c r="E15" i="7" l="1"/>
  <c r="C39" i="7"/>
  <c r="D32" i="6"/>
  <c r="D33" i="6"/>
  <c r="D31" i="6"/>
  <c r="F31" i="6"/>
  <c r="AG17" i="6"/>
  <c r="AG15" i="6"/>
  <c r="D35" i="6" s="1"/>
  <c r="AI19" i="6"/>
  <c r="D37" i="6" s="1"/>
  <c r="E37" i="7" l="1"/>
  <c r="E38" i="7" s="1"/>
  <c r="F33" i="6"/>
  <c r="AI13" i="6"/>
  <c r="F30" i="6" l="1"/>
  <c r="D34" i="6" l="1"/>
  <c r="AE13" i="6"/>
  <c r="AA17" i="6" l="1"/>
  <c r="A37" i="6" l="1"/>
  <c r="A35" i="8" l="1"/>
  <c r="A37" i="7"/>
  <c r="D30" i="6"/>
  <c r="Y13" i="6"/>
  <c r="D36" i="6" l="1"/>
  <c r="C36" i="3"/>
  <c r="A13" i="6" l="1"/>
  <c r="H22" i="6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W22" i="6" s="1"/>
  <c r="X22" i="6" s="1"/>
  <c r="Y22" i="6" s="1"/>
  <c r="Z22" i="6" s="1"/>
  <c r="AA22" i="6" s="1"/>
  <c r="AB22" i="6" s="1"/>
  <c r="AC22" i="6" s="1"/>
  <c r="AD22" i="6" s="1"/>
  <c r="AE22" i="6" s="1"/>
  <c r="AF22" i="6" s="1"/>
  <c r="AG22" i="6" s="1"/>
  <c r="AH22" i="6" s="1"/>
  <c r="AI22" i="6" s="1"/>
  <c r="AJ22" i="6" s="1"/>
  <c r="AK22" i="6" s="1"/>
  <c r="A10" i="6"/>
  <c r="A5" i="6"/>
  <c r="K17" i="6" l="1"/>
  <c r="M19" i="6"/>
  <c r="E36" i="6" l="1"/>
  <c r="I17" i="6" l="1"/>
  <c r="D38" i="6" s="1"/>
  <c r="H27" i="6" l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W27" i="6" s="1"/>
  <c r="X27" i="6" s="1"/>
  <c r="Y27" i="6" s="1"/>
  <c r="Z27" i="6" s="1"/>
  <c r="AA27" i="6" s="1"/>
  <c r="AB27" i="6" s="1"/>
  <c r="AC27" i="6" s="1"/>
  <c r="AD27" i="6" s="1"/>
  <c r="AE27" i="6" s="1"/>
  <c r="AF27" i="6" s="1"/>
  <c r="AG27" i="6" s="1"/>
  <c r="AH27" i="6" s="1"/>
  <c r="AI27" i="6" s="1"/>
  <c r="AJ27" i="6" s="1"/>
  <c r="AK27" i="6" s="1"/>
  <c r="H26" i="6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AH26" i="6" s="1"/>
  <c r="AI26" i="6" s="1"/>
  <c r="AJ26" i="6" s="1"/>
  <c r="AK26" i="6" s="1"/>
  <c r="H25" i="6"/>
  <c r="I25" i="6" s="1"/>
  <c r="J25" i="6" s="1"/>
  <c r="K25" i="6" s="1"/>
  <c r="L25" i="6" s="1"/>
  <c r="M25" i="6" s="1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X25" i="6" s="1"/>
  <c r="Y25" i="6" s="1"/>
  <c r="Z25" i="6" s="1"/>
  <c r="AA25" i="6" s="1"/>
  <c r="AB25" i="6" s="1"/>
  <c r="AC25" i="6" s="1"/>
  <c r="AD25" i="6" s="1"/>
  <c r="AE25" i="6" s="1"/>
  <c r="AF25" i="6" s="1"/>
  <c r="AG25" i="6" s="1"/>
  <c r="AH25" i="6" s="1"/>
  <c r="AI25" i="6" s="1"/>
  <c r="AJ25" i="6" s="1"/>
  <c r="AK25" i="6" s="1"/>
  <c r="H23" i="6"/>
  <c r="F13" i="6"/>
  <c r="E13" i="6"/>
  <c r="D13" i="6"/>
  <c r="C13" i="6"/>
  <c r="B13" i="6"/>
  <c r="E10" i="6"/>
  <c r="E5" i="6"/>
  <c r="H24" i="6"/>
  <c r="I24" i="6" s="1"/>
  <c r="J24" i="6" s="1"/>
  <c r="K24" i="6" s="1"/>
  <c r="L24" i="6" s="1"/>
  <c r="M24" i="6" s="1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AG24" i="6" s="1"/>
  <c r="AH24" i="6" s="1"/>
  <c r="AI24" i="6" s="1"/>
  <c r="AJ24" i="6" s="1"/>
  <c r="AK24" i="6" s="1"/>
  <c r="I23" i="6" l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15" i="6"/>
  <c r="E15" i="6"/>
  <c r="C39" i="6"/>
  <c r="E37" i="6" s="1"/>
  <c r="E38" i="6" s="1"/>
  <c r="C38" i="3"/>
  <c r="A33" i="6" s="1"/>
  <c r="C33" i="3"/>
  <c r="AI19" i="3"/>
  <c r="A33" i="7" l="1"/>
  <c r="B61" i="3"/>
  <c r="C31" i="3" l="1"/>
  <c r="C37" i="3" l="1"/>
  <c r="C34" i="3"/>
  <c r="C32" i="3"/>
  <c r="C30" i="3"/>
  <c r="B39" i="3" l="1"/>
  <c r="B60" i="3"/>
  <c r="B59" i="3" l="1"/>
  <c r="B57" i="3"/>
  <c r="B58" i="3" l="1"/>
  <c r="B63" i="3" s="1"/>
  <c r="C31" i="1" l="1"/>
  <c r="E30" i="2" l="1"/>
  <c r="E31" i="3" l="1"/>
  <c r="E30" i="3"/>
  <c r="B64" i="3" l="1"/>
  <c r="C3" i="3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B3" i="3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D36" i="3"/>
  <c r="D37" i="3" s="1"/>
  <c r="D38" i="3" s="1"/>
  <c r="G26" i="3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G25" i="3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G22" i="3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E13" i="3"/>
  <c r="D13" i="3"/>
  <c r="C13" i="3"/>
  <c r="A13" i="3"/>
  <c r="D10" i="3"/>
  <c r="A10" i="3"/>
  <c r="D5" i="3"/>
  <c r="D15" i="3" l="1"/>
  <c r="A5" i="3"/>
  <c r="B13" i="3"/>
  <c r="A15" i="3" s="1"/>
  <c r="B60" i="2"/>
  <c r="AJ15" i="2"/>
  <c r="C36" i="2" l="1"/>
  <c r="C32" i="2"/>
  <c r="AE15" i="2"/>
  <c r="AE13" i="2"/>
  <c r="C33" i="2" s="1"/>
  <c r="C31" i="2"/>
  <c r="C30" i="2" l="1"/>
  <c r="C35" i="2"/>
  <c r="W13" i="2"/>
  <c r="C37" i="2" s="1"/>
  <c r="Q19" i="2" l="1"/>
  <c r="C34" i="2" s="1"/>
  <c r="E31" i="2" l="1"/>
  <c r="G26" i="2" l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G25" i="2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G24" i="2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G23" i="2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G22" i="2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E13" i="2"/>
  <c r="D13" i="2"/>
  <c r="C13" i="2"/>
  <c r="B13" i="2"/>
  <c r="A13" i="2"/>
  <c r="D10" i="2"/>
  <c r="A10" i="2"/>
  <c r="D5" i="2"/>
  <c r="A5" i="2"/>
  <c r="E31" i="1"/>
  <c r="E30" i="1"/>
  <c r="C36" i="1"/>
  <c r="C34" i="1"/>
  <c r="D34" i="1" l="1"/>
  <c r="D15" i="2"/>
  <c r="D35" i="2"/>
  <c r="D36" i="2" s="1"/>
  <c r="D37" i="2" s="1"/>
  <c r="B38" i="2"/>
  <c r="A15" i="2"/>
  <c r="C33" i="1"/>
  <c r="C32" i="1" l="1"/>
  <c r="C35" i="1" l="1"/>
  <c r="C30" i="1"/>
  <c r="B37" i="1" s="1"/>
  <c r="D35" i="1" s="1"/>
  <c r="D37" i="1" s="1"/>
  <c r="G24" i="1" l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A5" i="1"/>
  <c r="C13" i="1" l="1"/>
  <c r="Z24" i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G26" i="1"/>
  <c r="H26" i="1" s="1"/>
  <c r="I26" i="1" s="1"/>
  <c r="J26" i="1" s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D5" i="1"/>
  <c r="K26" i="1" l="1"/>
  <c r="L26" i="1" s="1"/>
  <c r="M26" i="1" s="1"/>
  <c r="N26" i="1" s="1"/>
  <c r="O26" i="1" s="1"/>
  <c r="A10" i="1"/>
  <c r="D13" i="1"/>
  <c r="A13" i="1"/>
  <c r="P26" i="1" l="1"/>
  <c r="Q26" i="1" s="1"/>
  <c r="R26" i="1" s="1"/>
  <c r="S26" i="1" s="1"/>
  <c r="T26" i="1" s="1"/>
  <c r="U26" i="1" s="1"/>
  <c r="V26" i="1" s="1"/>
  <c r="W26" i="1" s="1"/>
  <c r="X26" i="1" s="1"/>
  <c r="Y26" i="1" s="1"/>
  <c r="B13" i="1"/>
  <c r="A15" i="1" s="1"/>
  <c r="D10" i="1" l="1"/>
  <c r="Z26" i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E13" i="1"/>
  <c r="D15" i="1" s="1"/>
  <c r="A13" i="7"/>
  <c r="A15" i="7" s="1"/>
  <c r="H22" i="7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H3" authorId="0" shapeId="0" xr:uid="{6850FFAD-1094-456C-8C86-54B9AB5E6D71}">
      <text>
        <r>
          <rPr>
            <sz val="12"/>
            <color indexed="81"/>
            <rFont val="Allura"/>
            <family val="3"/>
          </rPr>
          <t>Salariu -  5 zile februarie</t>
        </r>
      </text>
    </comment>
    <comment ref="AH3" authorId="0" shapeId="0" xr:uid="{FCC31843-C90B-42B9-830B-7F67FCC66358}">
      <text>
        <r>
          <rPr>
            <sz val="9"/>
            <color indexed="81"/>
            <rFont val="Segoe UI"/>
            <family val="2"/>
          </rPr>
          <t>Cadou</t>
        </r>
      </text>
    </comment>
    <comment ref="O5" authorId="0" shapeId="0" xr:uid="{CDF8185B-E936-4B53-8D79-9AB865CE76B5}">
      <text>
        <r>
          <rPr>
            <sz val="12"/>
            <color indexed="81"/>
            <rFont val="Allura"/>
            <family val="3"/>
          </rPr>
          <t>Bonuri - 5 zile februarie</t>
        </r>
      </text>
    </comment>
    <comment ref="G13" authorId="0" shapeId="0" xr:uid="{6A7E6920-FA22-44C2-87AC-779F4FF6BCB3}">
      <text>
        <r>
          <rPr>
            <sz val="12"/>
            <color indexed="81"/>
            <rFont val="Allura"/>
            <family val="3"/>
          </rPr>
          <t>Auchan Turda</t>
        </r>
      </text>
    </comment>
    <comment ref="J13" authorId="0" shapeId="0" xr:uid="{6F8461A8-2CDA-4A62-B181-FFEF0ACFFF6F}">
      <text>
        <r>
          <rPr>
            <sz val="12"/>
            <color indexed="81"/>
            <rFont val="Allura"/>
            <family val="3"/>
          </rPr>
          <t>Factura internet</t>
        </r>
      </text>
    </comment>
    <comment ref="L13" authorId="0" shapeId="0" xr:uid="{A29E5E75-8BFB-4C60-81F4-213BCF2F1BB6}">
      <text>
        <r>
          <rPr>
            <sz val="12"/>
            <color indexed="81"/>
            <rFont val="Allura"/>
            <family val="3"/>
          </rPr>
          <t>Benzină Lukoil Turda</t>
        </r>
      </text>
    </comment>
    <comment ref="Q13" authorId="0" shapeId="0" xr:uid="{10B20171-19EF-407E-A7E2-E09BB3F0D296}">
      <text>
        <r>
          <rPr>
            <sz val="12"/>
            <color indexed="81"/>
            <rFont val="Allura"/>
            <family val="3"/>
          </rPr>
          <t>Spalatorie exterior-interior</t>
        </r>
      </text>
    </comment>
    <comment ref="S13" authorId="0" shapeId="0" xr:uid="{EA452D63-6A0C-4B69-8F4D-37869558967C}">
      <text>
        <r>
          <rPr>
            <sz val="12"/>
            <color indexed="81"/>
            <rFont val="Allura"/>
            <family val="3"/>
          </rPr>
          <t>Auchan Turda</t>
        </r>
      </text>
    </comment>
    <comment ref="U13" authorId="0" shapeId="0" xr:uid="{59E7052F-155D-44FB-AB5D-1FA0E7501C94}">
      <text>
        <r>
          <rPr>
            <sz val="12"/>
            <color indexed="81"/>
            <rFont val="Allura"/>
            <family val="3"/>
          </rPr>
          <t>Frizerie Turda</t>
        </r>
      </text>
    </comment>
    <comment ref="X13" authorId="0" shapeId="0" xr:uid="{43E97470-3E42-4011-B9C4-2133A41F6BEA}">
      <text>
        <r>
          <rPr>
            <sz val="12"/>
            <color indexed="81"/>
            <rFont val="Allura"/>
            <family val="3"/>
          </rPr>
          <t>Cheltuieli bloc</t>
        </r>
      </text>
    </comment>
    <comment ref="Y13" authorId="0" shapeId="0" xr:uid="{6DE753AA-BF55-47D6-96A0-1F85276986A3}">
      <text>
        <r>
          <rPr>
            <sz val="12"/>
            <color indexed="81"/>
            <rFont val="Allura"/>
            <family val="3"/>
          </rPr>
          <t>Profi Turda</t>
        </r>
      </text>
    </comment>
    <comment ref="Z13" authorId="0" shapeId="0" xr:uid="{50B50A11-2484-493E-95B3-2A32608C553A}">
      <text>
        <r>
          <rPr>
            <sz val="12"/>
            <color indexed="81"/>
            <rFont val="Allura"/>
            <family val="3"/>
          </rPr>
          <t>Kaufland Turda</t>
        </r>
      </text>
    </comment>
    <comment ref="AA13" authorId="0" shapeId="0" xr:uid="{98E74456-2AF3-48D7-BE3B-28BFF3D6CEDA}">
      <text>
        <r>
          <rPr>
            <sz val="12"/>
            <color indexed="81"/>
            <rFont val="Allura"/>
            <family val="3"/>
          </rPr>
          <t>Reincarcare Orange</t>
        </r>
      </text>
    </comment>
    <comment ref="AF13" authorId="0" shapeId="0" xr:uid="{5F75460C-52C6-44A8-B2B3-D21E12C45D7D}">
      <text>
        <r>
          <rPr>
            <sz val="12"/>
            <color indexed="81"/>
            <rFont val="Allura"/>
            <family val="3"/>
          </rPr>
          <t>Reincarcare Orange</t>
        </r>
      </text>
    </comment>
    <comment ref="AH13" authorId="0" shapeId="0" xr:uid="{5E634135-9215-45FD-808E-33A9F529F169}">
      <text>
        <r>
          <rPr>
            <b/>
            <sz val="9"/>
            <color indexed="81"/>
            <rFont val="Segoe UI"/>
            <family val="2"/>
          </rPr>
          <t>Profi Turda</t>
        </r>
      </text>
    </comment>
    <comment ref="AI13" authorId="0" shapeId="0" xr:uid="{91054641-D69F-4201-89CA-528F5581C8C1}">
      <text>
        <r>
          <rPr>
            <b/>
            <sz val="9"/>
            <color indexed="81"/>
            <rFont val="Segoe UI"/>
            <family val="2"/>
          </rPr>
          <t>Penny Turda</t>
        </r>
      </text>
    </comment>
    <comment ref="AK13" authorId="0" shapeId="0" xr:uid="{85D237A4-A243-47D2-8938-BA84892F02C3}">
      <text>
        <r>
          <rPr>
            <b/>
            <sz val="9"/>
            <color indexed="81"/>
            <rFont val="Segoe UI"/>
            <family val="2"/>
          </rPr>
          <t>Bogdan serviciu</t>
        </r>
      </text>
    </comment>
    <comment ref="L15" authorId="0" shapeId="0" xr:uid="{8AB026F8-C478-4987-A64F-D0D7DC0FA3C3}">
      <text>
        <r>
          <rPr>
            <sz val="12"/>
            <color indexed="81"/>
            <rFont val="Allura"/>
            <family val="3"/>
          </rPr>
          <t>Auchan Turda</t>
        </r>
      </text>
    </comment>
    <comment ref="S15" authorId="0" shapeId="0" xr:uid="{9FE69B57-639A-4415-ADE5-319DCF629F63}">
      <text>
        <r>
          <rPr>
            <sz val="12"/>
            <color indexed="81"/>
            <rFont val="Allura"/>
            <family val="3"/>
          </rPr>
          <t>Auchan Turda</t>
        </r>
      </text>
    </comment>
    <comment ref="U15" authorId="0" shapeId="0" xr:uid="{13597907-2B0E-4F64-9F36-4F5AC7C7C701}">
      <text>
        <r>
          <rPr>
            <sz val="12"/>
            <color indexed="81"/>
            <rFont val="Allura"/>
            <family val="3"/>
          </rPr>
          <t>Comision card</t>
        </r>
      </text>
    </comment>
    <comment ref="X15" authorId="0" shapeId="0" xr:uid="{DB79B032-8618-4973-807C-C2C010C20625}">
      <text>
        <r>
          <rPr>
            <sz val="12"/>
            <color indexed="81"/>
            <rFont val="Allura"/>
            <family val="3"/>
          </rPr>
          <t>Chiria</t>
        </r>
      </text>
    </comment>
    <comment ref="Y15" authorId="0" shapeId="0" xr:uid="{F933885B-0191-4A08-A3FF-A76DBD13703B}">
      <text>
        <r>
          <rPr>
            <sz val="12"/>
            <color indexed="81"/>
            <rFont val="Allura"/>
            <family val="3"/>
          </rPr>
          <t>Donatie copii Uganda</t>
        </r>
      </text>
    </comment>
    <comment ref="Z15" authorId="0" shapeId="0" xr:uid="{08767077-DE8E-40A1-8578-12F830338280}">
      <text>
        <r>
          <rPr>
            <sz val="12"/>
            <color indexed="81"/>
            <rFont val="Allura"/>
            <family val="3"/>
          </rPr>
          <t>Lidl Turda</t>
        </r>
      </text>
    </comment>
    <comment ref="AF15" authorId="0" shapeId="0" xr:uid="{55D7C0D1-4F88-40D5-A079-F537248063BF}">
      <text>
        <r>
          <rPr>
            <sz val="12"/>
            <color indexed="81"/>
            <rFont val="Allura"/>
            <family val="3"/>
          </rPr>
          <t>Revizuire centrala termica</t>
        </r>
      </text>
    </comment>
    <comment ref="AH15" authorId="0" shapeId="0" xr:uid="{C8A30803-2AA7-4D39-AB48-A31769703AB6}">
      <text>
        <r>
          <rPr>
            <b/>
            <sz val="9"/>
            <color indexed="81"/>
            <rFont val="Segoe UI"/>
            <family val="2"/>
          </rPr>
          <t>Test Covid</t>
        </r>
      </text>
    </comment>
    <comment ref="AH17" authorId="0" shapeId="0" xr:uid="{0A8A9DE0-7A63-42F2-AE23-8E838CE2B242}">
      <text>
        <r>
          <rPr>
            <b/>
            <sz val="9"/>
            <color indexed="81"/>
            <rFont val="Segoe UI"/>
            <family val="2"/>
          </rPr>
          <t>Lukoil Turda</t>
        </r>
      </text>
    </comment>
    <comment ref="AH19" authorId="0" shapeId="0" xr:uid="{3D233A0B-1FDF-4125-93E6-EA8E26CBFC30}">
      <text>
        <r>
          <rPr>
            <b/>
            <sz val="9"/>
            <color indexed="81"/>
            <rFont val="Segoe UI"/>
            <family val="2"/>
          </rPr>
          <t>Blugi Iulius</t>
        </r>
      </text>
    </comment>
    <comment ref="AH21" authorId="0" shapeId="0" xr:uid="{D45E3E22-829B-4133-B6E6-46FC7B9C4FFD}">
      <text>
        <r>
          <rPr>
            <b/>
            <sz val="9"/>
            <color indexed="81"/>
            <rFont val="Segoe UI"/>
            <family val="2"/>
          </rPr>
          <t>Schimb 200 Euro cadou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H3" authorId="0" shapeId="0" xr:uid="{ECC62E98-9F26-44AA-9C52-53F549AD2CC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Salariu martie (23 zile)</t>
        </r>
      </text>
    </comment>
    <comment ref="K3" authorId="0" shapeId="0" xr:uid="{F28BEC01-587D-4DB3-8348-32DA169BDE8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Bonuri de masa 23 zile
</t>
        </r>
      </text>
    </comment>
    <comment ref="AC3" authorId="0" shapeId="0" xr:uid="{1E6659F8-A5C5-44FD-BF0E-467C810F966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Prima Pasti</t>
        </r>
      </text>
    </comment>
    <comment ref="AD3" authorId="0" shapeId="0" xr:uid="{9BDF01D1-69D0-40CE-9D51-1A65DF6FFBE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ATM</t>
        </r>
      </text>
    </comment>
    <comment ref="AI3" authorId="0" shapeId="0" xr:uid="{E9B27477-2F8D-4D9A-B747-EA1ED497B7F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Prima Pasti</t>
        </r>
      </text>
    </comment>
    <comment ref="G13" authorId="0" shapeId="0" xr:uid="{30AE22CE-186A-4EF7-BE00-32AA1553A26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Papuci Wifey</t>
        </r>
      </text>
    </comment>
    <comment ref="H13" authorId="0" shapeId="0" xr:uid="{4FE71CC3-3A1E-479E-A23F-E0D8C116B93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Curent electric
1 feb - 28 feb (Mutat pe 18 feb)</t>
        </r>
      </text>
    </comment>
    <comment ref="I13" authorId="0" shapeId="0" xr:uid="{43BB6C10-BF4F-44D1-962A-99CF09ED617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N13" authorId="0" shapeId="0" xr:uid="{7BD6FFA2-683C-43FC-954D-9E2CA0ECA76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Profi Turda</t>
        </r>
      </text>
    </comment>
    <comment ref="P13" authorId="0" shapeId="0" xr:uid="{D1B9DBB7-23E5-4042-99E8-49ECF83D9E9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Spalatorie</t>
        </r>
      </text>
    </comment>
    <comment ref="Q13" authorId="0" shapeId="0" xr:uid="{E7863251-6BCA-4ADA-AC7A-BD38612C42C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T13" authorId="0" shapeId="0" xr:uid="{E345AE76-B645-4BC7-8955-8F631C1AB81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apa</t>
        </r>
      </text>
    </comment>
    <comment ref="W13" authorId="0" shapeId="0" xr:uid="{CAEEB582-7E1B-4E7D-9387-5431613CC6B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Brosuci + masinuta de cusut + gentute</t>
        </r>
      </text>
    </comment>
    <comment ref="X13" authorId="0" shapeId="0" xr:uid="{DCA40723-1769-45A5-905A-1D8B0F23EB5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Chirie</t>
        </r>
      </text>
    </comment>
    <comment ref="Y13" authorId="0" shapeId="0" xr:uid="{D0D8E725-9F20-43AF-B9F8-63DE4439B5E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AD13" authorId="0" shapeId="0" xr:uid="{149264F0-88ED-441F-9041-926D9B86954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</t>
        </r>
      </text>
    </comment>
    <comment ref="AE13" authorId="0" shapeId="0" xr:uid="{8BC2235D-EAD6-4C81-A327-ED7B3BA0FDC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Mancare 24 + 25 excursie</t>
        </r>
      </text>
    </comment>
    <comment ref="AF13" authorId="0" shapeId="0" xr:uid="{887818C2-AD24-4424-8F00-228FED416CC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AH13" authorId="0" shapeId="0" xr:uid="{BFE97A9C-5E65-4006-A430-3F6C8EEFE39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AJ13" authorId="0" shapeId="0" xr:uid="{CD337EE5-5BCC-4A6F-B280-CA26F87E82D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H15" authorId="0" shapeId="0" xr:uid="{2A081761-EC2C-4820-8510-62EFA6A4EE1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Gaze naturale
3 feb - 4 mar (Mutat pe 18 feb)</t>
        </r>
      </text>
    </comment>
    <comment ref="I15" authorId="0" shapeId="0" xr:uid="{62720EB6-D773-4288-9C5D-BDB9E29D981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Penny Turda</t>
        </r>
      </text>
    </comment>
    <comment ref="Q15" authorId="0" shapeId="0" xr:uid="{74C681BD-370D-4141-9B42-EAF8A1FBC97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W15" authorId="0" shapeId="0" xr:uid="{A0008DA3-002C-4A22-84D2-4BEC35A0659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Mol</t>
        </r>
      </text>
    </comment>
    <comment ref="X15" authorId="0" shapeId="0" xr:uid="{294441B8-D107-4451-AF4E-9A9136DD33B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Casute Uganda</t>
        </r>
      </text>
    </comment>
    <comment ref="Y15" authorId="0" shapeId="0" xr:uid="{FC231047-D940-4ACE-BF13-126077A1AC5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Iubitica</t>
        </r>
      </text>
    </comment>
    <comment ref="AD15" authorId="0" shapeId="0" xr:uid="{2C92ED9C-1019-4429-87F3-1053DF3862E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OMV</t>
        </r>
      </text>
    </comment>
    <comment ref="AE15" authorId="0" shapeId="0" xr:uid="{DA5E06E0-0940-4538-A3AC-69FE0C0CE5B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20 intrare Biertan cetate + 9 parcare + 32 bilete intrare Sighisoara turn</t>
        </r>
      </text>
    </comment>
    <comment ref="AF15" authorId="0" shapeId="0" xr:uid="{CE7169ED-B0A0-46D3-BB9F-A48D9DCE053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Activity</t>
        </r>
      </text>
    </comment>
    <comment ref="AJ15" authorId="0" shapeId="0" xr:uid="{32504530-52BF-4C20-98D0-8FFAF44A060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Penny Turda</t>
        </r>
      </text>
    </comment>
    <comment ref="H17" authorId="0" shapeId="0" xr:uid="{D5F12C4C-D3E1-4664-A1D3-B291F23EF61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Internet Vodafone</t>
        </r>
      </text>
    </comment>
    <comment ref="I17" authorId="0" shapeId="0" xr:uid="{1EFD07DC-6306-405D-8E36-72E085464DB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SCHIMB CARD</t>
        </r>
      </text>
    </comment>
    <comment ref="Q17" authorId="0" shapeId="0" xr:uid="{D8B2BF4D-ED70-44C6-AFA9-41145AD4EF7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Sosete Lidl</t>
        </r>
      </text>
    </comment>
    <comment ref="W17" authorId="0" shapeId="0" xr:uid="{574B38B0-D970-41BC-8CEC-FF1324CCF6F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Spartan</t>
        </r>
      </text>
    </comment>
    <comment ref="AD17" authorId="0" shapeId="0" xr:uid="{7F8B618B-3432-4CFF-957B-7EAFCDA7CEA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Intrare Rupea</t>
        </r>
      </text>
    </comment>
    <comment ref="AJ17" authorId="0" shapeId="0" xr:uid="{F4E14FE7-CF49-463C-978A-B20E8BBCF49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
</t>
        </r>
      </text>
    </comment>
    <comment ref="Q19" authorId="0" shapeId="0" xr:uid="{469FCE13-6958-4EB9-8536-A344AFA1A57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Rezerva sapun + lotiune tonica + Pasta de dinti</t>
        </r>
      </text>
    </comment>
    <comment ref="W19" authorId="0" shapeId="0" xr:uid="{03F9BF55-7C38-45BB-A9EB-03BC1289385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Carrefour</t>
        </r>
      </text>
    </comment>
    <comment ref="AD19" authorId="0" shapeId="0" xr:uid="{C0092742-3765-4B09-AB3F-F2465941383B}">
      <text>
        <r>
          <rPr>
            <b/>
            <sz val="9"/>
            <color indexed="81"/>
            <rFont val="Segoe UI"/>
            <family val="2"/>
          </rPr>
          <t>Octavian Rusu:
ATM</t>
        </r>
      </text>
    </comment>
    <comment ref="AJ19" authorId="0" shapeId="0" xr:uid="{A392C2D5-B3DE-4A10-8271-EA9C2FEE5BA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W21" authorId="0" shapeId="0" xr:uid="{CAA1D0F1-8157-4756-9B28-E4376D43A49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Parcare Cluj</t>
        </r>
      </text>
    </comment>
    <comment ref="AD21" authorId="0" shapeId="0" xr:uid="{61637659-A228-489F-B708-1D1A8F10C91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Cazare Sighisoara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K3" authorId="0" shapeId="0" xr:uid="{41700A0D-FCB4-4E2C-875C-0DD036DFFD0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Salariu aprilie</t>
        </r>
      </text>
    </comment>
    <comment ref="Z3" authorId="0" shapeId="0" xr:uid="{226F8924-9042-4D6D-B952-C4D39366F59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Bursa</t>
        </r>
      </text>
    </comment>
    <comment ref="K5" authorId="0" shapeId="0" xr:uid="{7E7AC726-BB0A-401E-A5B8-5D063590398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Bonuri aprilie</t>
        </r>
      </text>
    </comment>
    <comment ref="G13" authorId="0" shapeId="0" xr:uid="{4830CBB2-1DBB-4FF9-B60E-C503C6288EF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Bilete avion</t>
        </r>
      </text>
    </comment>
    <comment ref="H13" authorId="0" shapeId="0" xr:uid="{84FC11DC-A88D-48D8-AA70-95F9E2FE55E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Lingura</t>
        </r>
      </text>
    </comment>
    <comment ref="I13" authorId="0" shapeId="0" xr:uid="{CCA34B46-70B4-49BE-81D2-87FDF4AB3F0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OMV</t>
        </r>
      </text>
    </comment>
    <comment ref="J13" authorId="0" shapeId="0" xr:uid="{5F76FE78-E027-4E31-A789-5431563DFE7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Penny Turda</t>
        </r>
      </text>
    </comment>
    <comment ref="K13" authorId="0" shapeId="0" xr:uid="{B1DC2C70-1165-4B50-B838-13AC06C6DC9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L13" authorId="0" shapeId="0" xr:uid="{CC78BF19-BCC1-4E6E-9D78-73050DBEA4C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Flori Alexandra</t>
        </r>
      </text>
    </comment>
    <comment ref="M13" authorId="0" shapeId="0" xr:uid="{7CFC8AE3-6739-4B54-8F48-248919F6298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N13" authorId="0" shapeId="0" xr:uid="{F717989F-A5E8-4525-B968-4AE8993F928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Vodafone</t>
        </r>
      </text>
    </comment>
    <comment ref="P13" authorId="0" shapeId="0" xr:uid="{EA7F6617-2701-4420-9453-79EC575CC2A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R13" authorId="0" shapeId="0" xr:uid="{6BC89C6F-0833-47D0-B96F-5BF87865D35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Parcare Cluj</t>
        </r>
      </text>
    </comment>
    <comment ref="S13" authorId="0" shapeId="0" xr:uid="{C50B53FA-B632-4F88-9275-60E84D9B940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Spalatorie</t>
        </r>
      </text>
    </comment>
    <comment ref="T13" authorId="0" shapeId="0" xr:uid="{40787B97-13D1-4E6E-9F41-B95139C6494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U13" authorId="0" shapeId="0" xr:uid="{F308958A-9537-458F-A18C-54C502FB464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W13" authorId="0" shapeId="0" xr:uid="{7655AFE4-D02E-4DE0-A1D4-D1997141161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apa</t>
        </r>
      </text>
    </comment>
    <comment ref="X13" authorId="0" shapeId="0" xr:uid="{B1990CD3-D20A-479B-95BD-E8DA9BE9D9F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Chiria!</t>
        </r>
      </text>
    </comment>
    <comment ref="Y13" authorId="0" shapeId="0" xr:uid="{4F8405B7-D66F-49AA-825B-A40E722EFB0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</t>
        </r>
      </text>
    </comment>
    <comment ref="Z13" authorId="0" shapeId="0" xr:uid="{4754BB82-0FED-4821-A100-CF87D280368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Cheltuieli bloc</t>
        </r>
      </text>
    </comment>
    <comment ref="AB13" authorId="0" shapeId="0" xr:uid="{E264C577-C28A-4EBA-A978-88B11E603AA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Retragere numerar</t>
        </r>
      </text>
    </comment>
    <comment ref="AD13" authorId="0" shapeId="0" xr:uid="{6558E805-DB84-47C4-9687-4138FF020C2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</t>
        </r>
      </text>
    </comment>
    <comment ref="AE13" authorId="0" shapeId="0" xr:uid="{32BFB667-DDE2-4480-9287-93FB56C9D9C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gaz</t>
        </r>
      </text>
    </comment>
    <comment ref="AF13" authorId="0" shapeId="0" xr:uid="{5C5AF6BB-7658-474B-B861-CE0DF10FE17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curent</t>
        </r>
      </text>
    </comment>
    <comment ref="AG13" authorId="0" shapeId="0" xr:uid="{2AAE5C0C-82A2-456E-86D0-A3207953D2E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DM markt</t>
        </r>
      </text>
    </comment>
    <comment ref="AI13" authorId="0" shapeId="0" xr:uid="{D6C08503-81CF-45D0-8BB2-8DC24B264F2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AJ13" authorId="0" shapeId="0" xr:uid="{EE78A278-5931-4D89-87CC-E6C4A4F3A6D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Costume clinica</t>
        </r>
      </text>
    </comment>
    <comment ref="G15" authorId="0" shapeId="0" xr:uid="{578A6FC1-162F-4008-84E2-1EC49EA05CB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Cazare Santorini</t>
        </r>
      </text>
    </comment>
    <comment ref="I15" authorId="0" shapeId="0" xr:uid="{FB26A576-3533-4866-AAC0-18BB724C10A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Spalatorie</t>
        </r>
      </text>
    </comment>
    <comment ref="K15" authorId="0" shapeId="0" xr:uid="{C6337F8D-F4DB-4677-89AA-94D52D179A0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Mici SG</t>
        </r>
      </text>
    </comment>
    <comment ref="N15" authorId="0" shapeId="0" xr:uid="{B7476D41-C07E-4B56-A4D3-4748B32EBE9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Curent EON</t>
        </r>
      </text>
    </comment>
    <comment ref="P15" authorId="0" shapeId="0" xr:uid="{0C26E760-9B1A-4069-A431-A3335798845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R15" authorId="0" shapeId="0" xr:uid="{5E4DF640-91E0-4D45-8D9B-3009F10E93A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Xerox</t>
        </r>
      </text>
    </comment>
    <comment ref="S15" authorId="0" shapeId="0" xr:uid="{0C1D4817-A90E-4146-BEAA-1B182A6388F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95 OMV Cluj</t>
        </r>
      </text>
    </comment>
    <comment ref="U15" authorId="0" shapeId="0" xr:uid="{A3953307-B1BC-4080-9E65-60D312298CE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X15" authorId="0" shapeId="0" xr:uid="{96F50E83-3E6A-46B6-9939-C27C9D065F9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Casute Uganda</t>
        </r>
      </text>
    </comment>
    <comment ref="Z15" authorId="0" shapeId="0" xr:uid="{73899330-47C7-406C-8912-1CD92B5A024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Profi Turda</t>
        </r>
      </text>
    </comment>
    <comment ref="AB15" authorId="0" shapeId="0" xr:uid="{7EB456A4-F456-433D-93DE-89FB35C6FC8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Spalatorie</t>
        </r>
      </text>
    </comment>
    <comment ref="AD15" authorId="0" shapeId="0" xr:uid="{C3DD6B6B-0CB1-41C4-8947-48F43EEC1E1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Profi Turda</t>
        </r>
      </text>
    </comment>
    <comment ref="AF15" authorId="0" shapeId="0" xr:uid="{DED4C060-844B-49E7-BD5B-00C298DCF8C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Cont de Economii</t>
        </r>
      </text>
    </comment>
    <comment ref="AI15" authorId="0" shapeId="0" xr:uid="{F78B63D1-4104-4AAB-930E-6FE1E1348F9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G17" authorId="0" shapeId="0" xr:uid="{BAE86977-AA06-4B47-A1C8-72C1FA19052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Bagaje de voiaj</t>
        </r>
      </text>
    </comment>
    <comment ref="N17" authorId="0" shapeId="0" xr:uid="{A9CBECB4-231A-4A60-A16A-B225767E86A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Gaz EON</t>
        </r>
      </text>
    </comment>
    <comment ref="Z17" authorId="0" shapeId="0" xr:uid="{B40E7ADE-6362-4148-A6AE-A0E1C90FC33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Materiale</t>
        </r>
      </text>
    </comment>
    <comment ref="AB17" authorId="0" shapeId="0" xr:uid="{CE8A1603-ED1C-49E2-A74C-09E5440D94A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I17" authorId="0" shapeId="0" xr:uid="{64E15C32-1941-4E36-8571-030D158EE6A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G19" authorId="0" shapeId="0" xr:uid="{B7D5B340-5C76-48A1-855E-7C2520D57E4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Costume baie</t>
        </r>
      </text>
    </comment>
    <comment ref="AI19" authorId="0" shapeId="0" xr:uid="{B669F3AA-330A-44E1-9590-1A3522E8F07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
</t>
        </r>
      </text>
    </comment>
    <comment ref="G21" authorId="0" shapeId="0" xr:uid="{9F5AD796-9C5E-49AE-BB18-EA282B0DB60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Joystick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7D2EE604-8EFB-4BE9-A01C-9D5E86E3D4E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J3" authorId="0" shapeId="0" xr:uid="{61FB0A5E-A9DE-45A1-AEB9-073425B786E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Salariu SG</t>
        </r>
      </text>
    </comment>
    <comment ref="N3" authorId="0" shapeId="0" xr:uid="{3B633150-D3CE-465F-A8B6-CEDC7916A8C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Bonuri SG - 19 zile</t>
        </r>
      </text>
    </comment>
    <comment ref="P3" authorId="0" shapeId="0" xr:uid="{B074704F-4D4D-4042-A6CB-27BF25B52EF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Rest CardO</t>
        </r>
      </text>
    </comment>
    <comment ref="Q3" authorId="0" shapeId="0" xr:uid="{849955EA-BDB7-4C42-8E0C-EB337DA1171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ATM BRD Turda</t>
        </r>
      </text>
    </comment>
    <comment ref="X3" authorId="0" shapeId="0" xr:uid="{B431B875-C45C-4ED0-867C-955DDEFD2C9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ATM</t>
        </r>
      </text>
    </comment>
    <comment ref="Y3" authorId="0" shapeId="0" xr:uid="{B8C9FB68-CAB9-463C-8F37-3154FE8DB5F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Diana</t>
        </r>
      </text>
    </comment>
    <comment ref="AE3" authorId="0" shapeId="0" xr:uid="{EC276E83-344A-4A17-A093-D89A3112587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Transfer Andrei</t>
        </r>
      </text>
    </comment>
    <comment ref="AF3" authorId="0" shapeId="0" xr:uid="{70296C32-D2EB-4395-9553-7BC7750D59C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Salariu AVANS</t>
        </r>
      </text>
    </comment>
    <comment ref="AI3" authorId="0" shapeId="0" xr:uid="{B322974C-57C8-4B2E-B422-4B7221BDC62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Bursa Iubitica</t>
        </r>
      </text>
    </comment>
    <comment ref="AK3" authorId="0" shapeId="0" xr:uid="{3DDAED55-D0B2-4EB4-B147-B41886BD959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Bonuri Iubitica</t>
        </r>
      </text>
    </comment>
    <comment ref="H13" authorId="0" shapeId="0" xr:uid="{89292904-74CE-4D0B-B241-04302996AA2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Cont de Economii</t>
        </r>
      </text>
    </comment>
    <comment ref="I13" authorId="0" shapeId="0" xr:uid="{A0B0DFE0-BCD6-4F0F-9082-6F744AA2F40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Kik</t>
        </r>
      </text>
    </comment>
    <comment ref="K13" authorId="0" shapeId="0" xr:uid="{89DC947D-9F93-4C5A-86EC-49135E52499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Farmacie (Paracetamol + Tador)</t>
        </r>
      </text>
    </comment>
    <comment ref="M13" authorId="0" shapeId="0" xr:uid="{B245ED2A-2507-46FE-A022-76A4AB3B312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P13" authorId="0" shapeId="0" xr:uid="{EDB8862E-C3B0-467B-839B-33000168A11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Rest CardE</t>
        </r>
      </text>
    </comment>
    <comment ref="Q13" authorId="0" shapeId="0" xr:uid="{5A4E1041-8B33-42AB-9938-4F638512D05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ATM BRD Turda</t>
        </r>
      </text>
    </comment>
    <comment ref="R13" authorId="0" shapeId="0" xr:uid="{5294EFED-7CE2-4691-BE27-46F8814C4B3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Schimb valutar primarie Sandulesti</t>
        </r>
      </text>
    </comment>
    <comment ref="T13" authorId="0" shapeId="0" xr:uid="{242E981B-BD7E-448C-80BD-E3B70153313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V13" authorId="0" shapeId="0" xr:uid="{E3BF11A2-3B82-4356-B374-761B110A335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Factură apă</t>
        </r>
      </text>
    </comment>
    <comment ref="X13" authorId="0" shapeId="0" xr:uid="{ADFDDE82-7410-4377-9C0A-EF47925577A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ATM</t>
        </r>
      </text>
    </comment>
    <comment ref="Y13" authorId="0" shapeId="0" xr:uid="{F547D975-3900-4E36-A9CA-A0A2FD52CFF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 (Primaria Sandulesti + Auchan)</t>
        </r>
      </text>
    </comment>
    <comment ref="Z13" authorId="0" shapeId="0" xr:uid="{E9A6E6AA-3A0A-4444-B54A-427A8422EAD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Zoo Targu Mures</t>
        </r>
      </text>
    </comment>
    <comment ref="AA13" authorId="0" shapeId="0" xr:uid="{944492C0-3934-40D6-9701-F9978907B57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C13" authorId="0" shapeId="0" xr:uid="{A6FF33C9-A718-4E1E-AE41-70F9CF8AE04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</t>
        </r>
      </text>
    </comment>
    <comment ref="AD13" authorId="0" shapeId="0" xr:uid="{43FA2C4C-FACE-4640-A4F9-4C285D0AC7E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Frizerie</t>
        </r>
      </text>
    </comment>
    <comment ref="AE13" authorId="0" shapeId="0" xr:uid="{E634BF08-5CFA-474E-B103-526EA808683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Andrei
</t>
        </r>
      </text>
    </comment>
    <comment ref="AF13" authorId="0" shapeId="0" xr:uid="{044FA90B-3026-4542-8F5A-0C12961D3D6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G13" authorId="0" shapeId="0" xr:uid="{F74D2C14-CA07-4E8C-B70E-7531831ABA3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Acesorii camera foto (filtru, trepied, baterie)</t>
        </r>
      </text>
    </comment>
    <comment ref="AI13" authorId="0" shapeId="0" xr:uid="{3BFC2A3C-21C9-44CD-B199-92F4BDCAA72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 </t>
        </r>
      </text>
    </comment>
    <comment ref="AK13" authorId="0" shapeId="0" xr:uid="{57D7D2D9-016F-40F0-83D9-60C586746C4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gaze
</t>
        </r>
      </text>
    </comment>
    <comment ref="I15" authorId="0" shapeId="0" xr:uid="{4DBD2902-D5BB-4F71-829D-28616482B41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Camasi dama</t>
        </r>
      </text>
    </comment>
    <comment ref="K15" authorId="0" shapeId="0" xr:uid="{D0EA5656-65F7-4452-8811-9A6616FCBE5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MOL</t>
        </r>
      </text>
    </comment>
    <comment ref="M15" authorId="0" shapeId="0" xr:uid="{C4B3373F-D708-4A1B-9597-FCF59A7BFD8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
</t>
        </r>
      </text>
    </comment>
    <comment ref="P15" authorId="0" shapeId="0" xr:uid="{008050B8-3795-4A13-9833-359D8FEE211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Comision</t>
        </r>
      </text>
    </comment>
    <comment ref="Q15" authorId="0" shapeId="0" xr:uid="{39556EE9-AAEB-4483-90F9-37DCDF6231B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2500 Lei pentru Obiectiv Canon EF 16-35 f4</t>
        </r>
      </text>
    </comment>
    <comment ref="R15" authorId="0" shapeId="0" xr:uid="{72650671-AD59-4932-AE5F-962026BBD0C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Taxa caiet sarcini, participare licitatie (400 RON)</t>
        </r>
      </text>
    </comment>
    <comment ref="T15" authorId="0" shapeId="0" xr:uid="{B19B0B3E-CCB5-4B49-9A9A-B42BD7AA816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Misiune Speranta</t>
        </r>
      </text>
    </comment>
    <comment ref="V15" authorId="0" shapeId="0" xr:uid="{9B3C9FCC-C97C-4EF7-9635-0C6DC80682D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X15" authorId="0" shapeId="0" xr:uid="{11DAB476-0287-411D-B9D0-FDDC1D7B611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MOL
17 L</t>
        </r>
      </text>
    </comment>
    <comment ref="Y15" authorId="0" shapeId="0" xr:uid="{BDC8C91C-722C-4938-871E-9DD576236D5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Chirie</t>
        </r>
      </text>
    </comment>
    <comment ref="Z15" authorId="0" shapeId="0" xr:uid="{6E202453-C01B-47E7-B149-54D80299931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Spartan Targu Mures</t>
        </r>
      </text>
    </comment>
    <comment ref="AA15" authorId="0" shapeId="0" xr:uid="{ED7B95B2-23A5-4863-AE7C-E53ABC62DC5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AC15" authorId="0" shapeId="0" xr:uid="{B9FA4359-CEFD-4A5C-8090-A7A8553508E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Cheltuieli bloc</t>
        </r>
      </text>
    </comment>
    <comment ref="AE15" authorId="0" shapeId="0" xr:uid="{2140F6D5-7DB1-4E2B-9B75-B860C26EC76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7days
</t>
        </r>
      </text>
    </comment>
    <comment ref="AF15" authorId="0" shapeId="0" xr:uid="{E9E05A1D-842D-4A9D-906B-F88F4C00B4C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MOL</t>
        </r>
      </text>
    </comment>
    <comment ref="AG15" authorId="0" shapeId="0" xr:uid="{C3A88B31-26D7-4F42-80C3-B022807203A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Materiale Cluj</t>
        </r>
      </text>
    </comment>
    <comment ref="AI15" authorId="0" shapeId="0" xr:uid="{10B0173D-973A-4510-958E-4E130AAB65B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AK15" authorId="0" shapeId="0" xr:uid="{5945DE78-1231-4F5C-A578-33C755DCAAF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curent</t>
        </r>
      </text>
    </comment>
    <comment ref="I17" authorId="0" shapeId="0" xr:uid="{C3E25921-0FB3-4510-898D-3C2A0CA8227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K17" authorId="0" shapeId="0" xr:uid="{F8D05AF6-D20A-42AE-B6E9-E3F4C39CBC2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M17" authorId="0" shapeId="0" xr:uid="{69DA1561-6288-4CF0-9267-D0353471540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R17" authorId="0" shapeId="0" xr:uid="{AF0A5D3C-A6C1-4D6A-83E6-07A761FE745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T17" authorId="0" shapeId="0" xr:uid="{CC23826B-1FBC-408F-8C2B-D65F1583B0D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V17" authorId="0" shapeId="0" xr:uid="{99B0FC31-1E4F-498B-97BE-460B16859BE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Comision card euro</t>
        </r>
      </text>
    </comment>
    <comment ref="X17" authorId="0" shapeId="0" xr:uid="{7F71E5F0-6686-4419-B988-3EF4BE4FD96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Y17" authorId="0" shapeId="0" xr:uid="{51AB0C26-E555-4CB7-934F-A1906097A5B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</t>
        </r>
      </text>
    </comment>
    <comment ref="Z17" authorId="0" shapeId="0" xr:uid="{2A32DD8A-E0E1-450F-A001-E2EF89C2EDA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A17" authorId="0" shapeId="0" xr:uid="{10A51EB2-AA0B-4E05-89E5-FCB4C28E819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F17" authorId="0" shapeId="0" xr:uid="{981CCE90-C088-475F-A49F-04F0290C559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Revizie masina (ulei, filtre)</t>
        </r>
      </text>
    </comment>
    <comment ref="AG17" authorId="0" shapeId="0" xr:uid="{3162F8FD-5580-4041-850B-5F8F12F9FBA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Haine + papuci</t>
        </r>
      </text>
    </comment>
    <comment ref="AI17" authorId="0" shapeId="0" xr:uid="{2CD8C991-3B6F-4C73-9A8B-E7347C90C36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K17" authorId="0" shapeId="0" xr:uid="{8AE34ED8-11CD-4E47-84BD-6200070A8C8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I19" authorId="0" shapeId="0" xr:uid="{517C7552-98C6-4519-8B02-A886D397D93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Internet Vodafone</t>
        </r>
      </text>
    </comment>
    <comment ref="K19" authorId="0" shapeId="0" xr:uid="{67879066-42D1-4E40-BFA1-AE77065AA8A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Haine</t>
        </r>
      </text>
    </comment>
    <comment ref="M19" authorId="0" shapeId="0" xr:uid="{538D2E87-17EA-4BD2-8CFD-C93F122F3D9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R19" authorId="0" shapeId="0" xr:uid="{C0B3EC3F-AF97-4299-B8D0-CA146A32697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~10% Pamant Copaceni</t>
        </r>
      </text>
    </comment>
    <comment ref="X19" authorId="0" shapeId="0" xr:uid="{2C5DB876-8632-48D7-B6A1-82ADB87CE21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ITP</t>
        </r>
      </text>
    </comment>
    <comment ref="Y19" authorId="0" shapeId="0" xr:uid="{04415CF1-E00B-4B70-95D0-1517B096258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Rochita + pantalonasi</t>
        </r>
      </text>
    </comment>
    <comment ref="AA19" authorId="0" shapeId="0" xr:uid="{468BF371-5A1A-4247-BB66-91EDADC5CAF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F19" authorId="0" shapeId="0" xr:uid="{E4E146E7-1958-4C07-B975-6C3F252DB77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Nisan Turda
</t>
        </r>
      </text>
    </comment>
    <comment ref="AI19" authorId="0" shapeId="0" xr:uid="{201CE2BA-8EC0-4B22-8641-BB5A7ABC867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Ceas Cadou</t>
        </r>
      </text>
    </comment>
    <comment ref="AK19" authorId="0" shapeId="0" xr:uid="{59FE3F10-319B-42ED-9CBE-DE26FF87DC1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Rovinieta 3.07.2021</t>
        </r>
      </text>
    </comment>
    <comment ref="Y21" authorId="0" shapeId="0" xr:uid="{5011441B-8CA1-427E-A5D2-09B233AEC02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Paine</t>
        </r>
      </text>
    </comment>
    <comment ref="AG22" authorId="0" shapeId="0" xr:uid="{4463805C-0E4F-4A65-86DB-010C7EF21AF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779.75</t>
        </r>
      </text>
    </comment>
    <comment ref="A35" authorId="0" shapeId="0" xr:uid="{BA99E6ED-0115-414C-9212-9C3826C68C2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Obiectiv 16-35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D0218C93-6744-4D1D-A548-1EA1C738141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H3" authorId="0" shapeId="0" xr:uid="{09E80547-21C7-4079-93DE-8F1C5B76E3D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Salariu SG</t>
        </r>
      </text>
    </comment>
    <comment ref="M3" authorId="0" shapeId="0" xr:uid="{15B898C5-2ADE-4E6C-9F0E-F944AA11BBA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Bonuri SG</t>
        </r>
      </text>
    </comment>
    <comment ref="P3" authorId="0" shapeId="0" xr:uid="{7C5D0CFD-4890-4CEB-98E0-3BDD0F703FA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Lichidare salariu Potaissa</t>
        </r>
      </text>
    </comment>
    <comment ref="U3" authorId="0" shapeId="0" xr:uid="{BF8E2171-79FB-4783-A144-67FACD3F950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Cadou Stelica</t>
        </r>
      </text>
    </comment>
    <comment ref="V3" authorId="0" shapeId="0" xr:uid="{B1951897-3D61-4DBB-9CD4-D95381CA7A4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Cadou Todireanu</t>
        </r>
      </text>
    </comment>
    <comment ref="W3" authorId="0" shapeId="0" xr:uid="{27C72C93-ABD7-4573-98B4-F897FA089B2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Cadou Ana</t>
        </r>
      </text>
    </comment>
    <comment ref="AD3" authorId="0" shapeId="0" xr:uid="{85999891-C241-46F2-B23B-2B605792F51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Avans Iubitica</t>
        </r>
      </text>
    </comment>
    <comment ref="AJ3" authorId="0" shapeId="0" xr:uid="{AF51B948-61FC-4907-B551-CB098C678D6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iubitica</t>
        </r>
      </text>
    </comment>
    <comment ref="AK3" authorId="0" shapeId="0" xr:uid="{A0CCA207-5DC1-4B23-BA9B-87A77BB7484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Bursa iubitica</t>
        </r>
      </text>
    </comment>
    <comment ref="H13" authorId="0" shapeId="0" xr:uid="{28D6A733-8D34-47EB-AEC2-DB35040D9CA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Asigurare Mazda 3</t>
        </r>
      </text>
    </comment>
    <comment ref="J13" authorId="0" shapeId="0" xr:uid="{116D7DA8-8401-4A11-940C-FECF154E675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Vodafone</t>
        </r>
      </text>
    </comment>
    <comment ref="K13" authorId="0" shapeId="0" xr:uid="{1076A185-C2EA-4CB1-9ECA-1300756D8CA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L13" authorId="0" shapeId="0" xr:uid="{960E3955-D599-42DB-9C61-8F6D23915A6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Retragere ATM</t>
        </r>
      </text>
    </comment>
    <comment ref="M13" authorId="0" shapeId="0" xr:uid="{351EE7DC-2DAC-443E-994F-37AD9149505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Crema protectie solara</t>
        </r>
      </text>
    </comment>
    <comment ref="N13" authorId="0" shapeId="0" xr:uid="{112EDD31-D1F3-4433-93FF-7AFAB607BE1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Spalatorie</t>
        </r>
      </text>
    </comment>
    <comment ref="O13" authorId="0" shapeId="0" xr:uid="{9A1EB6FD-FFF1-4E53-A6AF-A66F970093E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MOL Turda</t>
        </r>
      </text>
    </comment>
    <comment ref="P13" authorId="0" shapeId="0" xr:uid="{56E975FC-5A3A-43A8-9028-43FC9988B0A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Q13" authorId="0" shapeId="0" xr:uid="{013B2392-4077-4FA5-BF4A-E96A7AA0F41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R13" authorId="0" shapeId="0" xr:uid="{BB17FAEE-95D2-47EB-A6DF-E098A2DC591E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S13" authorId="0" shapeId="0" xr:uid="{B94D0FA8-576C-4BCE-B6F9-63147BBEC71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Locuri alaturate WizzAir</t>
        </r>
      </text>
    </comment>
    <comment ref="U13" authorId="0" shapeId="0" xr:uid="{6DE877E5-4E47-48E3-9551-431ABBDF504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Santorini magnet + geanta</t>
        </r>
      </text>
    </comment>
    <comment ref="V13" authorId="0" shapeId="0" xr:uid="{8429B5E8-AE86-40E8-B90B-1253FFA724A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Comision</t>
        </r>
      </text>
    </comment>
    <comment ref="W13" authorId="0" shapeId="0" xr:uid="{D749D6EB-AC9D-4472-A30F-86233417F4E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Parcare Bucuresti + Cazare Bucuresti + Pornit masina parcare</t>
        </r>
      </text>
    </comment>
    <comment ref="X13" authorId="0" shapeId="0" xr:uid="{6EF5897A-9933-44EA-9A08-2EFCC90F9E6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 O</t>
        </r>
      </text>
    </comment>
    <comment ref="Y13" authorId="0" shapeId="0" xr:uid="{643B11DB-0165-44C5-AD9B-27198E31A5DB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Chirie Turda</t>
        </r>
      </text>
    </comment>
    <comment ref="Z13" authorId="0" shapeId="0" xr:uid="{D91D3923-028E-4FCE-82B9-5CC484144733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Biserica Sri Lanka</t>
        </r>
      </text>
    </comment>
    <comment ref="AA13" authorId="0" shapeId="0" xr:uid="{BE18D95D-4E8F-421A-BC8B-3C294403F16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10% iubitica</t>
        </r>
      </text>
    </comment>
    <comment ref="AC13" authorId="0" shapeId="0" xr:uid="{3863010A-5818-4128-9A48-981648A7D6D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Balonase + cap periuta dinti</t>
        </r>
      </text>
    </comment>
    <comment ref="AD13" authorId="0" shapeId="0" xr:uid="{E3E3C939-FFAD-418D-B8BC-2CF1D2C1BBC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gaze</t>
        </r>
      </text>
    </comment>
    <comment ref="AE13" authorId="0" shapeId="0" xr:uid="{EA469441-48E9-4FD6-A9E5-93843034BFA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H13" authorId="0" shapeId="0" xr:uid="{16450A55-D507-4FB3-9E81-3FE94617557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electricitate</t>
        </r>
      </text>
    </comment>
    <comment ref="AK13" authorId="0" shapeId="0" xr:uid="{1D11429C-E359-4798-A3E0-C6015AD1D9F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MOL</t>
        </r>
      </text>
    </comment>
    <comment ref="H15" authorId="0" shapeId="0" xr:uid="{7CB799DD-6C3F-40BC-B346-BDA5FE169C6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J15" authorId="0" shapeId="0" xr:uid="{AD6376CF-D9E8-4DA6-B530-E5A12115A27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Card memorie aparat foto</t>
        </r>
      </text>
    </comment>
    <comment ref="K15" authorId="0" shapeId="0" xr:uid="{1A32D3A3-6179-4FB0-8EEF-330FD28A82FC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M15" authorId="0" shapeId="0" xr:uid="{D40D1F36-AA37-4AA1-A1A1-7884AF20B5A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N15" authorId="0" shapeId="0" xr:uid="{18750DAE-CB4B-493B-A2DB-88B3FA718CE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Slapi Turda</t>
        </r>
      </text>
    </comment>
    <comment ref="O15" authorId="0" shapeId="0" xr:uid="{97703B6D-5FDD-4DB3-9FD3-4363C157222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P15" authorId="0" shapeId="0" xr:uid="{35D716E2-8A9F-441A-BF03-DEC5501536E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Carrefour Bucuresti</t>
        </r>
      </text>
    </comment>
    <comment ref="W15" authorId="0" shapeId="0" xr:uid="{5325FEDB-AEA9-40C9-947A-B650FECA756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Bus Santorini + Restaurant Santorini + Bus Santorini + ATV Santorini + Gyros Santorini + Apa Finikia + Magneti Oia +Tur vapor Santorini + Transfer aeroport Santorini + Bus Santorini + Print bilete + Inghetata + Consum pe barca + Intrare vulcan + ...</t>
        </r>
      </text>
    </comment>
    <comment ref="X15" authorId="0" shapeId="0" xr:uid="{E6BFE12A-536E-455E-9521-6D754025B88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Rompetrol</t>
        </r>
      </text>
    </comment>
    <comment ref="Y15" authorId="0" shapeId="0" xr:uid="{F81BD1E6-CB23-4C9D-9F1F-44014C093ED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Z15" authorId="0" shapeId="0" xr:uid="{82BF9458-2B6B-4284-A06B-4676C04A682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A15" authorId="0" shapeId="0" xr:uid="{CCE07129-EC19-4422-AF9D-242B046F0C7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C15" authorId="0" shapeId="0" xr:uid="{A35EDC42-D845-4E1D-B74C-96DAACD076A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Orange Iubitica</t>
        </r>
      </text>
    </comment>
    <comment ref="AD15" authorId="0" shapeId="0" xr:uid="{BD0A2ADB-C453-4C98-8944-58C8DFB55FB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E15" authorId="0" shapeId="0" xr:uid="{E5E832D0-A3E9-4402-B8D6-B786AE3012F0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Kaufland Turda</t>
        </r>
      </text>
    </comment>
    <comment ref="AH15" authorId="0" shapeId="0" xr:uid="{3588749A-CAF8-4550-BB2B-A0268CA18D7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K15" authorId="0" shapeId="0" xr:uid="{A6FB6427-2C4D-4E01-9AE8-9908FBFA040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J17" authorId="0" shapeId="0" xr:uid="{980C3831-C179-439F-A358-AF5DE739C7D4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M17" authorId="0" shapeId="0" xr:uid="{9A8F1DBC-ED52-4DCC-9375-9984514D5378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Sandale plaja Deichmann</t>
        </r>
      </text>
    </comment>
    <comment ref="P17" authorId="0" shapeId="0" xr:uid="{BBB0928E-108A-4240-AC12-A48C276142D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Profi Turda</t>
        </r>
      </text>
    </comment>
    <comment ref="W17" authorId="0" shapeId="0" xr:uid="{601F3084-C39F-4FA2-819C-12A9C49616C1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Benzina ATV + Restaurant + Market + Benzina ATV + Market</t>
        </r>
      </text>
    </comment>
    <comment ref="X17" authorId="0" shapeId="0" xr:uid="{D0B8BD61-B5F6-4243-81C1-57FADE3E6556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Gustare B-Turda</t>
        </r>
      </text>
    </comment>
    <comment ref="Y17" authorId="0" shapeId="0" xr:uid="{7B7B52C6-5CC9-4DB2-A238-E73EEB8B6A2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Z17" authorId="0" shapeId="0" xr:uid="{550D6F3E-2EFF-41C2-84EC-6674AC3A897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Factura apa (30.05-23.06)</t>
        </r>
      </text>
    </comment>
    <comment ref="AC17" authorId="0" shapeId="0" xr:uid="{5D425447-B7E2-4D2F-983F-F53827C272F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Auchan Turda</t>
        </r>
      </text>
    </comment>
    <comment ref="AE17" authorId="0" shapeId="0" xr:uid="{12B9E204-2C65-4C8C-AF34-3B45009AA25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X19" authorId="0" shapeId="0" xr:uid="{E20D5E8D-5226-4AAA-A949-924D7F262632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Parcare Otopeni</t>
        </r>
      </text>
    </comment>
    <comment ref="Y19" authorId="0" shapeId="0" xr:uid="{5CD4D162-21C1-4461-901D-7CBB660C18B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Lidl Turda</t>
        </r>
      </text>
    </comment>
    <comment ref="X21" authorId="0" shapeId="0" xr:uid="{891EDA92-3554-49A0-9056-63D79826DF0A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ROUND UP</t>
        </r>
      </text>
    </comment>
    <comment ref="A35" authorId="0" shapeId="0" xr:uid="{2785300B-6225-450D-A769-5E3E144B27C7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Obiectiv 16-35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0B2053C5-4F77-49E2-8CB3-D7D9E6526E7D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I3" authorId="0" shapeId="0" xr:uid="{51736818-DFB4-4D53-B679-26DC1C0A00A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SG</t>
        </r>
      </text>
    </comment>
    <comment ref="K3" authorId="0" shapeId="0" xr:uid="{E5A8D944-E4A4-4DBB-A044-AF6AC3CC053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bancomat</t>
        </r>
      </text>
    </comment>
    <comment ref="L3" authorId="0" shapeId="0" xr:uid="{47EFCB4D-A221-4A5C-91AD-DBC02BDF306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SG</t>
        </r>
      </text>
    </comment>
    <comment ref="P3" authorId="0" shapeId="0" xr:uid="{B62F6034-7737-4136-850C-98106FDA32D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Transport SG feb-iun</t>
        </r>
      </text>
    </comment>
    <comment ref="Q3" authorId="0" shapeId="0" xr:uid="{679B88BC-EF58-4053-BD3D-88792BEC16E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S3" authorId="0" shapeId="0" xr:uid="{E3254802-C258-4E75-A0CC-887615889DB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Rochie Adina</t>
        </r>
      </text>
    </comment>
    <comment ref="Y3" authorId="0" shapeId="0" xr:uid="{69929F8C-59D5-4E9F-A39B-46E70A37DE6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Cadou tata</t>
        </r>
      </text>
    </comment>
    <comment ref="AF3" authorId="0" shapeId="0" xr:uid="{2461CE6A-D559-401A-BAD3-2754A9CA44E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AH3" authorId="0" shapeId="0" xr:uid="{BE9214FE-9BAE-416B-8D66-4C952DB4730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Potaissa</t>
        </r>
      </text>
    </comment>
    <comment ref="AK3" authorId="0" shapeId="0" xr:uid="{6206398B-C11C-4CA2-9BDC-3F61FB18A59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Bursa</t>
        </r>
      </text>
    </comment>
    <comment ref="P5" authorId="0" shapeId="0" xr:uid="{E5E7BA50-1B94-4F0B-83FB-4A96D80056B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Transport SG iul</t>
        </r>
      </text>
    </comment>
    <comment ref="I13" authorId="0" shapeId="0" xr:uid="{70D72A51-2D75-4BD9-B891-90DBDCF7F87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internet</t>
        </r>
      </text>
    </comment>
    <comment ref="J13" authorId="0" shapeId="0" xr:uid="{3776262D-59B5-47DD-A75F-328525D261B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K13" authorId="0" shapeId="0" xr:uid="{4AA6F61E-19ED-4947-B45D-7AC339B023D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numerar</t>
        </r>
      </text>
    </comment>
    <comment ref="L13" authorId="0" shapeId="0" xr:uid="{C56D3212-C449-4EF2-A16B-5A817EEF110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Livrare materiale</t>
        </r>
      </text>
    </comment>
    <comment ref="N13" authorId="0" shapeId="0" xr:uid="{2E916AE7-C580-4703-BC77-501CFC8F9C8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O13" authorId="0" shapeId="0" xr:uid="{FCC1A76F-96E9-4F38-A345-964D3BBAC24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Economii</t>
        </r>
      </text>
    </comment>
    <comment ref="P13" authorId="0" shapeId="0" xr:uid="{E624A571-9A01-4EDD-AEF0-1472F748A8D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Spalatorie
</t>
        </r>
      </text>
    </comment>
    <comment ref="Q13" authorId="0" shapeId="0" xr:uid="{F2931CFA-02E3-4EE3-A825-2B87FFDAAC7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MOL</t>
        </r>
      </text>
    </comment>
    <comment ref="S13" authorId="0" shapeId="0" xr:uid="{D1FBA063-99D3-4459-A1AB-220199EF5A2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Apa, inghetata, absorbante, covrigei, biletele</t>
        </r>
      </text>
    </comment>
    <comment ref="T13" authorId="0" shapeId="0" xr:uid="{A5E9ECF5-FE77-4EDA-9F63-A5D829E78C2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Nisan Turda</t>
        </r>
      </text>
    </comment>
    <comment ref="U13" authorId="0" shapeId="0" xr:uid="{FB5A8F72-A137-42FC-8835-1A48B5C80CD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V13" authorId="0" shapeId="0" xr:uid="{3006B422-6B1E-4976-9F88-CCC8C8E18F1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Shaorma</t>
        </r>
      </text>
    </comment>
    <comment ref="W13" authorId="0" shapeId="0" xr:uid="{D48B610F-0C84-4DDB-B907-075BF01351E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X13" authorId="0" shapeId="0" xr:uid="{65E26A7F-AD5E-4F5B-AD94-237FE4C07C8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Cartela orange</t>
        </r>
      </text>
    </comment>
    <comment ref="Y13" authorId="0" shapeId="0" xr:uid="{DAFA4806-1E1A-4FBB-8D86-C2FDABA66C2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Chirie Turda</t>
        </r>
      </text>
    </comment>
    <comment ref="AA13" authorId="0" shapeId="0" xr:uid="{8D59D69C-8FCB-4A5B-8C83-6C2EC61D5DE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apa</t>
        </r>
      </text>
    </comment>
    <comment ref="AC13" authorId="0" shapeId="0" xr:uid="{C70AA0AE-54A9-40DD-ABCC-E91F4A6943E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AD13" authorId="0" shapeId="0" xr:uid="{6140008F-6949-4E5E-9693-914D9A2EFE9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Haine</t>
        </r>
      </text>
    </comment>
    <comment ref="AE13" authorId="0" shapeId="0" xr:uid="{353F06A7-55B8-4A4A-BC20-800CA2D2FF6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Cheltuieli bloc Turda</t>
        </r>
      </text>
    </comment>
    <comment ref="AF13" authorId="0" shapeId="0" xr:uid="{9B33013F-7A44-4266-94F2-A9F93EE1831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Frizerie</t>
        </r>
      </text>
    </comment>
    <comment ref="AH13" authorId="0" shapeId="0" xr:uid="{4691CC45-1FF2-4833-BBF9-0D6E4924DD2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MOL Turda</t>
        </r>
      </text>
    </comment>
    <comment ref="AI13" authorId="0" shapeId="0" xr:uid="{4E6900E4-BDDD-4588-8D8E-C9635034759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Nisan Turda</t>
        </r>
      </text>
    </comment>
    <comment ref="AJ13" authorId="0" shapeId="0" xr:uid="{052B09CC-D9C9-4E22-8012-1078CEEE483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AL13" authorId="0" shapeId="0" xr:uid="{49142D4C-ECCA-4187-AE5D-FD245D7E5E0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Imprumutat Mihai</t>
        </r>
      </text>
    </comment>
    <comment ref="I15" authorId="0" shapeId="0" xr:uid="{14C9AFD7-2DEF-4EEE-91D1-8E3B9473B00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J15" authorId="0" shapeId="0" xr:uid="{BCED8FEF-4F83-43F3-A0F5-BE61B0D1B80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N15" authorId="0" shapeId="0" xr:uid="{62E3B3E5-7DB2-4416-BFFA-E6CED01F2B5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
</t>
        </r>
      </text>
    </comment>
    <comment ref="Q15" authorId="0" shapeId="0" xr:uid="{DCAE36CC-955F-4375-B7B0-CBA84A23C04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U15" authorId="0" shapeId="0" xr:uid="{4B55D69B-5218-4885-BE85-77386DF1290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RomPetrol</t>
        </r>
      </text>
    </comment>
    <comment ref="V15" authorId="0" shapeId="0" xr:uid="{A2B83AE1-ACA2-4787-B48E-1827B463688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Comision card</t>
        </r>
      </text>
    </comment>
    <comment ref="W15" authorId="0" shapeId="0" xr:uid="{F1B2295B-4D0F-4B96-9F42-5714876D7A9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X15" authorId="0" shapeId="0" xr:uid="{F847259C-62EC-4491-8D74-7E3452E824C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Y15" authorId="0" shapeId="0" xr:uid="{65896ECD-179D-411E-BD89-F5644502A8C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Penny Turda</t>
        </r>
      </text>
    </comment>
    <comment ref="AA15" authorId="0" shapeId="0" xr:uid="{C3BA0943-8A5A-4567-B173-153A1C7C6CA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E15" authorId="0" shapeId="0" xr:uid="{E0156BBF-47BE-45CC-8D47-C9B4511DA40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Cartela Orange</t>
        </r>
      </text>
    </comment>
    <comment ref="AH15" authorId="0" shapeId="0" xr:uid="{344A5C63-1D2E-46AD-AA93-9A454DCDD15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I15" authorId="0" shapeId="0" xr:uid="{43B665BC-4423-4A65-AFFE-9EBA87082D9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J17" authorId="0" shapeId="0" xr:uid="{4AEB6287-125F-4296-8C9E-4C64C69C894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Materiale</t>
        </r>
      </text>
    </comment>
    <comment ref="Q17" authorId="0" shapeId="0" xr:uid="{5E986693-B33A-46A1-8195-D169B897F92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U17" authorId="0" shapeId="0" xr:uid="{2654850C-65EB-40A2-956E-2767D946A34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Aqua</t>
        </r>
      </text>
    </comment>
    <comment ref="AH17" authorId="0" shapeId="0" xr:uid="{818C641F-0D71-4113-8CFA-54B8C5577DE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Energie electrica</t>
        </r>
      </text>
    </comment>
    <comment ref="J19" authorId="0" shapeId="0" xr:uid="{553864A6-4EBF-4806-8BAB-F6BCA2CA81A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Pantaloni Decathlon</t>
        </r>
      </text>
    </comment>
    <comment ref="Q19" authorId="0" shapeId="0" xr:uid="{2362EA7A-7D1B-4FBB-BDD1-C7075313941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Emi&amp;Tania</t>
        </r>
      </text>
    </comment>
    <comment ref="AH19" authorId="0" shapeId="0" xr:uid="{BF208E16-1CE5-41F1-9ABF-9C1E4636283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gaz</t>
        </r>
      </text>
    </comment>
    <comment ref="J21" authorId="0" shapeId="0" xr:uid="{4F5C1C5D-D37D-4250-BCC4-916D3FADBBF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Comision mesaje BT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D3BA094C-095A-4B2D-9EC7-7880AF90E58F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I3" authorId="0" shapeId="0" xr:uid="{935BA3E5-1958-4F04-88A4-473758DD76A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SG</t>
        </r>
      </text>
    </comment>
    <comment ref="M3" authorId="0" shapeId="0" xr:uid="{A05C1E48-34CE-4981-8CF2-9F0D9DF61B6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Mihai </t>
        </r>
      </text>
    </comment>
    <comment ref="P3" authorId="0" shapeId="0" xr:uid="{82AD837D-2907-41A5-B3D5-AD9FE1F404E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PayPal
</t>
        </r>
      </text>
    </comment>
    <comment ref="Q3" authorId="0" shapeId="0" xr:uid="{8D4984FC-3B39-4B3E-88EF-C5412CCC283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Schimb valutar din Euro</t>
        </r>
      </text>
    </comment>
    <comment ref="U3" authorId="0" shapeId="0" xr:uid="{5510CD53-2150-472C-BA58-E6DF3619BF0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Decontare transport</t>
        </r>
      </text>
    </comment>
    <comment ref="X3" authorId="0" shapeId="0" xr:uid="{168D8D65-B8FB-463F-AC98-3AF588D3997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Stelica Todireanu</t>
        </r>
      </text>
    </comment>
    <comment ref="AD3" authorId="0" shapeId="0" xr:uid="{8DFD95FA-657D-4A19-8F3E-164C830816E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Bursa</t>
        </r>
      </text>
    </comment>
    <comment ref="AE3" authorId="0" shapeId="0" xr:uid="{CB686190-5245-4798-888C-2FAD20F3859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AF3" authorId="0" shapeId="0" xr:uid="{9EFCA11C-D37C-41F2-A97F-1A33428408B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ATM</t>
        </r>
      </text>
    </comment>
    <comment ref="AJ3" authorId="0" shapeId="0" xr:uid="{2F78D69A-A84F-436A-93C4-23A7CE86CC5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Potaissa</t>
        </r>
      </text>
    </comment>
    <comment ref="M5" authorId="0" shapeId="0" xr:uid="{7085997F-7D91-4817-B977-2E9CCEFFA00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SG</t>
        </r>
      </text>
    </comment>
    <comment ref="Q5" authorId="0" shapeId="0" xr:uid="{F85CC303-E012-486E-B1C0-5E33DEC8FFC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U5" authorId="0" shapeId="0" xr:uid="{D24D18F9-1F15-4659-85A5-E3647B759F9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numerar
</t>
        </r>
      </text>
    </comment>
    <comment ref="AE5" authorId="0" shapeId="0" xr:uid="{952E2705-BC74-4152-BCD1-00D4A13F92F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 la Diana</t>
        </r>
      </text>
    </comment>
    <comment ref="H13" authorId="0" shapeId="0" xr:uid="{7FDD7281-38F9-412E-AE91-700ADCBA26F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Cont economii</t>
        </r>
      </text>
    </comment>
    <comment ref="I13" authorId="0" shapeId="0" xr:uid="{46E3239A-9026-4E0A-AEC8-99A5F4CC683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Pepco - manusi + forme
</t>
        </r>
      </text>
    </comment>
    <comment ref="J13" authorId="0" shapeId="0" xr:uid="{8576B6DF-2D2B-4529-BD9D-431E4458BF9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Asigurare Malpraxis</t>
        </r>
      </text>
    </comment>
    <comment ref="K13" authorId="0" shapeId="0" xr:uid="{9D7378C3-27EC-4A2C-9E1B-AA4E7DA9C28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Spalatorie</t>
        </r>
      </text>
    </comment>
    <comment ref="L13" authorId="0" shapeId="0" xr:uid="{91BA0D99-16C4-4894-88CD-CA7CAA0BF0B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M13" authorId="0" shapeId="0" xr:uid="{FC544142-BEB4-4BCF-9347-AB562A91B9A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Scoala soferi</t>
        </r>
      </text>
    </comment>
    <comment ref="Q13" authorId="0" shapeId="0" xr:uid="{D297B161-8737-4A3C-930C-EEFB37B0C4E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Parcela 14 (parte din cei 20%)</t>
        </r>
      </text>
    </comment>
    <comment ref="R13" authorId="0" shapeId="0" xr:uid="{3E706B17-6F54-4F81-B2CF-E3F0C29CCB9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Emi&amp;Tania</t>
        </r>
      </text>
    </comment>
    <comment ref="S13" authorId="0" shapeId="0" xr:uid="{003739DE-0D98-47C4-A5F8-29C2B5EFD2F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U13" authorId="0" shapeId="0" xr:uid="{27EAAE6A-E74A-413B-8387-01987C0A686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Inscriere colegiu fizioterapeuti</t>
        </r>
      </text>
    </comment>
    <comment ref="V13" authorId="0" shapeId="0" xr:uid="{7A13878F-E4AE-479D-A18E-19D3C41C613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W13" authorId="0" shapeId="0" xr:uid="{A3C1D860-CBBF-4AE2-A2A3-6F54E5E938F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Cartela orange</t>
        </r>
      </text>
    </comment>
    <comment ref="X13" authorId="0" shapeId="0" xr:uid="{A375EEB9-0601-4739-90B9-B631D66A319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Pepco</t>
        </r>
      </text>
    </comment>
    <comment ref="Z13" authorId="0" shapeId="0" xr:uid="{C5FBE8C5-5B04-4E8B-8A32-F5C56C953A3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Chirie</t>
        </r>
      </text>
    </comment>
    <comment ref="AA13" authorId="0" shapeId="0" xr:uid="{FAC965DD-50E5-4F84-8216-BF276884A0B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Spartan Cluj</t>
        </r>
      </text>
    </comment>
    <comment ref="AE13" authorId="0" shapeId="0" xr:uid="{E75EAA5A-AA3F-4F80-AE94-9678BC18B88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Costume medicale</t>
        </r>
      </text>
    </comment>
    <comment ref="AF13" authorId="0" shapeId="0" xr:uid="{CE78B2D0-D2C5-4509-9E77-1CE8BE5DCE3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gaz + electric</t>
        </r>
      </text>
    </comment>
    <comment ref="AH13" authorId="0" shapeId="0" xr:uid="{CFE6440A-84DF-4318-B87E-9E2912E304C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K13" authorId="0" shapeId="0" xr:uid="{7C7BF5AE-A93C-4233-A56A-3E0B00F4D7E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Dulap servici</t>
        </r>
      </text>
    </comment>
    <comment ref="H15" authorId="0" shapeId="0" xr:uid="{7C0A4BC1-7D40-4529-A83E-4F5357E4059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Vodafone</t>
        </r>
      </text>
    </comment>
    <comment ref="I15" authorId="0" shapeId="0" xr:uid="{D7A65D47-40E8-4B52-B9D2-AD23369C54C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Materiale + nasturei</t>
        </r>
      </text>
    </comment>
    <comment ref="J15" authorId="0" shapeId="0" xr:uid="{1DA28C29-E234-42A2-8444-B501D32FF7B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Taxa SMS</t>
        </r>
      </text>
    </comment>
    <comment ref="K15" authorId="0" shapeId="0" xr:uid="{F75DCB07-3EEE-49E0-92DA-97721600559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Diana Potaissa</t>
        </r>
      </text>
    </comment>
    <comment ref="L15" authorId="0" shapeId="0" xr:uid="{2869AEAD-8D9F-43E9-9BC9-8B47D23101A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M15" authorId="0" shapeId="0" xr:uid="{958A0F9B-D1C3-48C7-823F-B597BAAC895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0" shapeId="0" xr:uid="{5BA0580D-E474-4FB7-BAAA-09280764F49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Schimb valutar din euro in lei</t>
        </r>
      </text>
    </comment>
    <comment ref="R15" authorId="0" shapeId="0" xr:uid="{585ED8D5-6EA5-4D58-91C1-22528896FE0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Mol Turda</t>
        </r>
      </text>
    </comment>
    <comment ref="S15" authorId="0" shapeId="0" xr:uid="{2D399CB0-5FE7-4CE6-A156-BA6D245C617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U15" authorId="0" shapeId="0" xr:uid="{FC644457-3397-4CEA-A9C6-26EA3FC85CA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ATM</t>
        </r>
      </text>
    </comment>
    <comment ref="V15" authorId="0" shapeId="0" xr:uid="{FA079460-5BD6-4D5C-9282-973EC9C1B19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A15" authorId="0" shapeId="0" xr:uid="{1DBC27AD-1786-41AF-AB8F-875989683D8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Carrefour Cluj</t>
        </r>
      </text>
    </comment>
    <comment ref="AF15" authorId="0" shapeId="0" xr:uid="{84F96238-8B33-4739-95DD-471AF457354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
</t>
        </r>
      </text>
    </comment>
    <comment ref="AH15" authorId="0" shapeId="0" xr:uid="{D0F69CE0-D242-4DD9-99A3-0B0AF72B215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</t>
        </r>
      </text>
    </comment>
    <comment ref="H17" authorId="0" shapeId="0" xr:uid="{3277C790-09EE-40DF-9A4B-B7EB2BEBF4D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I17" authorId="0" shapeId="0" xr:uid="{3DBE6140-3028-4F8C-B321-5B372903B71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Pastile eMag</t>
        </r>
      </text>
    </comment>
    <comment ref="J17" authorId="0" shapeId="0" xr:uid="{408854B3-CD73-4C65-B456-97B2DD2A8B8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</t>
        </r>
      </text>
    </comment>
    <comment ref="L17" authorId="0" shapeId="0" xr:uid="{F31378FE-1210-43B8-8C6E-939495D2853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R17" authorId="0" shapeId="0" xr:uid="{70440CA0-8EB9-4E68-8C9F-4F6E977607A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S17" authorId="0" shapeId="0" xr:uid="{ECDAF6EB-29FE-4E25-AAD5-95FB04BBFE7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U17" authorId="0" shapeId="0" xr:uid="{17EE13E7-BC22-4B9E-88DF-2CF19814B31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Analize pentru permis</t>
        </r>
      </text>
    </comment>
    <comment ref="V17" authorId="0" shapeId="0" xr:uid="{96457C02-66B2-4EAE-89B1-100E79913ED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Taxa card euro</t>
        </r>
      </text>
    </comment>
    <comment ref="AA17" authorId="0" shapeId="0" xr:uid="{F34C8370-9575-469A-A419-A909B49097C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F17" authorId="0" shapeId="0" xr:uid="{C774CAB9-7B72-4845-BB96-7BD5ED1BED0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H17" authorId="0" shapeId="0" xr:uid="{163DCE64-0795-4D33-834F-FDC68A47EAB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Cartela orange</t>
        </r>
      </text>
    </comment>
    <comment ref="L19" authorId="0" shapeId="0" xr:uid="{F4CDC748-F8B8-40E5-B01A-EEB11471C90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Betel Zorilor</t>
        </r>
      </text>
    </comment>
    <comment ref="R19" authorId="0" shapeId="0" xr:uid="{3917DBF5-C31A-4841-BD62-5DDAC67B854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S19" authorId="0" shapeId="0" xr:uid="{AB4094D3-AB76-4C04-A24B-F10AA940244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</t>
        </r>
      </text>
    </comment>
    <comment ref="AA19" authorId="0" shapeId="0" xr:uid="{0C3C8FAF-53C0-4E7C-836B-9E9A58EB798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Carrefour Cluj</t>
        </r>
      </text>
    </comment>
    <comment ref="AF19" authorId="0" shapeId="0" xr:uid="{ED7B4909-4612-46B8-821A-22E18276436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MOL</t>
        </r>
      </text>
    </comment>
    <comment ref="AA21" authorId="0" shapeId="0" xr:uid="{A6227D14-2713-4AAC-8127-E8D17782A7C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Caiet prunis</t>
        </r>
      </text>
    </comment>
    <comment ref="AF21" authorId="0" shapeId="0" xr:uid="{64C0B4D4-12B3-4BDD-A1DB-F0869CA6334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Retragere ATM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56D50B81-66D8-4FF4-B82E-99ACA2EABE49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H3" authorId="0" shapeId="0" xr:uid="{B80C88D5-302D-414B-A842-F2A42530F2B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SG</t>
        </r>
      </text>
    </comment>
    <comment ref="J3" authorId="0" shapeId="0" xr:uid="{B9210562-129A-4D5A-A4DB-75006C1E08A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Andrei (cash)</t>
        </r>
      </text>
    </comment>
    <comment ref="L3" authorId="0" shapeId="0" xr:uid="{DA0DAF32-7159-449B-A303-7BCB516BCF7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SG</t>
        </r>
      </text>
    </comment>
    <comment ref="O3" authorId="0" shapeId="0" xr:uid="{E540856D-E018-4F21-844C-4EA2863E27C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Q3" authorId="0" shapeId="0" xr:uid="{8B434644-7C3F-4105-9FF0-76ED87BE450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 BT</t>
        </r>
      </text>
    </comment>
    <comment ref="V3" authorId="0" shapeId="0" xr:uid="{AA3A902F-7E4D-479B-B8A8-D96A0776C18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Y3" authorId="0" shapeId="0" xr:uid="{51C0C65D-DBCB-45BF-BCF0-088271BAE59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UpWork</t>
        </r>
      </text>
    </comment>
    <comment ref="AA3" authorId="0" shapeId="0" xr:uid="{13E01A84-F96B-44AE-A1CF-A282D6ABBB4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AF3" authorId="0" shapeId="0" xr:uid="{0C1D3BE1-4FDF-4614-BE20-03C34CF6F4A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UpWork</t>
        </r>
      </text>
    </comment>
    <comment ref="AH3" authorId="0" shapeId="0" xr:uid="{CB766BDC-9188-4D20-A3E4-302F8E0C205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 la Andrei
</t>
        </r>
      </text>
    </comment>
    <comment ref="AI3" authorId="0" shapeId="0" xr:uid="{0DD1BAA6-4355-48B0-84DC-1C18D67C1F8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Potaissa</t>
        </r>
      </text>
    </comment>
    <comment ref="H5" authorId="0" shapeId="0" xr:uid="{9887D463-9670-43C9-902F-6A0A76AAB03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Transfer cont euro</t>
        </r>
      </text>
    </comment>
    <comment ref="AF5" authorId="0" shapeId="0" xr:uid="{0C50D914-63A6-44E4-8416-26C07C3FA4D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AH5" authorId="0" shapeId="0" xr:uid="{D7F1CA69-9049-4414-B013-3361B51182F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H13" authorId="0" shapeId="0" xr:uid="{A9ED123E-A50D-4476-BD24-C034BDE1BF4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Schimb valutar</t>
        </r>
      </text>
    </comment>
    <comment ref="I13" authorId="0" shapeId="0" xr:uid="{2456F680-AFF0-4B5F-8E8D-B2F616C858D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Parcela 14 - Rest din 20% (1933 Euro)</t>
        </r>
      </text>
    </comment>
    <comment ref="J13" authorId="0" shapeId="0" xr:uid="{A2918024-BAB8-4A3E-96FA-6489C793E61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Andrei</t>
        </r>
      </text>
    </comment>
    <comment ref="K13" authorId="0" shapeId="0" xr:uid="{A1B98D25-9A72-4652-BE36-CBFF20EC122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Chestii chiscu</t>
        </r>
      </text>
    </comment>
    <comment ref="M13" authorId="0" shapeId="0" xr:uid="{40959F7D-92F2-47C9-BFD1-6DCADE1C499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Gentute</t>
        </r>
      </text>
    </comment>
    <comment ref="N13" authorId="0" shapeId="0" xr:uid="{A4D9D557-D85A-45C6-B504-382D44F1B17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Platit Mihai</t>
        </r>
      </text>
    </comment>
    <comment ref="O13" authorId="0" shapeId="0" xr:uid="{917F7564-A906-4D00-8B73-8C26B4B2ED5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Emi&amp;Tania</t>
        </r>
      </text>
    </comment>
    <comment ref="Q13" authorId="0" shapeId="0" xr:uid="{76BF3A5D-A6ED-4DEF-B70F-6F4537DE8C8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Spalatorie</t>
        </r>
      </text>
    </comment>
    <comment ref="V13" authorId="0" shapeId="0" xr:uid="{1E2298C9-8FAF-4E23-82F7-EB2DFD5E9CA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Sosetele</t>
        </r>
      </text>
    </comment>
    <comment ref="W13" authorId="0" shapeId="0" xr:uid="{01AC761A-F85E-4092-A72E-4A8DD152C5D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X13" authorId="0" shapeId="0" xr:uid="{69BEA96D-844D-44A2-B779-EB197BD6D48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apa august</t>
        </r>
      </text>
    </comment>
    <comment ref="Y13" authorId="0" shapeId="0" xr:uid="{54539CC6-7176-407F-A004-99933189270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Orange</t>
        </r>
      </text>
    </comment>
    <comment ref="AA13" authorId="0" shapeId="0" xr:uid="{07A21C4F-8CE9-47B1-AA2A-4E82B8E491A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Lukoil Turda</t>
        </r>
      </text>
    </comment>
    <comment ref="AB13" authorId="0" shapeId="0" xr:uid="{AB8DA546-E3A4-4E99-AB9E-99A0715EB7C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Cheltuieli bloc</t>
        </r>
      </text>
    </comment>
    <comment ref="AD13" authorId="0" shapeId="0" xr:uid="{658C911F-ADFD-4EFF-9660-6EDAE6921A7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Chestii</t>
        </r>
      </text>
    </comment>
    <comment ref="AF13" authorId="0" shapeId="0" xr:uid="{95C8BB6E-8BF7-4112-9D1F-96B6F1EA949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Internet Vodafone</t>
        </r>
      </text>
    </comment>
    <comment ref="AG13" authorId="0" shapeId="0" xr:uid="{C802857F-370F-4124-AFE7-2343422892A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Cartela Orange</t>
        </r>
      </text>
    </comment>
    <comment ref="AH13" authorId="0" shapeId="0" xr:uid="{C8795B66-7B2E-4B98-95B6-12388D4ACAF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Andrei</t>
        </r>
      </text>
    </comment>
    <comment ref="AI13" authorId="0" shapeId="0" xr:uid="{FC9AF8C1-5257-4E88-AE62-52B4A6E856B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gaz</t>
        </r>
      </text>
    </comment>
    <comment ref="AK13" authorId="0" shapeId="0" xr:uid="{9438790D-046E-4230-8928-65092F025C2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I15" authorId="0" shapeId="0" xr:uid="{9C096088-EAE1-4055-8239-0BEA235D24F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Cont economii</t>
        </r>
      </text>
    </comment>
    <comment ref="K15" authorId="0" shapeId="0" xr:uid="{55F1F0BF-4857-4041-91DC-ABB7301BEF6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Taxa sms BT</t>
        </r>
      </text>
    </comment>
    <comment ref="Q15" authorId="0" shapeId="0" xr:uid="{944FBCB4-F1C2-48EE-BAF1-B38AE99FE0F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Sacou</t>
        </r>
      </text>
    </comment>
    <comment ref="T15" authorId="0" shapeId="0" xr:uid="{24B2A25A-2A70-435D-9C49-7C0FF1AD277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Mancare</t>
        </r>
      </text>
    </comment>
    <comment ref="V15" authorId="0" shapeId="0" xr:uid="{A977D0AE-E8FB-4D1A-A1A8-E96F5A26A65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Materiale</t>
        </r>
      </text>
    </comment>
    <comment ref="W15" authorId="0" shapeId="0" xr:uid="{9D7DDCBE-4185-4178-82BE-99AEF84B8EC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X15" authorId="0" shapeId="0" xr:uid="{D856A74E-9393-41BA-9F36-3038A2E327F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apa septembrie</t>
        </r>
      </text>
    </comment>
    <comment ref="AA15" authorId="0" shapeId="0" xr:uid="{AEC064AD-CC80-4799-832F-6AB329AA804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F15" authorId="0" shapeId="0" xr:uid="{DEB0CD82-FE8B-44FB-B6BB-FA75FD76C27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G15" authorId="0" shapeId="0" xr:uid="{42DF1356-466B-4F95-AD28-AC5EB26681C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</t>
        </r>
      </text>
    </comment>
    <comment ref="AH15" authorId="0" shapeId="0" xr:uid="{FD37699D-10D5-4141-B073-493ECECA7F5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AI15" authorId="0" shapeId="0" xr:uid="{62144F13-670D-47EB-B4E6-BF5FBA7651A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electricitate</t>
        </r>
      </text>
    </comment>
    <comment ref="AK15" authorId="0" shapeId="0" xr:uid="{B4B6DC0A-A0C4-4AE0-89CE-E22B94419A5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Placa ondulat</t>
        </r>
      </text>
    </comment>
    <comment ref="I17" authorId="0" shapeId="0" xr:uid="{1B8B1049-0A83-4C47-ADE1-7C9813A0D8B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Lidl Turda</t>
        </r>
      </text>
    </comment>
    <comment ref="Q17" authorId="0" shapeId="0" xr:uid="{07F19564-B243-4B4D-B129-BA11C0D8D76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 BT</t>
        </r>
      </text>
    </comment>
    <comment ref="V17" authorId="0" shapeId="0" xr:uid="{B120B85D-8C7C-4EBB-B221-78BB8F6CC63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Foarfece croitorie</t>
        </r>
      </text>
    </comment>
    <comment ref="W17" authorId="0" shapeId="0" xr:uid="{AB42F9A4-E30D-4BB4-90C0-BA1E19B6823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X17" authorId="0" shapeId="0" xr:uid="{959DA02D-E10C-479B-96FB-B8C44E2D191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A17" authorId="0" shapeId="0" xr:uid="{60EA41B9-AB59-418F-B208-C66679CC4D8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AH17" authorId="0" shapeId="0" xr:uid="{ED237D18-AE2C-42C8-B1EB-BBDF7154B33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Kik</t>
        </r>
      </text>
    </comment>
    <comment ref="AI17" authorId="0" shapeId="0" xr:uid="{99D8374D-BF0A-45E9-9317-C417BA606AC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AK17" authorId="0" shapeId="0" xr:uid="{E4DD4275-002D-4909-AD8C-44E6940D9A3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Q19" authorId="0" shapeId="0" xr:uid="{7991C873-03B9-4D31-81A4-8A3AEDF975A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Auchan Turda</t>
        </r>
      </text>
    </comment>
    <comment ref="V19" authorId="0" shapeId="0" xr:uid="{EDDC8DF5-7973-448E-8055-C09E8CB891F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Comision
</t>
        </r>
      </text>
    </comment>
    <comment ref="X19" authorId="0" shapeId="0" xr:uid="{675198E0-98A1-4050-8820-7171E60F5B9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Chirie</t>
        </r>
      </text>
    </comment>
    <comment ref="AA19" authorId="0" shapeId="0" xr:uid="{200A30A4-E6B5-4DD3-84D3-A3468BB2C10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Portofel</t>
        </r>
      </text>
    </comment>
    <comment ref="AH19" authorId="0" shapeId="0" xr:uid="{46B06A2B-DF01-47F6-BBB7-8A9C573C41F7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Materiale haine</t>
        </r>
      </text>
    </comment>
    <comment ref="AA21" authorId="0" shapeId="0" xr:uid="{495724D6-D4D0-407E-BBCA-FE9F06994EA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Pantaloni</t>
        </r>
      </text>
    </comment>
    <comment ref="AH21" authorId="0" shapeId="0" xr:uid="{7D3E4757-778C-4324-84E0-2107514657E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 toate pentru chiscuta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Octavian Rusu</author>
  </authors>
  <commentList>
    <comment ref="E3" authorId="0" shapeId="0" xr:uid="{A3CF2070-6F83-472C-879F-F3BB9B3E0885}">
      <text>
        <r>
          <rPr>
            <b/>
            <sz val="9"/>
            <color indexed="81"/>
            <rFont val="Segoe UI"/>
            <family val="2"/>
          </rPr>
          <t>Octavian Rusu:</t>
        </r>
        <r>
          <rPr>
            <sz val="9"/>
            <color indexed="81"/>
            <rFont val="Segoe UI"/>
            <family val="2"/>
          </rPr>
          <t xml:space="preserve">
400 Euro Wifey</t>
        </r>
      </text>
    </comment>
    <comment ref="I3" authorId="0" shapeId="0" xr:uid="{BF313D7A-A075-4F21-971E-DF2FD4C9885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SG</t>
        </r>
      </text>
    </comment>
    <comment ref="J3" authorId="0" shapeId="0" xr:uid="{399A5CFF-AEE2-4D64-A18B-2D775FC9899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Bonuri SG</t>
        </r>
      </text>
    </comment>
    <comment ref="K3" authorId="0" shapeId="0" xr:uid="{753ECD9A-1473-4106-812D-F597947120E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Transfer euro</t>
        </r>
      </text>
    </comment>
    <comment ref="O3" authorId="0" shapeId="0" xr:uid="{54DA7AD3-1295-4E85-901F-9A5AFA34ADD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P3" authorId="0" shapeId="0" xr:uid="{24372EC8-E58F-4739-888F-1500E28ABB1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Salariu Potaissa</t>
        </r>
      </text>
    </comment>
    <comment ref="Q3" authorId="0" shapeId="0" xr:uid="{B9B593F3-F525-4528-98B7-A20F3BCC888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Decontare transport septembrie</t>
        </r>
      </text>
    </comment>
    <comment ref="R3" authorId="0" shapeId="0" xr:uid="{081B2F64-EFAE-40A1-B62E-FE0535D528B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Decontare transport Octombrie</t>
        </r>
      </text>
    </comment>
    <comment ref="W3" authorId="0" shapeId="0" xr:uid="{63D46B24-4D04-49AF-BE30-26C10A25D29A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I5" authorId="0" shapeId="0" xr:uid="{B10E4AA6-1FDA-42D9-907F-6915F4E61F2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De la Diana</t>
        </r>
      </text>
    </comment>
    <comment ref="K5" authorId="0" shapeId="0" xr:uid="{D2EF36DF-303A-41AE-A461-09101595935C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H13" authorId="0" shapeId="0" xr:uid="{F3D17353-FE92-4B51-AEFA-51C6FAD3702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Pantaloni + cleste bucatarie</t>
        </r>
      </text>
    </comment>
    <comment ref="I13" authorId="0" shapeId="0" xr:uid="{2001E01C-9C59-4925-AF34-288EA9C7251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CONT ECONOMII</t>
        </r>
      </text>
    </comment>
    <comment ref="K13" authorId="0" shapeId="0" xr:uid="{4D6B206E-47B6-42C4-8B20-7B0D5776EE1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Transfer euro in lei</t>
        </r>
      </text>
    </comment>
    <comment ref="L13" authorId="0" shapeId="0" xr:uid="{E5EA87F9-6DE6-44BF-AAB8-2E063681235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Paine Nisan</t>
        </r>
      </text>
    </comment>
    <comment ref="M13" authorId="0" shapeId="0" xr:uid="{170B7C80-3E0C-4FA1-8882-8FDFC2CE0816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Benzina MOL</t>
        </r>
      </text>
    </comment>
    <comment ref="N13" authorId="0" shapeId="0" xr:uid="{3BEE5705-D029-4E36-B15F-2B2D2C795A7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 mancare</t>
        </r>
      </text>
    </comment>
    <comment ref="O13" authorId="0" shapeId="0" xr:uid="{19DA6221-06E5-4321-923B-44F10580DDE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Tuns Ea</t>
        </r>
      </text>
    </comment>
    <comment ref="P13" authorId="0" shapeId="0" xr:uid="{B7E87137-6211-4527-B6D5-024AC27997BD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Rata 2 scoala soferi B</t>
        </r>
      </text>
    </comment>
    <comment ref="Q13" authorId="0" shapeId="0" xr:uid="{058BD9D2-B934-4AFE-85F4-17ADAB914B5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Emi &amp; Tania</t>
        </r>
      </text>
    </comment>
    <comment ref="U13" authorId="0" shapeId="0" xr:uid="{F7E2FC34-DE7E-4420-8588-EEFA044B4D0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Ate crosetat</t>
        </r>
      </text>
    </comment>
    <comment ref="V13" authorId="0" shapeId="0" xr:uid="{1BFFD7DC-25FC-431C-9300-98B4236EBFD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Curs gravide</t>
        </r>
      </text>
    </comment>
    <comment ref="W13" authorId="0" shapeId="0" xr:uid="{6FA07753-D187-4910-92DD-47759D9C112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K15" authorId="0" shapeId="0" xr:uid="{6A297ADB-D6C4-4EF3-BD76-B7D48879912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L15" authorId="0" shapeId="0" xr:uid="{C149BE80-7469-4E0F-B9B7-DE7054D5938B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Kik</t>
        </r>
      </text>
    </comment>
    <comment ref="M15" authorId="0" shapeId="0" xr:uid="{BC4966A6-C119-421A-863F-E2F232E14C55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N15" authorId="0" shapeId="0" xr:uid="{86D178CD-83D8-4CE6-BCC5-B633B2E2E731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Aparat Wafe + detergent vase</t>
        </r>
      </text>
    </comment>
    <comment ref="O15" authorId="0" shapeId="0" xr:uid="{7C9EC03C-212D-483B-810B-16E5B86F453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Pepco</t>
        </r>
      </text>
    </comment>
    <comment ref="U15" authorId="0" shapeId="0" xr:uid="{D02FB157-C7EB-4502-BF50-7EF1A97D72EE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Kaufland Turda</t>
        </r>
      </text>
    </comment>
    <comment ref="V15" authorId="0" shapeId="0" xr:uid="{F4FC07D4-99BB-4397-84A4-0029967597C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Comision card</t>
        </r>
      </text>
    </comment>
    <comment ref="W15" authorId="0" shapeId="0" xr:uid="{1348C6E3-E1AE-4804-B0DA-9BE0D65B91E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Factura apa</t>
        </r>
      </text>
    </comment>
    <comment ref="K17" authorId="0" shapeId="0" xr:uid="{037CD46A-4D69-4BEC-9513-E054CBA9BFB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Notariat</t>
        </r>
      </text>
    </comment>
    <comment ref="L17" authorId="0" shapeId="0" xr:uid="{DB59D92E-EAE8-4467-A535-DD06A2C76D68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Mesaje BT</t>
        </r>
      </text>
    </comment>
    <comment ref="M17" authorId="0" shapeId="0" xr:uid="{C3EE0066-F6C2-45E6-9874-7F67C5B751A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Internet Vodafone</t>
        </r>
      </text>
    </comment>
    <comment ref="N17" authorId="0" shapeId="0" xr:uid="{0B494309-0CA9-47A5-BB33-742F92DE8B69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Buchet flori</t>
        </r>
      </text>
    </comment>
    <comment ref="O17" authorId="0" shapeId="0" xr:uid="{95814C06-E0F7-4AA5-94D7-28D1325A0DE4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Bancomat</t>
        </r>
      </text>
    </comment>
    <comment ref="W17" authorId="0" shapeId="0" xr:uid="{FD9FA4ED-AF38-4013-AF53-D742EBC66A12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  <comment ref="K19" authorId="0" shapeId="0" xr:uid="{2359D86C-12DA-431D-8767-35A9D614F4C3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Notariat</t>
        </r>
      </text>
    </comment>
    <comment ref="W19" authorId="0" shapeId="0" xr:uid="{DC3FA6F2-4E02-43A7-8374-2299EE23FA20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Teren 14 Copaceni</t>
        </r>
      </text>
    </comment>
    <comment ref="K21" authorId="0" shapeId="0" xr:uid="{D1F64EED-332D-46BA-84AE-7844ED2DA62F}">
      <text>
        <r>
          <rPr>
            <b/>
            <sz val="9"/>
            <color indexed="81"/>
            <rFont val="Tahoma"/>
            <family val="2"/>
          </rPr>
          <t>Octavian Rusu:</t>
        </r>
        <r>
          <rPr>
            <sz val="9"/>
            <color indexed="81"/>
            <rFont val="Tahoma"/>
            <family val="2"/>
          </rPr>
          <t xml:space="preserve">
ROUND UP</t>
        </r>
      </text>
    </comment>
  </commentList>
</comments>
</file>

<file path=xl/sharedStrings.xml><?xml version="1.0" encoding="utf-8"?>
<sst xmlns="http://schemas.openxmlformats.org/spreadsheetml/2006/main" count="1176" uniqueCount="76">
  <si>
    <t>Luna precedentă</t>
  </si>
  <si>
    <t>Numerar (Euro)</t>
  </si>
  <si>
    <t>Numerar (RON)</t>
  </si>
  <si>
    <t>Card (Euro)</t>
  </si>
  <si>
    <t>Card (RON)</t>
  </si>
  <si>
    <t>Total (RON)</t>
  </si>
  <si>
    <t>Total (Euro)</t>
  </si>
  <si>
    <t>Data</t>
  </si>
  <si>
    <t>Cheltuieli</t>
  </si>
  <si>
    <t>Venituri</t>
  </si>
  <si>
    <t>TOTAL</t>
  </si>
  <si>
    <t>Luna curentă</t>
  </si>
  <si>
    <t>Profit</t>
  </si>
  <si>
    <t>E-bonuri (RON)</t>
  </si>
  <si>
    <t>Chirie</t>
  </si>
  <si>
    <t>Facturi</t>
  </si>
  <si>
    <t>Auto</t>
  </si>
  <si>
    <t>Cost (RON)</t>
  </si>
  <si>
    <t>God</t>
  </si>
  <si>
    <t>Altele</t>
  </si>
  <si>
    <t>Haine + Sanatate</t>
  </si>
  <si>
    <t>Mancare + Casa</t>
  </si>
  <si>
    <t>Separat</t>
  </si>
  <si>
    <t>Initial (28.03)</t>
  </si>
  <si>
    <t>Consumat</t>
  </si>
  <si>
    <t>Salariu</t>
  </si>
  <si>
    <t>Bonuri</t>
  </si>
  <si>
    <t>Cadouri</t>
  </si>
  <si>
    <t>Initial (1.04)</t>
  </si>
  <si>
    <t>Total</t>
  </si>
  <si>
    <t>numerar</t>
  </si>
  <si>
    <t>card</t>
  </si>
  <si>
    <t>+ (pe card)</t>
  </si>
  <si>
    <t>Mancare</t>
  </si>
  <si>
    <t>euro</t>
  </si>
  <si>
    <t>Cadouri/vacante</t>
  </si>
  <si>
    <t>Ingrijire + Casa</t>
  </si>
  <si>
    <t>Initial luna mai</t>
  </si>
  <si>
    <t>Curent</t>
  </si>
  <si>
    <t>RON</t>
  </si>
  <si>
    <t>EURO</t>
  </si>
  <si>
    <t>Initial (1 mai)</t>
  </si>
  <si>
    <t>Total (31 mai)</t>
  </si>
  <si>
    <t>S</t>
  </si>
  <si>
    <t>D</t>
  </si>
  <si>
    <t>L</t>
  </si>
  <si>
    <t>M</t>
  </si>
  <si>
    <t>J</t>
  </si>
  <si>
    <t>V</t>
  </si>
  <si>
    <t>ZIUA</t>
  </si>
  <si>
    <t>Primit</t>
  </si>
  <si>
    <t>ECONOMII</t>
  </si>
  <si>
    <t>Iubitica - bani pe card</t>
  </si>
  <si>
    <t>CardE (RON)</t>
  </si>
  <si>
    <t>CardO (RON)</t>
  </si>
  <si>
    <t>Cont Economii TOTAL (RON)</t>
  </si>
  <si>
    <t>De Platit (RON)</t>
  </si>
  <si>
    <t>Pamant + casa (EURO)</t>
  </si>
  <si>
    <t>BILANT MARTIE</t>
  </si>
  <si>
    <t>BILANT APRILIE</t>
  </si>
  <si>
    <t>BILANT MAI</t>
  </si>
  <si>
    <t>BILANT IUNIE</t>
  </si>
  <si>
    <t>BILANT IULIE</t>
  </si>
  <si>
    <t>Initial luna IUNIE</t>
  </si>
  <si>
    <t>Initial luna IULIE</t>
  </si>
  <si>
    <t>Initial luna AUGUST</t>
  </si>
  <si>
    <t>BILANT AUGUST</t>
  </si>
  <si>
    <t>Cadouri/vacante/altele</t>
  </si>
  <si>
    <t>Initial luna SEPTEMBRIE</t>
  </si>
  <si>
    <t>BILANT SEPTEMBRIE</t>
  </si>
  <si>
    <t>PayPal</t>
  </si>
  <si>
    <t>Initial luna OCTOMBRIE</t>
  </si>
  <si>
    <t>BILANT OCTOMBRIE</t>
  </si>
  <si>
    <t>s</t>
  </si>
  <si>
    <t>Initial luna NOIEMBRIE</t>
  </si>
  <si>
    <t>BILANT NOIEMBRIE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</si>
</sst>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family val="2"/>
      <scheme val="minor"/>
    </font>
    <font>
      <sz val="10"/>
      <color theme="1"/>
      <name val="Avenir Next LT Pro"/>
      <family val="2"/>
    </font>
    <font>
      <b/>
      <sz val="10"/>
      <color theme="1"/>
      <name val="Avenir Next LT Pro"/>
      <family val="2"/>
    </font>
    <font>
      <sz val="10"/>
      <color rgb="FFC00000"/>
      <name val="Avenir Next LT Pro"/>
      <family val="2"/>
    </font>
    <font>
      <sz val="10"/>
      <color rgb="FF00B050"/>
      <name val="Avenir Next LT Pro"/>
      <family val="2"/>
    </font>
    <font>
      <b/>
      <sz val="10"/>
      <color rgb="FF00B050"/>
      <name val="Avenir Next LT Pro"/>
      <family val="2"/>
    </font>
    <font>
      <b/>
      <sz val="10"/>
      <color rgb="FFC00000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sz val="12"/>
      <color indexed="81"/>
      <name val="Allura"/>
      <family val="3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FF0000"/>
      <name val="Avenir Next LT Pro"/>
      <family val="2"/>
    </font>
    <font>
      <sz val="10"/>
      <name val="Avenir Next LT Pro"/>
      <family val="2"/>
    </font>
    <font>
      <sz val="10"/>
      <color theme="0"/>
      <name val="Avenir Next LT Pro"/>
      <family val="2"/>
    </font>
    <font>
      <b/>
      <sz val="10"/>
      <color theme="0"/>
      <name val="Avenir Next LT Pro"/>
      <family val="2"/>
    </font>
    <font>
      <b/>
      <sz val="10"/>
      <color rgb="FFFF0000"/>
      <name val="Avenir Next LT Pro"/>
      <family val="2"/>
    </font>
    <font>
      <b/>
      <sz val="10"/>
      <color theme="0"/>
      <name val="Franklin Gothic Demi"/>
      <family val="2"/>
    </font>
    <font>
      <b/>
      <i/>
      <sz val="10"/>
      <color theme="5"/>
      <name val="Avenir Next LT Pro"/>
      <family val="2"/>
    </font>
    <font>
      <b/>
      <i/>
      <sz val="10"/>
      <color theme="9"/>
      <name val="Avenir Next LT Pro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rgb="FF00B050"/>
      <name val="Avenir Next LT Pro"/>
      <family val="2"/>
    </font>
    <font>
      <i/>
      <sz val="10"/>
      <color rgb="FFFF0000"/>
      <name val="Avenir Next LT Pro"/>
      <family val="2"/>
    </font>
    <font>
      <b/>
      <sz val="9"/>
      <color theme="1"/>
      <name val="Avenir Next LT Pro"/>
      <family val="2"/>
    </font>
    <font>
      <b/>
      <sz val="9"/>
      <color rgb="FF00B050"/>
      <name val="Avenir Next LT Pro"/>
      <family val="2"/>
    </font>
    <font>
      <b/>
      <i/>
      <sz val="9"/>
      <color theme="5"/>
      <name val="Avenir Next LT Pro"/>
      <family val="2"/>
    </font>
    <font>
      <b/>
      <i/>
      <sz val="9"/>
      <color theme="9"/>
      <name val="Avenir Next LT Pro"/>
      <family val="2"/>
    </font>
    <font>
      <b/>
      <sz val="9"/>
      <color theme="0"/>
      <name val="Avenir Next LT Pro"/>
      <family val="2"/>
    </font>
    <font>
      <sz val="9"/>
      <color rgb="FFFF0000"/>
      <name val="Avenir Next LT Pro"/>
      <family val="2"/>
    </font>
    <font>
      <b/>
      <sz val="9"/>
      <color rgb="FFFF0000"/>
      <name val="Avenir Next LT Pro"/>
      <family val="2"/>
    </font>
    <font>
      <b/>
      <sz val="9"/>
      <color theme="0"/>
      <name val="Franklin Gothic Demi"/>
      <family val="2"/>
    </font>
    <font>
      <sz val="9"/>
      <color theme="1"/>
      <name val="Calibri"/>
      <family val="2"/>
      <scheme val="minor"/>
    </font>
    <font>
      <sz val="6"/>
      <color theme="1"/>
      <name val="Avenir Next LT Pro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5FFFF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2" fontId="4" fillId="2" borderId="27" xfId="0" applyNumberFormat="1" applyFont="1" applyFill="1" applyBorder="1" applyAlignment="1">
      <alignment horizontal="center" vertical="center"/>
    </xf>
    <xf numFmtId="2" fontId="4" fillId="2" borderId="26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2" fontId="7" fillId="2" borderId="26" xfId="0" applyNumberFormat="1" applyFont="1" applyFill="1" applyBorder="1" applyAlignment="1">
      <alignment horizontal="center" vertical="center"/>
    </xf>
    <xf numFmtId="2" fontId="7" fillId="2" borderId="4" xfId="0" applyNumberFormat="1" applyFont="1" applyFill="1" applyBorder="1" applyAlignment="1">
      <alignment horizontal="center" vertical="center"/>
    </xf>
    <xf numFmtId="2" fontId="7" fillId="2" borderId="27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7" fillId="2" borderId="20" xfId="0" applyNumberFormat="1" applyFont="1" applyFill="1" applyBorder="1" applyAlignment="1">
      <alignment horizontal="center" vertical="center"/>
    </xf>
    <xf numFmtId="2" fontId="7" fillId="2" borderId="21" xfId="0" applyNumberFormat="1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2" fontId="5" fillId="4" borderId="9" xfId="0" applyNumberFormat="1" applyFont="1" applyFill="1" applyBorder="1" applyAlignment="1">
      <alignment horizontal="center" vertical="center"/>
    </xf>
    <xf numFmtId="2" fontId="5" fillId="4" borderId="10" xfId="0" applyNumberFormat="1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1" fillId="5" borderId="13" xfId="0" applyNumberFormat="1" applyFont="1" applyFill="1" applyBorder="1" applyAlignment="1">
      <alignment horizontal="center" vertic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2" fontId="1" fillId="2" borderId="26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31" xfId="0" applyNumberFormat="1" applyFont="1" applyFill="1" applyBorder="1" applyAlignment="1">
      <alignment horizontal="center" vertical="center"/>
    </xf>
    <xf numFmtId="2" fontId="1" fillId="2" borderId="32" xfId="0" applyNumberFormat="1" applyFont="1" applyFill="1" applyBorder="1" applyAlignment="1">
      <alignment horizontal="center"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horizontal="center" vertical="center"/>
    </xf>
    <xf numFmtId="2" fontId="3" fillId="2" borderId="33" xfId="0" applyNumberFormat="1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1" fillId="2" borderId="2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1" fillId="2" borderId="41" xfId="0" applyFont="1" applyFill="1" applyBorder="1" applyAlignment="1">
      <alignment horizontal="center" vertical="center"/>
    </xf>
    <xf numFmtId="2" fontId="1" fillId="2" borderId="30" xfId="0" applyNumberFormat="1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1" fillId="2" borderId="49" xfId="0" applyNumberFormat="1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47" xfId="0" quotePrefix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52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11" borderId="51" xfId="0" quotePrefix="1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2" fontId="13" fillId="9" borderId="48" xfId="0" applyNumberFormat="1" applyFont="1" applyFill="1" applyBorder="1" applyAlignment="1">
      <alignment horizontal="center" vertical="center"/>
    </xf>
    <xf numFmtId="2" fontId="13" fillId="9" borderId="50" xfId="0" applyNumberFormat="1" applyFont="1" applyFill="1" applyBorder="1" applyAlignment="1">
      <alignment horizontal="center" vertical="center"/>
    </xf>
    <xf numFmtId="2" fontId="12" fillId="10" borderId="48" xfId="0" applyNumberFormat="1" applyFont="1" applyFill="1" applyBorder="1" applyAlignment="1">
      <alignment horizontal="center" vertical="center"/>
    </xf>
    <xf numFmtId="2" fontId="12" fillId="10" borderId="0" xfId="0" applyNumberFormat="1" applyFont="1" applyFill="1" applyBorder="1" applyAlignment="1">
      <alignment horizontal="center" vertical="center"/>
    </xf>
    <xf numFmtId="2" fontId="4" fillId="10" borderId="0" xfId="0" applyNumberFormat="1" applyFont="1" applyFill="1" applyBorder="1" applyAlignment="1">
      <alignment horizontal="center" vertical="center"/>
    </xf>
    <xf numFmtId="2" fontId="2" fillId="11" borderId="48" xfId="0" applyNumberFormat="1" applyFont="1" applyFill="1" applyBorder="1" applyAlignment="1">
      <alignment horizontal="center" vertical="center"/>
    </xf>
    <xf numFmtId="2" fontId="2" fillId="11" borderId="50" xfId="0" applyNumberFormat="1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2" fillId="9" borderId="53" xfId="0" applyFont="1" applyFill="1" applyBorder="1" applyAlignment="1">
      <alignment horizontal="center" vertical="center"/>
    </xf>
    <xf numFmtId="2" fontId="13" fillId="9" borderId="0" xfId="0" applyNumberFormat="1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2" fontId="1" fillId="14" borderId="9" xfId="0" applyNumberFormat="1" applyFont="1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2" fontId="1" fillId="15" borderId="9" xfId="0" applyNumberFormat="1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2" fontId="5" fillId="16" borderId="9" xfId="0" applyNumberFormat="1" applyFont="1" applyFill="1" applyBorder="1" applyAlignment="1">
      <alignment horizontal="center" vertical="center"/>
    </xf>
    <xf numFmtId="2" fontId="7" fillId="2" borderId="39" xfId="0" applyNumberFormat="1" applyFont="1" applyFill="1" applyBorder="1" applyAlignment="1">
      <alignment horizontal="center" vertical="center"/>
    </xf>
    <xf numFmtId="2" fontId="7" fillId="2" borderId="40" xfId="0" applyNumberFormat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2" fontId="1" fillId="2" borderId="54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9" fillId="2" borderId="38" xfId="0" applyFont="1" applyFill="1" applyBorder="1" applyAlignment="1">
      <alignment horizontal="center" vertical="center"/>
    </xf>
    <xf numFmtId="2" fontId="1" fillId="2" borderId="41" xfId="0" applyNumberFormat="1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2" fontId="7" fillId="2" borderId="55" xfId="0" applyNumberFormat="1" applyFont="1" applyFill="1" applyBorder="1" applyAlignment="1">
      <alignment horizontal="center" vertical="center"/>
    </xf>
    <xf numFmtId="2" fontId="7" fillId="2" borderId="56" xfId="0" applyNumberFormat="1" applyFont="1" applyFill="1" applyBorder="1" applyAlignment="1">
      <alignment horizontal="center" vertical="center"/>
    </xf>
    <xf numFmtId="2" fontId="7" fillId="2" borderId="57" xfId="0" applyNumberFormat="1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2" fontId="5" fillId="4" borderId="11" xfId="0" applyNumberFormat="1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2" fontId="3" fillId="16" borderId="4" xfId="0" applyNumberFormat="1" applyFont="1" applyFill="1" applyBorder="1" applyAlignment="1">
      <alignment horizontal="center" vertical="center"/>
    </xf>
    <xf numFmtId="0" fontId="8" fillId="16" borderId="17" xfId="0" applyFont="1" applyFill="1" applyBorder="1" applyAlignment="1">
      <alignment horizontal="center" vertical="center"/>
    </xf>
    <xf numFmtId="0" fontId="20" fillId="2" borderId="0" xfId="0" applyFont="1" applyFill="1"/>
    <xf numFmtId="0" fontId="2" fillId="8" borderId="5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2" fontId="4" fillId="2" borderId="58" xfId="0" applyNumberFormat="1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2" fontId="1" fillId="2" borderId="58" xfId="0" applyNumberFormat="1" applyFont="1" applyFill="1" applyBorder="1" applyAlignment="1">
      <alignment horizontal="center" vertical="center"/>
    </xf>
    <xf numFmtId="2" fontId="3" fillId="2" borderId="58" xfId="0" applyNumberFormat="1" applyFont="1" applyFill="1" applyBorder="1" applyAlignment="1">
      <alignment horizontal="center" vertical="center"/>
    </xf>
    <xf numFmtId="2" fontId="3" fillId="2" borderId="60" xfId="0" applyNumberFormat="1" applyFont="1" applyFill="1" applyBorder="1" applyAlignment="1">
      <alignment horizontal="center" vertical="center"/>
    </xf>
    <xf numFmtId="2" fontId="3" fillId="2" borderId="62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7" fillId="2" borderId="64" xfId="0" applyNumberFormat="1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center" vertical="center"/>
    </xf>
    <xf numFmtId="2" fontId="1" fillId="2" borderId="61" xfId="0" applyNumberFormat="1" applyFont="1" applyFill="1" applyBorder="1" applyAlignment="1">
      <alignment horizontal="center" vertical="center"/>
    </xf>
    <xf numFmtId="2" fontId="1" fillId="2" borderId="62" xfId="0" applyNumberFormat="1" applyFont="1" applyFill="1" applyBorder="1" applyAlignment="1">
      <alignment horizontal="center" vertical="center"/>
    </xf>
    <xf numFmtId="2" fontId="1" fillId="2" borderId="63" xfId="0" applyNumberFormat="1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2" fontId="3" fillId="2" borderId="39" xfId="0" applyNumberFormat="1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2" fontId="3" fillId="2" borderId="65" xfId="0" applyNumberFormat="1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2" fontId="3" fillId="2" borderId="55" xfId="0" applyNumberFormat="1" applyFont="1" applyFill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2" fontId="3" fillId="2" borderId="66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2" fontId="23" fillId="2" borderId="26" xfId="0" applyNumberFormat="1" applyFont="1" applyFill="1" applyBorder="1" applyAlignment="1">
      <alignment horizontal="center" vertical="center"/>
    </xf>
    <xf numFmtId="2" fontId="23" fillId="2" borderId="4" xfId="0" applyNumberFormat="1" applyFont="1" applyFill="1" applyBorder="1" applyAlignment="1">
      <alignment horizontal="center" vertical="center"/>
    </xf>
    <xf numFmtId="2" fontId="23" fillId="2" borderId="58" xfId="0" applyNumberFormat="1" applyFont="1" applyFill="1" applyBorder="1" applyAlignment="1">
      <alignment horizontal="center" vertical="center"/>
    </xf>
    <xf numFmtId="2" fontId="23" fillId="2" borderId="27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24" fillId="2" borderId="4" xfId="0" applyNumberFormat="1" applyFont="1" applyFill="1" applyBorder="1" applyAlignment="1">
      <alignment horizontal="center" vertical="center"/>
    </xf>
    <xf numFmtId="2" fontId="24" fillId="2" borderId="58" xfId="0" applyNumberFormat="1" applyFont="1" applyFill="1" applyBorder="1" applyAlignment="1">
      <alignment horizontal="center" vertical="center"/>
    </xf>
    <xf numFmtId="2" fontId="24" fillId="2" borderId="27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24" fillId="2" borderId="62" xfId="0" applyNumberFormat="1" applyFont="1" applyFill="1" applyBorder="1" applyAlignment="1">
      <alignment horizontal="center" vertical="center"/>
    </xf>
    <xf numFmtId="2" fontId="24" fillId="2" borderId="66" xfId="0" applyNumberFormat="1" applyFont="1" applyFill="1" applyBorder="1" applyAlignment="1">
      <alignment horizontal="center" vertical="center"/>
    </xf>
    <xf numFmtId="2" fontId="12" fillId="2" borderId="58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2" fontId="12" fillId="2" borderId="27" xfId="0" applyNumberFormat="1" applyFont="1" applyFill="1" applyBorder="1" applyAlignment="1">
      <alignment horizontal="center" vertical="center"/>
    </xf>
    <xf numFmtId="0" fontId="2" fillId="20" borderId="5" xfId="0" applyFont="1" applyFill="1" applyBorder="1" applyAlignment="1">
      <alignment horizontal="center" vertical="center"/>
    </xf>
    <xf numFmtId="2" fontId="7" fillId="2" borderId="49" xfId="0" applyNumberFormat="1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2" fontId="7" fillId="2" borderId="68" xfId="0" applyNumberFormat="1" applyFont="1" applyFill="1" applyBorder="1" applyAlignment="1">
      <alignment horizontal="center" vertical="center"/>
    </xf>
    <xf numFmtId="2" fontId="4" fillId="2" borderId="39" xfId="0" applyNumberFormat="1" applyFont="1" applyFill="1" applyBorder="1" applyAlignment="1">
      <alignment horizontal="center" vertical="center"/>
    </xf>
    <xf numFmtId="2" fontId="23" fillId="2" borderId="39" xfId="0" applyNumberFormat="1" applyFont="1" applyFill="1" applyBorder="1" applyAlignment="1">
      <alignment horizontal="center" vertical="center"/>
    </xf>
    <xf numFmtId="2" fontId="12" fillId="2" borderId="39" xfId="0" applyNumberFormat="1" applyFont="1" applyFill="1" applyBorder="1" applyAlignment="1">
      <alignment horizontal="center" vertical="center"/>
    </xf>
    <xf numFmtId="2" fontId="7" fillId="21" borderId="40" xfId="0" applyNumberFormat="1" applyFont="1" applyFill="1" applyBorder="1" applyAlignment="1">
      <alignment horizontal="center" vertical="center"/>
    </xf>
    <xf numFmtId="2" fontId="7" fillId="21" borderId="15" xfId="0" applyNumberFormat="1" applyFont="1" applyFill="1" applyBorder="1" applyAlignment="1">
      <alignment horizontal="center" vertical="center"/>
    </xf>
    <xf numFmtId="2" fontId="7" fillId="21" borderId="56" xfId="0" applyNumberFormat="1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2" fontId="7" fillId="14" borderId="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/>
    </xf>
    <xf numFmtId="2" fontId="7" fillId="3" borderId="11" xfId="0" applyNumberFormat="1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49" xfId="0" applyFont="1" applyFill="1" applyBorder="1" applyAlignment="1">
      <alignment horizontal="center" vertical="center"/>
    </xf>
    <xf numFmtId="2" fontId="7" fillId="15" borderId="9" xfId="0" applyNumberFormat="1" applyFont="1" applyFill="1" applyBorder="1" applyAlignment="1">
      <alignment horizontal="center" vertical="center"/>
    </xf>
    <xf numFmtId="2" fontId="7" fillId="5" borderId="9" xfId="0" applyNumberFormat="1" applyFont="1" applyFill="1" applyBorder="1" applyAlignment="1">
      <alignment horizontal="center" vertical="center"/>
    </xf>
    <xf numFmtId="2" fontId="7" fillId="5" borderId="10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2" fontId="26" fillId="16" borderId="9" xfId="0" applyNumberFormat="1" applyFont="1" applyFill="1" applyBorder="1" applyAlignment="1">
      <alignment horizontal="center" vertical="center"/>
    </xf>
    <xf numFmtId="2" fontId="26" fillId="4" borderId="9" xfId="0" applyNumberFormat="1" applyFont="1" applyFill="1" applyBorder="1" applyAlignment="1">
      <alignment horizontal="center" vertical="center"/>
    </xf>
    <xf numFmtId="2" fontId="26" fillId="4" borderId="10" xfId="0" applyNumberFormat="1" applyFont="1" applyFill="1" applyBorder="1" applyAlignment="1">
      <alignment horizontal="center" vertical="center"/>
    </xf>
    <xf numFmtId="2" fontId="26" fillId="4" borderId="1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7" fillId="2" borderId="38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8" fillId="2" borderId="3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/>
    </xf>
    <xf numFmtId="2" fontId="7" fillId="2" borderId="41" xfId="0" applyNumberFormat="1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7" fillId="9" borderId="9" xfId="0" applyFont="1" applyFill="1" applyBorder="1" applyAlignment="1">
      <alignment horizontal="center" vertical="center"/>
    </xf>
    <xf numFmtId="2" fontId="7" fillId="9" borderId="11" xfId="0" applyNumberFormat="1" applyFont="1" applyFill="1" applyBorder="1" applyAlignment="1">
      <alignment horizontal="center" vertical="center"/>
    </xf>
    <xf numFmtId="0" fontId="33" fillId="2" borderId="0" xfId="0" applyFont="1" applyFill="1"/>
    <xf numFmtId="0" fontId="34" fillId="2" borderId="4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" fontId="12" fillId="2" borderId="43" xfId="0" applyNumberFormat="1" applyFont="1" applyFill="1" applyBorder="1" applyAlignment="1">
      <alignment horizontal="center" vertical="center"/>
    </xf>
    <xf numFmtId="2" fontId="12" fillId="2" borderId="44" xfId="0" applyNumberFormat="1" applyFont="1" applyFill="1" applyBorder="1" applyAlignment="1">
      <alignment horizontal="center" vertical="center"/>
    </xf>
    <xf numFmtId="2" fontId="12" fillId="2" borderId="42" xfId="0" applyNumberFormat="1" applyFont="1" applyFill="1" applyBorder="1" applyAlignment="1">
      <alignment horizontal="center" vertical="center"/>
    </xf>
    <xf numFmtId="2" fontId="12" fillId="2" borderId="45" xfId="0" applyNumberFormat="1" applyFont="1" applyFill="1" applyBorder="1" applyAlignment="1">
      <alignment horizontal="center" vertical="center"/>
    </xf>
    <xf numFmtId="2" fontId="16" fillId="13" borderId="35" xfId="0" applyNumberFormat="1" applyFont="1" applyFill="1" applyBorder="1" applyAlignment="1">
      <alignment horizontal="center" vertical="center"/>
    </xf>
    <xf numFmtId="0" fontId="16" fillId="13" borderId="37" xfId="0" applyFont="1" applyFill="1" applyBorder="1" applyAlignment="1">
      <alignment horizontal="center" vertical="center"/>
    </xf>
    <xf numFmtId="0" fontId="17" fillId="13" borderId="35" xfId="0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2" fontId="12" fillId="2" borderId="35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2" fontId="2" fillId="5" borderId="5" xfId="0" applyNumberFormat="1" applyFont="1" applyFill="1" applyBorder="1" applyAlignment="1">
      <alignment horizontal="center" vertical="center"/>
    </xf>
    <xf numFmtId="2" fontId="2" fillId="5" borderId="14" xfId="0" applyNumberFormat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2" fontId="2" fillId="5" borderId="35" xfId="0" applyNumberFormat="1" applyFont="1" applyFill="1" applyBorder="1" applyAlignment="1">
      <alignment horizontal="center" vertical="center"/>
    </xf>
    <xf numFmtId="2" fontId="2" fillId="5" borderId="36" xfId="0" applyNumberFormat="1" applyFont="1" applyFill="1" applyBorder="1" applyAlignment="1">
      <alignment horizontal="center" vertical="center"/>
    </xf>
    <xf numFmtId="2" fontId="2" fillId="5" borderId="28" xfId="0" applyNumberFormat="1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2" fontId="5" fillId="4" borderId="5" xfId="0" applyNumberFormat="1" applyFont="1" applyFill="1" applyBorder="1" applyAlignment="1">
      <alignment horizontal="center" vertical="center"/>
    </xf>
    <xf numFmtId="2" fontId="5" fillId="4" borderId="14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2" fontId="5" fillId="4" borderId="35" xfId="0" applyNumberFormat="1" applyFont="1" applyFill="1" applyBorder="1" applyAlignment="1">
      <alignment horizontal="center" vertical="center"/>
    </xf>
    <xf numFmtId="2" fontId="5" fillId="4" borderId="36" xfId="0" applyNumberFormat="1" applyFont="1" applyFill="1" applyBorder="1" applyAlignment="1">
      <alignment horizontal="center" vertical="center"/>
    </xf>
    <xf numFmtId="2" fontId="5" fillId="4" borderId="28" xfId="0" applyNumberFormat="1" applyFont="1" applyFill="1" applyBorder="1" applyAlignment="1">
      <alignment horizontal="center" vertical="center"/>
    </xf>
    <xf numFmtId="2" fontId="1" fillId="2" borderId="35" xfId="0" applyNumberFormat="1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14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2" fontId="2" fillId="3" borderId="35" xfId="0" applyNumberFormat="1" applyFont="1" applyFill="1" applyBorder="1" applyAlignment="1">
      <alignment horizontal="center" vertical="center"/>
    </xf>
    <xf numFmtId="2" fontId="2" fillId="3" borderId="36" xfId="0" applyNumberFormat="1" applyFont="1" applyFill="1" applyBorder="1" applyAlignment="1">
      <alignment horizontal="center" vertical="center"/>
    </xf>
    <xf numFmtId="2" fontId="2" fillId="3" borderId="28" xfId="0" applyNumberFormat="1" applyFont="1" applyFill="1" applyBorder="1" applyAlignment="1">
      <alignment horizontal="center" vertical="center"/>
    </xf>
    <xf numFmtId="2" fontId="4" fillId="2" borderId="43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1" fillId="2" borderId="46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2" fontId="5" fillId="13" borderId="35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/>
    </xf>
    <xf numFmtId="0" fontId="2" fillId="11" borderId="52" xfId="0" applyFont="1" applyFill="1" applyBorder="1" applyAlignment="1">
      <alignment horizontal="center" vertical="center"/>
    </xf>
    <xf numFmtId="2" fontId="12" fillId="2" borderId="46" xfId="0" applyNumberFormat="1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10" borderId="51" xfId="0" applyFont="1" applyFill="1" applyBorder="1" applyAlignment="1">
      <alignment horizontal="center" vertical="center"/>
    </xf>
    <xf numFmtId="0" fontId="2" fillId="10" borderId="53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12" borderId="36" xfId="0" applyFont="1" applyFill="1" applyBorder="1" applyAlignment="1">
      <alignment horizontal="center" vertical="center"/>
    </xf>
    <xf numFmtId="0" fontId="2" fillId="1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15" fillId="17" borderId="7" xfId="0" applyFont="1" applyFill="1" applyBorder="1" applyAlignment="1">
      <alignment horizontal="center" vertical="center"/>
    </xf>
    <xf numFmtId="0" fontId="15" fillId="17" borderId="49" xfId="0" applyFont="1" applyFill="1" applyBorder="1" applyAlignment="1">
      <alignment horizontal="center" vertical="center"/>
    </xf>
    <xf numFmtId="2" fontId="15" fillId="17" borderId="41" xfId="0" applyNumberFormat="1" applyFont="1" applyFill="1" applyBorder="1" applyAlignment="1">
      <alignment horizontal="center" vertical="center"/>
    </xf>
    <xf numFmtId="0" fontId="15" fillId="17" borderId="30" xfId="0" applyFont="1" applyFill="1" applyBorder="1" applyAlignment="1">
      <alignment horizontal="center" vertical="center"/>
    </xf>
    <xf numFmtId="0" fontId="15" fillId="19" borderId="7" xfId="0" applyFont="1" applyFill="1" applyBorder="1" applyAlignment="1">
      <alignment horizontal="center" vertical="center"/>
    </xf>
    <xf numFmtId="0" fontId="15" fillId="19" borderId="49" xfId="0" applyFont="1" applyFill="1" applyBorder="1" applyAlignment="1">
      <alignment horizontal="center" vertical="center"/>
    </xf>
    <xf numFmtId="164" fontId="15" fillId="19" borderId="9" xfId="0" applyNumberFormat="1" applyFont="1" applyFill="1" applyBorder="1" applyAlignment="1">
      <alignment horizontal="center" vertical="center"/>
    </xf>
    <xf numFmtId="164" fontId="15" fillId="19" borderId="11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15" fillId="18" borderId="41" xfId="0" applyFont="1" applyFill="1" applyBorder="1" applyAlignment="1">
      <alignment horizontal="center" vertical="center"/>
    </xf>
    <xf numFmtId="0" fontId="15" fillId="18" borderId="30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15" fillId="18" borderId="49" xfId="0" applyFon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0" fontId="15" fillId="19" borderId="12" xfId="0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5" fillId="17" borderId="59" xfId="0" applyFont="1" applyFill="1" applyBorder="1" applyAlignment="1">
      <alignment horizontal="center" vertical="center"/>
    </xf>
    <xf numFmtId="164" fontId="15" fillId="19" borderId="13" xfId="0" applyNumberFormat="1" applyFont="1" applyFill="1" applyBorder="1" applyAlignment="1">
      <alignment horizontal="center" vertical="center"/>
    </xf>
    <xf numFmtId="2" fontId="30" fillId="2" borderId="43" xfId="0" applyNumberFormat="1" applyFont="1" applyFill="1" applyBorder="1" applyAlignment="1">
      <alignment horizontal="center" vertical="center"/>
    </xf>
    <xf numFmtId="2" fontId="30" fillId="2" borderId="44" xfId="0" applyNumberFormat="1" applyFont="1" applyFill="1" applyBorder="1" applyAlignment="1">
      <alignment horizontal="center" vertical="center"/>
    </xf>
    <xf numFmtId="2" fontId="31" fillId="13" borderId="35" xfId="0" applyNumberFormat="1" applyFont="1" applyFill="1" applyBorder="1" applyAlignment="1">
      <alignment horizontal="center" vertical="center"/>
    </xf>
    <xf numFmtId="0" fontId="31" fillId="13" borderId="37" xfId="0" applyFont="1" applyFill="1" applyBorder="1" applyAlignment="1">
      <alignment horizontal="center" vertical="center"/>
    </xf>
    <xf numFmtId="2" fontId="30" fillId="2" borderId="46" xfId="0" applyNumberFormat="1" applyFont="1" applyFill="1" applyBorder="1" applyAlignment="1">
      <alignment horizontal="center" vertical="center"/>
    </xf>
    <xf numFmtId="0" fontId="30" fillId="2" borderId="47" xfId="0" applyFont="1" applyFill="1" applyBorder="1" applyAlignment="1">
      <alignment horizontal="center" vertical="center"/>
    </xf>
    <xf numFmtId="0" fontId="32" fillId="13" borderId="35" xfId="0" applyFont="1" applyFill="1" applyBorder="1" applyAlignment="1">
      <alignment horizontal="center" vertical="center"/>
    </xf>
    <xf numFmtId="0" fontId="32" fillId="13" borderId="37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2" fontId="29" fillId="17" borderId="41" xfId="0" applyNumberFormat="1" applyFont="1" applyFill="1" applyBorder="1" applyAlignment="1">
      <alignment horizontal="center" vertical="center"/>
    </xf>
    <xf numFmtId="0" fontId="29" fillId="17" borderId="59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164" fontId="29" fillId="19" borderId="9" xfId="0" applyNumberFormat="1" applyFont="1" applyFill="1" applyBorder="1" applyAlignment="1">
      <alignment horizontal="center" vertical="center"/>
    </xf>
    <xf numFmtId="164" fontId="29" fillId="19" borderId="13" xfId="0" applyNumberFormat="1" applyFont="1" applyFill="1" applyBorder="1" applyAlignment="1">
      <alignment horizontal="center" vertical="center"/>
    </xf>
    <xf numFmtId="2" fontId="7" fillId="2" borderId="35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25" fillId="4" borderId="35" xfId="0" applyFont="1" applyFill="1" applyBorder="1" applyAlignment="1">
      <alignment horizontal="center" vertical="center"/>
    </xf>
    <xf numFmtId="0" fontId="25" fillId="4" borderId="36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2" fontId="26" fillId="4" borderId="35" xfId="0" applyNumberFormat="1" applyFont="1" applyFill="1" applyBorder="1" applyAlignment="1">
      <alignment horizontal="center" vertical="center"/>
    </xf>
    <xf numFmtId="2" fontId="26" fillId="4" borderId="36" xfId="0" applyNumberFormat="1" applyFont="1" applyFill="1" applyBorder="1" applyAlignment="1">
      <alignment horizontal="center" vertical="center"/>
    </xf>
    <xf numFmtId="2" fontId="26" fillId="4" borderId="28" xfId="0" applyNumberFormat="1" applyFont="1" applyFill="1" applyBorder="1" applyAlignment="1">
      <alignment horizontal="center" vertical="center"/>
    </xf>
    <xf numFmtId="2" fontId="26" fillId="4" borderId="5" xfId="0" applyNumberFormat="1" applyFont="1" applyFill="1" applyBorder="1" applyAlignment="1">
      <alignment horizontal="center" vertical="center"/>
    </xf>
    <xf numFmtId="2" fontId="26" fillId="4" borderId="6" xfId="0" applyNumberFormat="1" applyFont="1" applyFill="1" applyBorder="1" applyAlignment="1">
      <alignment horizontal="center" vertical="center"/>
    </xf>
    <xf numFmtId="0" fontId="25" fillId="3" borderId="35" xfId="0" applyFont="1" applyFill="1" applyBorder="1" applyAlignment="1">
      <alignment horizontal="center" vertical="center"/>
    </xf>
    <xf numFmtId="0" fontId="25" fillId="3" borderId="36" xfId="0" applyFont="1" applyFill="1" applyBorder="1" applyAlignment="1">
      <alignment horizontal="center" vertical="center"/>
    </xf>
    <xf numFmtId="0" fontId="25" fillId="3" borderId="37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2" fontId="25" fillId="3" borderId="35" xfId="0" applyNumberFormat="1" applyFont="1" applyFill="1" applyBorder="1" applyAlignment="1">
      <alignment horizontal="center" vertical="center"/>
    </xf>
    <xf numFmtId="2" fontId="25" fillId="3" borderId="36" xfId="0" applyNumberFormat="1" applyFont="1" applyFill="1" applyBorder="1" applyAlignment="1">
      <alignment horizontal="center" vertical="center"/>
    </xf>
    <xf numFmtId="2" fontId="25" fillId="3" borderId="28" xfId="0" applyNumberFormat="1" applyFont="1" applyFill="1" applyBorder="1" applyAlignment="1">
      <alignment horizontal="center" vertical="center"/>
    </xf>
    <xf numFmtId="2" fontId="25" fillId="3" borderId="5" xfId="0" applyNumberFormat="1" applyFont="1" applyFill="1" applyBorder="1" applyAlignment="1">
      <alignment horizontal="center" vertical="center"/>
    </xf>
    <xf numFmtId="2" fontId="25" fillId="3" borderId="6" xfId="0" applyNumberFormat="1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25" fillId="5" borderId="28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2" fontId="25" fillId="5" borderId="35" xfId="0" applyNumberFormat="1" applyFont="1" applyFill="1" applyBorder="1" applyAlignment="1">
      <alignment horizontal="center" vertical="center"/>
    </xf>
    <xf numFmtId="2" fontId="25" fillId="5" borderId="36" xfId="0" applyNumberFormat="1" applyFont="1" applyFill="1" applyBorder="1" applyAlignment="1">
      <alignment horizontal="center" vertical="center"/>
    </xf>
    <xf numFmtId="2" fontId="25" fillId="5" borderId="28" xfId="0" applyNumberFormat="1" applyFont="1" applyFill="1" applyBorder="1" applyAlignment="1">
      <alignment horizontal="center" vertical="center"/>
    </xf>
    <xf numFmtId="2" fontId="25" fillId="5" borderId="5" xfId="0" applyNumberFormat="1" applyFont="1" applyFill="1" applyBorder="1" applyAlignment="1">
      <alignment horizontal="center" vertical="center"/>
    </xf>
    <xf numFmtId="2" fontId="25" fillId="5" borderId="6" xfId="0" applyNumberFormat="1" applyFont="1" applyFill="1" applyBorder="1" applyAlignment="1">
      <alignment horizontal="center" vertical="center"/>
    </xf>
    <xf numFmtId="0" fontId="25" fillId="4" borderId="37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color rgb="FF00B050"/>
      </font>
      <fill>
        <patternFill>
          <bgColor theme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73355038067050138"/>
          <c:h val="0.71551004586745004"/>
        </c:manualLayout>
      </c:layout>
      <c:scatterChart>
        <c:scatterStyle val="lineMarker"/>
        <c:varyColors val="0"/>
        <c:ser>
          <c:idx val="0"/>
          <c:order val="0"/>
          <c:tx>
            <c:v>Card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'Martie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'Martie 2021'!$G$22:$AK$22</c:f>
              <c:numCache>
                <c:formatCode>0.00</c:formatCode>
                <c:ptCount val="31"/>
                <c:pt idx="0">
                  <c:v>3143.93</c:v>
                </c:pt>
                <c:pt idx="1">
                  <c:v>3989.93</c:v>
                </c:pt>
                <c:pt idx="2">
                  <c:v>3989.93</c:v>
                </c:pt>
                <c:pt idx="3">
                  <c:v>3953.62</c:v>
                </c:pt>
                <c:pt idx="4">
                  <c:v>3953.62</c:v>
                </c:pt>
                <c:pt idx="5">
                  <c:v>3702.97</c:v>
                </c:pt>
                <c:pt idx="6">
                  <c:v>3702.97</c:v>
                </c:pt>
                <c:pt idx="7">
                  <c:v>3702.97</c:v>
                </c:pt>
                <c:pt idx="8">
                  <c:v>3598.97</c:v>
                </c:pt>
                <c:pt idx="9">
                  <c:v>3598.97</c:v>
                </c:pt>
                <c:pt idx="10">
                  <c:v>3598.97</c:v>
                </c:pt>
                <c:pt idx="11">
                  <c:v>3598.97</c:v>
                </c:pt>
                <c:pt idx="12">
                  <c:v>3525.0499999999997</c:v>
                </c:pt>
                <c:pt idx="13">
                  <c:v>3525.0499999999997</c:v>
                </c:pt>
                <c:pt idx="14">
                  <c:v>3525.0499999999997</c:v>
                </c:pt>
                <c:pt idx="15">
                  <c:v>3525.0499999999997</c:v>
                </c:pt>
                <c:pt idx="16">
                  <c:v>3525.0499999999997</c:v>
                </c:pt>
                <c:pt idx="17">
                  <c:v>2625.0499999999997</c:v>
                </c:pt>
                <c:pt idx="18">
                  <c:v>2507.4699999999998</c:v>
                </c:pt>
                <c:pt idx="19">
                  <c:v>2284.5500000000002</c:v>
                </c:pt>
                <c:pt idx="20">
                  <c:v>2255.04</c:v>
                </c:pt>
                <c:pt idx="21">
                  <c:v>2255.04</c:v>
                </c:pt>
                <c:pt idx="22">
                  <c:v>2255.04</c:v>
                </c:pt>
                <c:pt idx="23">
                  <c:v>2355.04</c:v>
                </c:pt>
                <c:pt idx="24">
                  <c:v>2355.04</c:v>
                </c:pt>
                <c:pt idx="25">
                  <c:v>2325.5299999999997</c:v>
                </c:pt>
                <c:pt idx="26">
                  <c:v>2325.5299999999997</c:v>
                </c:pt>
                <c:pt idx="27">
                  <c:v>1208.6199999999994</c:v>
                </c:pt>
                <c:pt idx="28">
                  <c:v>1173.0499999999995</c:v>
                </c:pt>
                <c:pt idx="29">
                  <c:v>1173.0499999999995</c:v>
                </c:pt>
                <c:pt idx="30">
                  <c:v>1173.0499999999995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8FE-4293-8551-618E55BE433B}"/>
            </c:ext>
          </c:extLst>
        </c:ser>
        <c:ser>
          <c:idx val="1"/>
          <c:order val="1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'Martie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'Martie 2021'!$G$23:$AK$23</c:f>
              <c:numCache>
                <c:formatCode>0.00</c:formatCode>
                <c:ptCount val="31"/>
                <c:pt idx="0">
                  <c:v>661</c:v>
                </c:pt>
                <c:pt idx="1">
                  <c:v>661</c:v>
                </c:pt>
                <c:pt idx="2">
                  <c:v>661</c:v>
                </c:pt>
                <c:pt idx="3">
                  <c:v>661</c:v>
                </c:pt>
                <c:pt idx="4">
                  <c:v>661</c:v>
                </c:pt>
                <c:pt idx="5">
                  <c:v>661</c:v>
                </c:pt>
                <c:pt idx="6">
                  <c:v>661</c:v>
                </c:pt>
                <c:pt idx="7">
                  <c:v>661</c:v>
                </c:pt>
                <c:pt idx="8">
                  <c:v>765</c:v>
                </c:pt>
                <c:pt idx="9">
                  <c:v>765</c:v>
                </c:pt>
                <c:pt idx="10">
                  <c:v>745</c:v>
                </c:pt>
                <c:pt idx="11">
                  <c:v>745</c:v>
                </c:pt>
                <c:pt idx="12">
                  <c:v>745</c:v>
                </c:pt>
                <c:pt idx="13">
                  <c:v>745</c:v>
                </c:pt>
                <c:pt idx="14">
                  <c:v>705</c:v>
                </c:pt>
                <c:pt idx="15">
                  <c:v>705</c:v>
                </c:pt>
                <c:pt idx="16">
                  <c:v>705</c:v>
                </c:pt>
                <c:pt idx="17">
                  <c:v>676</c:v>
                </c:pt>
                <c:pt idx="18">
                  <c:v>676</c:v>
                </c:pt>
                <c:pt idx="19">
                  <c:v>676</c:v>
                </c:pt>
                <c:pt idx="20">
                  <c:v>676</c:v>
                </c:pt>
                <c:pt idx="21">
                  <c:v>676</c:v>
                </c:pt>
                <c:pt idx="22">
                  <c:v>676</c:v>
                </c:pt>
                <c:pt idx="23">
                  <c:v>576</c:v>
                </c:pt>
                <c:pt idx="24">
                  <c:v>576</c:v>
                </c:pt>
                <c:pt idx="25">
                  <c:v>496</c:v>
                </c:pt>
                <c:pt idx="26">
                  <c:v>496</c:v>
                </c:pt>
                <c:pt idx="27">
                  <c:v>468</c:v>
                </c:pt>
                <c:pt idx="28">
                  <c:v>468</c:v>
                </c:pt>
                <c:pt idx="29">
                  <c:v>468</c:v>
                </c:pt>
                <c:pt idx="30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FE-4293-8551-618E55BE433B}"/>
            </c:ext>
          </c:extLst>
        </c:ser>
        <c:ser>
          <c:idx val="2"/>
          <c:order val="2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'Martie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'Martie 2021'!$G$25:$AK$25</c:f>
              <c:numCache>
                <c:formatCode>0.00</c:formatCode>
                <c:ptCount val="31"/>
                <c:pt idx="0">
                  <c:v>3502</c:v>
                </c:pt>
                <c:pt idx="1">
                  <c:v>3502</c:v>
                </c:pt>
                <c:pt idx="2">
                  <c:v>3502</c:v>
                </c:pt>
                <c:pt idx="3">
                  <c:v>3502</c:v>
                </c:pt>
                <c:pt idx="4">
                  <c:v>3502</c:v>
                </c:pt>
                <c:pt idx="5">
                  <c:v>3502</c:v>
                </c:pt>
                <c:pt idx="6">
                  <c:v>3502</c:v>
                </c:pt>
                <c:pt idx="7">
                  <c:v>3502</c:v>
                </c:pt>
                <c:pt idx="8">
                  <c:v>3502</c:v>
                </c:pt>
                <c:pt idx="9">
                  <c:v>3502</c:v>
                </c:pt>
                <c:pt idx="10">
                  <c:v>3502</c:v>
                </c:pt>
                <c:pt idx="11">
                  <c:v>3502</c:v>
                </c:pt>
                <c:pt idx="12">
                  <c:v>3502</c:v>
                </c:pt>
                <c:pt idx="13">
                  <c:v>3502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3488.16</c:v>
                </c:pt>
                <c:pt idx="28">
                  <c:v>3488.16</c:v>
                </c:pt>
                <c:pt idx="29">
                  <c:v>3488.16</c:v>
                </c:pt>
                <c:pt idx="30">
                  <c:v>3488.16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8FE-4293-8551-618E55BE433B}"/>
            </c:ext>
          </c:extLst>
        </c:ser>
        <c:ser>
          <c:idx val="3"/>
          <c:order val="3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'Martie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'Martie 2021'!$G$26:$AK$26</c:f>
              <c:numCache>
                <c:formatCode>0.00</c:formatCode>
                <c:ptCount val="31"/>
                <c:pt idx="0">
                  <c:v>5400</c:v>
                </c:pt>
                <c:pt idx="1">
                  <c:v>5400</c:v>
                </c:pt>
                <c:pt idx="2">
                  <c:v>5400</c:v>
                </c:pt>
                <c:pt idx="3">
                  <c:v>5400</c:v>
                </c:pt>
                <c:pt idx="4">
                  <c:v>5400</c:v>
                </c:pt>
                <c:pt idx="5">
                  <c:v>5400</c:v>
                </c:pt>
                <c:pt idx="6">
                  <c:v>5400</c:v>
                </c:pt>
                <c:pt idx="7">
                  <c:v>5400</c:v>
                </c:pt>
                <c:pt idx="8">
                  <c:v>5400</c:v>
                </c:pt>
                <c:pt idx="9">
                  <c:v>5400</c:v>
                </c:pt>
                <c:pt idx="10">
                  <c:v>5400</c:v>
                </c:pt>
                <c:pt idx="11">
                  <c:v>5400</c:v>
                </c:pt>
                <c:pt idx="12">
                  <c:v>5400</c:v>
                </c:pt>
                <c:pt idx="13">
                  <c:v>5400</c:v>
                </c:pt>
                <c:pt idx="14">
                  <c:v>5400</c:v>
                </c:pt>
                <c:pt idx="15">
                  <c:v>5400</c:v>
                </c:pt>
                <c:pt idx="16">
                  <c:v>5400</c:v>
                </c:pt>
                <c:pt idx="17">
                  <c:v>5400</c:v>
                </c:pt>
                <c:pt idx="18">
                  <c:v>5400</c:v>
                </c:pt>
                <c:pt idx="19">
                  <c:v>5400</c:v>
                </c:pt>
                <c:pt idx="20">
                  <c:v>5400</c:v>
                </c:pt>
                <c:pt idx="21">
                  <c:v>5400</c:v>
                </c:pt>
                <c:pt idx="22">
                  <c:v>5400</c:v>
                </c:pt>
                <c:pt idx="23">
                  <c:v>5400</c:v>
                </c:pt>
                <c:pt idx="24">
                  <c:v>5400</c:v>
                </c:pt>
                <c:pt idx="25">
                  <c:v>5400</c:v>
                </c:pt>
                <c:pt idx="26">
                  <c:v>5400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8FE-4293-8551-618E55BE433B}"/>
            </c:ext>
          </c:extLst>
        </c:ser>
        <c:ser>
          <c:idx val="4"/>
          <c:order val="4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'Martie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'Martie 2021'!$G$24:$AK$24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3-492C-8F76-90370780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88000"/>
        <c:axId val="638210768"/>
      </c:scatterChart>
      <c:valAx>
        <c:axId val="62758800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crossBetween val="midCat"/>
        <c:majorUnit val="1"/>
      </c:val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5957305958424"/>
          <c:y val="0.30422998831803677"/>
          <c:w val="0.16547675290588679"/>
          <c:h val="0.3216350602692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B01-4453-A420-CC2482578A8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B01-4453-A420-CC2482578A8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B01-4453-A420-CC2482578A8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B01-4453-A420-CC2482578A8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B01-4453-A420-CC2482578A8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B01-4453-A420-CC2482578A8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B01-4453-A420-CC2482578A8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B01-4453-A420-CC2482578A8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B01-4453-A420-CC2482578A8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B01-4453-A420-CC2482578A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B01-4453-A420-CC2482578A8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B01-4453-A420-CC2482578A84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01-4453-A420-CC2482578A84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01-4453-A420-CC2482578A8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3B01-4453-A420-CC2482578A8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3B01-4453-A420-CC2482578A8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'Iulie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</c:v>
                </c:pt>
              </c:strCache>
            </c:strRef>
          </c:cat>
          <c:val>
            <c:numRef>
              <c:f>'Iulie 2021'!$D$30:$D$37</c:f>
              <c:numCache>
                <c:formatCode>0.00</c:formatCode>
                <c:ptCount val="8"/>
                <c:pt idx="0">
                  <c:v>900</c:v>
                </c:pt>
                <c:pt idx="1">
                  <c:v>235.32000000000002</c:v>
                </c:pt>
                <c:pt idx="2">
                  <c:v>1676.0999999999997</c:v>
                </c:pt>
                <c:pt idx="3">
                  <c:v>993.41000000000008</c:v>
                </c:pt>
                <c:pt idx="4">
                  <c:v>217.36</c:v>
                </c:pt>
                <c:pt idx="5">
                  <c:v>174</c:v>
                </c:pt>
                <c:pt idx="6">
                  <c:v>550</c:v>
                </c:pt>
                <c:pt idx="7">
                  <c:v>559.48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B01-4453-A420-CC2482578A8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14062793342979"/>
          <c:y val="3.068425897514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65021709786276716"/>
          <c:h val="0.71551004586745004"/>
        </c:manualLayout>
      </c:layout>
      <c:lineChart>
        <c:grouping val="standard"/>
        <c:varyColors val="0"/>
        <c:ser>
          <c:idx val="5"/>
          <c:order val="0"/>
          <c:tx>
            <c:v>CardE (RON)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'August 2021'!$H$22:$AL$22</c:f>
              <c:numCache>
                <c:formatCode>0.00</c:formatCode>
                <c:ptCount val="31"/>
                <c:pt idx="0">
                  <c:v>1931.0599999999997</c:v>
                </c:pt>
                <c:pt idx="1">
                  <c:v>1931.0599999999997</c:v>
                </c:pt>
                <c:pt idx="2">
                  <c:v>1866.0799999999997</c:v>
                </c:pt>
                <c:pt idx="3">
                  <c:v>1726.0799999999997</c:v>
                </c:pt>
                <c:pt idx="4">
                  <c:v>1726.0799999999997</c:v>
                </c:pt>
                <c:pt idx="5">
                  <c:v>1726.0799999999997</c:v>
                </c:pt>
                <c:pt idx="6">
                  <c:v>1726.0799999999997</c:v>
                </c:pt>
                <c:pt idx="7">
                  <c:v>1726.0799999999997</c:v>
                </c:pt>
                <c:pt idx="8">
                  <c:v>1726.0799999999997</c:v>
                </c:pt>
                <c:pt idx="9">
                  <c:v>3092.08</c:v>
                </c:pt>
                <c:pt idx="10">
                  <c:v>3092.08</c:v>
                </c:pt>
                <c:pt idx="11">
                  <c:v>3092.08</c:v>
                </c:pt>
                <c:pt idx="12">
                  <c:v>3092.08</c:v>
                </c:pt>
                <c:pt idx="13">
                  <c:v>3092.08</c:v>
                </c:pt>
                <c:pt idx="14">
                  <c:v>3062.08</c:v>
                </c:pt>
                <c:pt idx="15">
                  <c:v>3062.08</c:v>
                </c:pt>
                <c:pt idx="16">
                  <c:v>3062.08</c:v>
                </c:pt>
                <c:pt idx="17">
                  <c:v>3062.08</c:v>
                </c:pt>
                <c:pt idx="18">
                  <c:v>3062.08</c:v>
                </c:pt>
                <c:pt idx="19">
                  <c:v>3062.08</c:v>
                </c:pt>
                <c:pt idx="20">
                  <c:v>3062.08</c:v>
                </c:pt>
                <c:pt idx="21">
                  <c:v>3062.08</c:v>
                </c:pt>
                <c:pt idx="22">
                  <c:v>2737.08</c:v>
                </c:pt>
                <c:pt idx="23">
                  <c:v>2707.0299999999997</c:v>
                </c:pt>
                <c:pt idx="24">
                  <c:v>3707.0299999999997</c:v>
                </c:pt>
                <c:pt idx="25">
                  <c:v>3707.0299999999997</c:v>
                </c:pt>
                <c:pt idx="26">
                  <c:v>3707.0299999999997</c:v>
                </c:pt>
                <c:pt idx="27">
                  <c:v>3707.0299999999997</c:v>
                </c:pt>
                <c:pt idx="28">
                  <c:v>3707.0299999999997</c:v>
                </c:pt>
                <c:pt idx="29">
                  <c:v>3707.0299999999997</c:v>
                </c:pt>
                <c:pt idx="30">
                  <c:v>3707.0299999999997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1-45A0-B640-7DAD6F06129A}"/>
            </c:ext>
          </c:extLst>
        </c:ser>
        <c:ser>
          <c:idx val="0"/>
          <c:order val="1"/>
          <c:tx>
            <c:v>CardO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'August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2021'!$H$23:$AL$23</c:f>
              <c:numCache>
                <c:formatCode>0.00</c:formatCode>
                <c:ptCount val="31"/>
                <c:pt idx="0">
                  <c:v>630.11000000000047</c:v>
                </c:pt>
                <c:pt idx="1">
                  <c:v>3853.8300000000008</c:v>
                </c:pt>
                <c:pt idx="2">
                  <c:v>3579.670000000001</c:v>
                </c:pt>
                <c:pt idx="3">
                  <c:v>3579.670000000001</c:v>
                </c:pt>
                <c:pt idx="4">
                  <c:v>3579.670000000001</c:v>
                </c:pt>
                <c:pt idx="5">
                  <c:v>3579.670000000001</c:v>
                </c:pt>
                <c:pt idx="6">
                  <c:v>3579.670000000001</c:v>
                </c:pt>
                <c:pt idx="7">
                  <c:v>3079.670000000001</c:v>
                </c:pt>
                <c:pt idx="8">
                  <c:v>3494.670000000001</c:v>
                </c:pt>
                <c:pt idx="9">
                  <c:v>2707.3100000000013</c:v>
                </c:pt>
                <c:pt idx="10">
                  <c:v>2707.3100000000013</c:v>
                </c:pt>
                <c:pt idx="11">
                  <c:v>2707.3100000000013</c:v>
                </c:pt>
                <c:pt idx="12">
                  <c:v>2707.3100000000013</c:v>
                </c:pt>
                <c:pt idx="13">
                  <c:v>2575.670000000001</c:v>
                </c:pt>
                <c:pt idx="14">
                  <c:v>2575.670000000001</c:v>
                </c:pt>
                <c:pt idx="15">
                  <c:v>2575.670000000001</c:v>
                </c:pt>
                <c:pt idx="16">
                  <c:v>2545.9800000000009</c:v>
                </c:pt>
                <c:pt idx="17">
                  <c:v>2145.9800000000009</c:v>
                </c:pt>
                <c:pt idx="18">
                  <c:v>2145.9800000000009</c:v>
                </c:pt>
                <c:pt idx="19">
                  <c:v>2071.7400000000007</c:v>
                </c:pt>
                <c:pt idx="20">
                  <c:v>2071.7400000000007</c:v>
                </c:pt>
                <c:pt idx="21">
                  <c:v>2071.7400000000007</c:v>
                </c:pt>
                <c:pt idx="22">
                  <c:v>2071.7400000000007</c:v>
                </c:pt>
                <c:pt idx="23">
                  <c:v>2071.7400000000007</c:v>
                </c:pt>
                <c:pt idx="24">
                  <c:v>2071.7400000000007</c:v>
                </c:pt>
                <c:pt idx="25">
                  <c:v>2071.7400000000007</c:v>
                </c:pt>
                <c:pt idx="26">
                  <c:v>1807.9000000000008</c:v>
                </c:pt>
                <c:pt idx="27">
                  <c:v>1749.2000000000007</c:v>
                </c:pt>
                <c:pt idx="28">
                  <c:v>1749.2000000000007</c:v>
                </c:pt>
                <c:pt idx="29">
                  <c:v>2349.2000000000007</c:v>
                </c:pt>
                <c:pt idx="30">
                  <c:v>2349.2000000000007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1-45A0-B640-7DAD6F06129A}"/>
            </c:ext>
          </c:extLst>
        </c:ser>
        <c:ser>
          <c:idx val="1"/>
          <c:order val="2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'August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2021'!$H$24:$AL$24</c:f>
              <c:numCache>
                <c:formatCode>0.00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144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199</c:v>
                </c:pt>
                <c:pt idx="12">
                  <c:v>199</c:v>
                </c:pt>
                <c:pt idx="13">
                  <c:v>199</c:v>
                </c:pt>
                <c:pt idx="14">
                  <c:v>199</c:v>
                </c:pt>
                <c:pt idx="15">
                  <c:v>199</c:v>
                </c:pt>
                <c:pt idx="16">
                  <c:v>199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150.69999999999999</c:v>
                </c:pt>
                <c:pt idx="24">
                  <c:v>110.69999999999999</c:v>
                </c:pt>
                <c:pt idx="25">
                  <c:v>110.69999999999999</c:v>
                </c:pt>
                <c:pt idx="26">
                  <c:v>110.69999999999999</c:v>
                </c:pt>
                <c:pt idx="27">
                  <c:v>110.69999999999999</c:v>
                </c:pt>
                <c:pt idx="28">
                  <c:v>110.69999999999999</c:v>
                </c:pt>
                <c:pt idx="29">
                  <c:v>110.69999999999999</c:v>
                </c:pt>
                <c:pt idx="30">
                  <c:v>90.699999999999989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1-45A0-B640-7DAD6F06129A}"/>
            </c:ext>
          </c:extLst>
        </c:ser>
        <c:ser>
          <c:idx val="4"/>
          <c:order val="5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'August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2021'!$H$25:$AL$25</c:f>
              <c:numCache>
                <c:formatCode>0.00</c:formatCode>
                <c:ptCount val="31"/>
                <c:pt idx="0">
                  <c:v>318.08</c:v>
                </c:pt>
                <c:pt idx="1">
                  <c:v>318.08</c:v>
                </c:pt>
                <c:pt idx="2">
                  <c:v>318.08</c:v>
                </c:pt>
                <c:pt idx="3">
                  <c:v>318.08</c:v>
                </c:pt>
                <c:pt idx="4">
                  <c:v>606.07999999999993</c:v>
                </c:pt>
                <c:pt idx="5">
                  <c:v>606.07999999999993</c:v>
                </c:pt>
                <c:pt idx="6">
                  <c:v>382.97999999999996</c:v>
                </c:pt>
                <c:pt idx="7">
                  <c:v>382.97999999999996</c:v>
                </c:pt>
                <c:pt idx="8">
                  <c:v>382.97999999999996</c:v>
                </c:pt>
                <c:pt idx="9">
                  <c:v>382.97999999999996</c:v>
                </c:pt>
                <c:pt idx="10">
                  <c:v>382.97999999999996</c:v>
                </c:pt>
                <c:pt idx="11">
                  <c:v>382.97999999999996</c:v>
                </c:pt>
                <c:pt idx="12">
                  <c:v>356.33</c:v>
                </c:pt>
                <c:pt idx="13">
                  <c:v>356.33</c:v>
                </c:pt>
                <c:pt idx="14">
                  <c:v>356.33</c:v>
                </c:pt>
                <c:pt idx="15">
                  <c:v>154.81</c:v>
                </c:pt>
                <c:pt idx="16">
                  <c:v>145.74</c:v>
                </c:pt>
                <c:pt idx="17">
                  <c:v>129.76000000000002</c:v>
                </c:pt>
                <c:pt idx="18">
                  <c:v>129.76000000000002</c:v>
                </c:pt>
                <c:pt idx="19">
                  <c:v>129.76000000000002</c:v>
                </c:pt>
                <c:pt idx="20">
                  <c:v>129.76000000000002</c:v>
                </c:pt>
                <c:pt idx="21">
                  <c:v>16.330000000000013</c:v>
                </c:pt>
                <c:pt idx="22">
                  <c:v>16.330000000000013</c:v>
                </c:pt>
                <c:pt idx="23">
                  <c:v>16.330000000000013</c:v>
                </c:pt>
                <c:pt idx="24">
                  <c:v>16.330000000000013</c:v>
                </c:pt>
                <c:pt idx="25">
                  <c:v>16.330000000000013</c:v>
                </c:pt>
                <c:pt idx="26">
                  <c:v>456.33000000000004</c:v>
                </c:pt>
                <c:pt idx="27">
                  <c:v>456.33000000000004</c:v>
                </c:pt>
                <c:pt idx="28">
                  <c:v>175.97000000000003</c:v>
                </c:pt>
                <c:pt idx="29">
                  <c:v>175.97000000000003</c:v>
                </c:pt>
                <c:pt idx="30">
                  <c:v>175.97000000000003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1-45A0-B640-7DAD6F06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88000"/>
        <c:axId val="638210768"/>
      </c:lineChart>
      <c:lineChart>
        <c:grouping val="standard"/>
        <c:varyColors val="0"/>
        <c:ser>
          <c:idx val="2"/>
          <c:order val="3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'August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2021'!$H$26:$AL$26</c:f>
              <c:numCache>
                <c:formatCode>0.00</c:formatCode>
                <c:ptCount val="31"/>
                <c:pt idx="0">
                  <c:v>22699.11</c:v>
                </c:pt>
                <c:pt idx="1">
                  <c:v>22699.11</c:v>
                </c:pt>
                <c:pt idx="2">
                  <c:v>22699.11</c:v>
                </c:pt>
                <c:pt idx="3">
                  <c:v>22699.11</c:v>
                </c:pt>
                <c:pt idx="4">
                  <c:v>22699.11</c:v>
                </c:pt>
                <c:pt idx="5">
                  <c:v>22699.11</c:v>
                </c:pt>
                <c:pt idx="6">
                  <c:v>22699.11</c:v>
                </c:pt>
                <c:pt idx="7">
                  <c:v>22699.11</c:v>
                </c:pt>
                <c:pt idx="8">
                  <c:v>22699.11</c:v>
                </c:pt>
                <c:pt idx="9">
                  <c:v>22699.11</c:v>
                </c:pt>
                <c:pt idx="10">
                  <c:v>22699.11</c:v>
                </c:pt>
                <c:pt idx="11">
                  <c:v>22699.11</c:v>
                </c:pt>
                <c:pt idx="12">
                  <c:v>22699.11</c:v>
                </c:pt>
                <c:pt idx="13">
                  <c:v>22699.11</c:v>
                </c:pt>
                <c:pt idx="14">
                  <c:v>22697.11</c:v>
                </c:pt>
                <c:pt idx="15">
                  <c:v>22697.11</c:v>
                </c:pt>
                <c:pt idx="16">
                  <c:v>22697.11</c:v>
                </c:pt>
                <c:pt idx="17">
                  <c:v>22697.11</c:v>
                </c:pt>
                <c:pt idx="18">
                  <c:v>22697.11</c:v>
                </c:pt>
                <c:pt idx="19">
                  <c:v>22697.11</c:v>
                </c:pt>
                <c:pt idx="20">
                  <c:v>22697.11</c:v>
                </c:pt>
                <c:pt idx="21">
                  <c:v>22697.11</c:v>
                </c:pt>
                <c:pt idx="22">
                  <c:v>22697.11</c:v>
                </c:pt>
                <c:pt idx="23">
                  <c:v>22697.11</c:v>
                </c:pt>
                <c:pt idx="24">
                  <c:v>22697.11</c:v>
                </c:pt>
                <c:pt idx="25">
                  <c:v>22697.11</c:v>
                </c:pt>
                <c:pt idx="26">
                  <c:v>22697.11</c:v>
                </c:pt>
                <c:pt idx="27">
                  <c:v>22697.11</c:v>
                </c:pt>
                <c:pt idx="28">
                  <c:v>22697.11</c:v>
                </c:pt>
                <c:pt idx="29">
                  <c:v>22697.11</c:v>
                </c:pt>
                <c:pt idx="30">
                  <c:v>22697.11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1-45A0-B640-7DAD6F06129A}"/>
            </c:ext>
          </c:extLst>
        </c:ser>
        <c:ser>
          <c:idx val="3"/>
          <c:order val="4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'August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'August 2021'!$H$27:$AL$27</c:f>
              <c:numCache>
                <c:formatCode>0.00</c:formatCode>
                <c:ptCount val="31"/>
                <c:pt idx="0">
                  <c:v>3055.5</c:v>
                </c:pt>
                <c:pt idx="1">
                  <c:v>3055.5</c:v>
                </c:pt>
                <c:pt idx="2">
                  <c:v>3055.5</c:v>
                </c:pt>
                <c:pt idx="3">
                  <c:v>3055.5</c:v>
                </c:pt>
                <c:pt idx="4">
                  <c:v>3055.5</c:v>
                </c:pt>
                <c:pt idx="5">
                  <c:v>3055.5</c:v>
                </c:pt>
                <c:pt idx="6">
                  <c:v>3055.5</c:v>
                </c:pt>
                <c:pt idx="7">
                  <c:v>3055.5</c:v>
                </c:pt>
                <c:pt idx="8">
                  <c:v>3055.5</c:v>
                </c:pt>
                <c:pt idx="9">
                  <c:v>3055.5</c:v>
                </c:pt>
                <c:pt idx="10">
                  <c:v>3055.5</c:v>
                </c:pt>
                <c:pt idx="11">
                  <c:v>3055.5</c:v>
                </c:pt>
                <c:pt idx="12">
                  <c:v>3055.5</c:v>
                </c:pt>
                <c:pt idx="13">
                  <c:v>3055.5</c:v>
                </c:pt>
                <c:pt idx="14">
                  <c:v>3055.5</c:v>
                </c:pt>
                <c:pt idx="15">
                  <c:v>3055.5</c:v>
                </c:pt>
                <c:pt idx="16">
                  <c:v>3055.5</c:v>
                </c:pt>
                <c:pt idx="17">
                  <c:v>3055.5</c:v>
                </c:pt>
                <c:pt idx="18">
                  <c:v>3055.5</c:v>
                </c:pt>
                <c:pt idx="19">
                  <c:v>3055.5</c:v>
                </c:pt>
                <c:pt idx="20">
                  <c:v>3055.5</c:v>
                </c:pt>
                <c:pt idx="21">
                  <c:v>3055.5</c:v>
                </c:pt>
                <c:pt idx="22">
                  <c:v>3055.5</c:v>
                </c:pt>
                <c:pt idx="23">
                  <c:v>3055.5</c:v>
                </c:pt>
                <c:pt idx="24">
                  <c:v>3055.5</c:v>
                </c:pt>
                <c:pt idx="25">
                  <c:v>3055.5</c:v>
                </c:pt>
                <c:pt idx="26">
                  <c:v>3055.5</c:v>
                </c:pt>
                <c:pt idx="27">
                  <c:v>3055.5</c:v>
                </c:pt>
                <c:pt idx="28">
                  <c:v>3055.5</c:v>
                </c:pt>
                <c:pt idx="29">
                  <c:v>3055.5</c:v>
                </c:pt>
                <c:pt idx="30">
                  <c:v>3055.5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C1-45A0-B640-7DAD6F061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58575"/>
        <c:axId val="1886529679"/>
      </c:lineChart>
      <c:catAx>
        <c:axId val="62758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auto val="1"/>
        <c:lblAlgn val="ctr"/>
        <c:lblOffset val="100"/>
        <c:tickMarkSkip val="1"/>
        <c:noMultiLvlLbl val="1"/>
      </c:cat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RON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between"/>
      </c:valAx>
      <c:valAx>
        <c:axId val="1886529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Euro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3158575"/>
        <c:crosses val="max"/>
        <c:crossBetween val="between"/>
      </c:valAx>
      <c:catAx>
        <c:axId val="19731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529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8338957630298"/>
          <c:y val="0.30422998831803677"/>
          <c:w val="0.16245964520914552"/>
          <c:h val="0.3859620723230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8BBB-4760-9AA1-EBA7937327E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BBB-4760-9AA1-EBA7937327E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BBB-4760-9AA1-EBA7937327E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BBB-4760-9AA1-EBA7937327E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8BBB-4760-9AA1-EBA7937327E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8BBB-4760-9AA1-EBA7937327E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8BBB-4760-9AA1-EBA7937327E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8BBB-4760-9AA1-EBA7937327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BBB-4760-9AA1-EBA7937327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BBB-4760-9AA1-EBA7937327E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BBB-4760-9AA1-EBA7937327E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BBB-4760-9AA1-EBA7937327E5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BB-4760-9AA1-EBA7937327E5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BB-4760-9AA1-EBA7937327E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BBB-4760-9AA1-EBA7937327E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8BBB-4760-9AA1-EBA7937327E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'August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Cadouri/vacante/altele</c:v>
                </c:pt>
              </c:strCache>
            </c:strRef>
          </c:cat>
          <c:val>
            <c:numRef>
              <c:f>'August 2021'!$D$30:$D$37</c:f>
              <c:numCache>
                <c:formatCode>0.00</c:formatCode>
                <c:ptCount val="8"/>
                <c:pt idx="0">
                  <c:v>900</c:v>
                </c:pt>
                <c:pt idx="1">
                  <c:v>291.07</c:v>
                </c:pt>
                <c:pt idx="2">
                  <c:v>410.98</c:v>
                </c:pt>
                <c:pt idx="3">
                  <c:v>1037.1199999999999</c:v>
                </c:pt>
                <c:pt idx="4">
                  <c:v>77</c:v>
                </c:pt>
                <c:pt idx="5">
                  <c:v>558.98</c:v>
                </c:pt>
                <c:pt idx="6">
                  <c:v>600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BB-4760-9AA1-EBA7937327E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14062793342979"/>
          <c:y val="3.068425897514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65021709786276716"/>
          <c:h val="0.71551004586745004"/>
        </c:manualLayout>
      </c:layout>
      <c:lineChart>
        <c:grouping val="standard"/>
        <c:varyColors val="0"/>
        <c:ser>
          <c:idx val="5"/>
          <c:order val="0"/>
          <c:tx>
            <c:v>CardE (RON)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'Septembrie 2021'!$H$22:$AL$22</c:f>
              <c:numCache>
                <c:formatCode>0.00</c:formatCode>
                <c:ptCount val="31"/>
                <c:pt idx="0">
                  <c:v>3707.0299999999997</c:v>
                </c:pt>
                <c:pt idx="1">
                  <c:v>3508.54</c:v>
                </c:pt>
                <c:pt idx="2">
                  <c:v>3414.54</c:v>
                </c:pt>
                <c:pt idx="3">
                  <c:v>3414.54</c:v>
                </c:pt>
                <c:pt idx="4">
                  <c:v>3414.54</c:v>
                </c:pt>
                <c:pt idx="5">
                  <c:v>2414.54</c:v>
                </c:pt>
                <c:pt idx="6">
                  <c:v>2414.54</c:v>
                </c:pt>
                <c:pt idx="7">
                  <c:v>2414.54</c:v>
                </c:pt>
                <c:pt idx="8">
                  <c:v>2414.54</c:v>
                </c:pt>
                <c:pt idx="9">
                  <c:v>3870.54</c:v>
                </c:pt>
                <c:pt idx="10">
                  <c:v>3870.54</c:v>
                </c:pt>
                <c:pt idx="11">
                  <c:v>3870.54</c:v>
                </c:pt>
                <c:pt idx="12">
                  <c:v>3870.54</c:v>
                </c:pt>
                <c:pt idx="13">
                  <c:v>3580.54</c:v>
                </c:pt>
                <c:pt idx="14">
                  <c:v>3580.54</c:v>
                </c:pt>
                <c:pt idx="15">
                  <c:v>3580.54</c:v>
                </c:pt>
                <c:pt idx="16">
                  <c:v>3495.04</c:v>
                </c:pt>
                <c:pt idx="17">
                  <c:v>3495.04</c:v>
                </c:pt>
                <c:pt idx="18">
                  <c:v>3495.04</c:v>
                </c:pt>
                <c:pt idx="19">
                  <c:v>3430.15</c:v>
                </c:pt>
                <c:pt idx="20">
                  <c:v>3430.15</c:v>
                </c:pt>
                <c:pt idx="21">
                  <c:v>3430.15</c:v>
                </c:pt>
                <c:pt idx="22">
                  <c:v>3430.15</c:v>
                </c:pt>
                <c:pt idx="23">
                  <c:v>4169.1499999999996</c:v>
                </c:pt>
                <c:pt idx="24">
                  <c:v>4169.1499999999996</c:v>
                </c:pt>
                <c:pt idx="25">
                  <c:v>4169.1499999999996</c:v>
                </c:pt>
                <c:pt idx="26">
                  <c:v>4138.96</c:v>
                </c:pt>
                <c:pt idx="27">
                  <c:v>4138.96</c:v>
                </c:pt>
                <c:pt idx="28">
                  <c:v>4138.96</c:v>
                </c:pt>
                <c:pt idx="29">
                  <c:v>4092.96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7-4653-BB4A-4FC472A349EA}"/>
            </c:ext>
          </c:extLst>
        </c:ser>
        <c:ser>
          <c:idx val="0"/>
          <c:order val="1"/>
          <c:tx>
            <c:v>CardO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'Septembrie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'Septembrie 2021'!$H$23:$AL$23</c:f>
              <c:numCache>
                <c:formatCode>0.00</c:formatCode>
                <c:ptCount val="31"/>
                <c:pt idx="0">
                  <c:v>1809.7000000000007</c:v>
                </c:pt>
                <c:pt idx="1">
                  <c:v>4967.7000000000007</c:v>
                </c:pt>
                <c:pt idx="2">
                  <c:v>4967.7000000000007</c:v>
                </c:pt>
                <c:pt idx="3">
                  <c:v>4967.7000000000007</c:v>
                </c:pt>
                <c:pt idx="4">
                  <c:v>4926.8200000000006</c:v>
                </c:pt>
                <c:pt idx="5">
                  <c:v>4926.8200000000006</c:v>
                </c:pt>
                <c:pt idx="6">
                  <c:v>4926.8200000000006</c:v>
                </c:pt>
                <c:pt idx="7">
                  <c:v>4926.8200000000006</c:v>
                </c:pt>
                <c:pt idx="8">
                  <c:v>4926.8700000000008</c:v>
                </c:pt>
                <c:pt idx="9">
                  <c:v>2568.8700000000008</c:v>
                </c:pt>
                <c:pt idx="10">
                  <c:v>1712.7500000000009</c:v>
                </c:pt>
                <c:pt idx="11">
                  <c:v>1638.150000000001</c:v>
                </c:pt>
                <c:pt idx="12">
                  <c:v>1638.150000000001</c:v>
                </c:pt>
                <c:pt idx="13">
                  <c:v>1527.150000000001</c:v>
                </c:pt>
                <c:pt idx="14">
                  <c:v>1473.5500000000011</c:v>
                </c:pt>
                <c:pt idx="15">
                  <c:v>1443.6800000000012</c:v>
                </c:pt>
                <c:pt idx="16">
                  <c:v>1443.6800000000012</c:v>
                </c:pt>
                <c:pt idx="17">
                  <c:v>1443.6800000000012</c:v>
                </c:pt>
                <c:pt idx="18">
                  <c:v>543.6800000000012</c:v>
                </c:pt>
                <c:pt idx="19">
                  <c:v>350.44000000000119</c:v>
                </c:pt>
                <c:pt idx="20">
                  <c:v>350.44000000000119</c:v>
                </c:pt>
                <c:pt idx="21">
                  <c:v>350.44000000000119</c:v>
                </c:pt>
                <c:pt idx="22">
                  <c:v>950.44000000000119</c:v>
                </c:pt>
                <c:pt idx="23">
                  <c:v>950.44000000000119</c:v>
                </c:pt>
                <c:pt idx="24">
                  <c:v>553.96000000000117</c:v>
                </c:pt>
                <c:pt idx="25">
                  <c:v>553.96000000000117</c:v>
                </c:pt>
                <c:pt idx="26">
                  <c:v>439.21000000000117</c:v>
                </c:pt>
                <c:pt idx="27">
                  <c:v>439.21000000000117</c:v>
                </c:pt>
                <c:pt idx="28">
                  <c:v>439.21000000000117</c:v>
                </c:pt>
                <c:pt idx="29">
                  <c:v>439.21000000000117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7-4653-BB4A-4FC472A349EA}"/>
            </c:ext>
          </c:extLst>
        </c:ser>
        <c:ser>
          <c:idx val="1"/>
          <c:order val="2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'Septembrie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'Septembrie 2021'!$H$24:$AL$24</c:f>
              <c:numCache>
                <c:formatCode>0.00</c:formatCode>
                <c:ptCount val="31"/>
                <c:pt idx="0">
                  <c:v>90.699999999999989</c:v>
                </c:pt>
                <c:pt idx="1">
                  <c:v>90.699999999999989</c:v>
                </c:pt>
                <c:pt idx="2">
                  <c:v>90.699999999999989</c:v>
                </c:pt>
                <c:pt idx="3">
                  <c:v>60.699999999999989</c:v>
                </c:pt>
                <c:pt idx="4">
                  <c:v>10.699999999999989</c:v>
                </c:pt>
                <c:pt idx="5">
                  <c:v>16.699999999999989</c:v>
                </c:pt>
                <c:pt idx="6">
                  <c:v>16.699999999999989</c:v>
                </c:pt>
                <c:pt idx="7">
                  <c:v>16.699999999999989</c:v>
                </c:pt>
                <c:pt idx="8">
                  <c:v>16.699999999999989</c:v>
                </c:pt>
                <c:pt idx="9">
                  <c:v>16.699999999999989</c:v>
                </c:pt>
                <c:pt idx="10">
                  <c:v>16.699999999999989</c:v>
                </c:pt>
                <c:pt idx="11">
                  <c:v>16.699999999999989</c:v>
                </c:pt>
                <c:pt idx="12">
                  <c:v>16.699999999999989</c:v>
                </c:pt>
                <c:pt idx="13">
                  <c:v>66.699999999999989</c:v>
                </c:pt>
                <c:pt idx="14">
                  <c:v>66.699999999999989</c:v>
                </c:pt>
                <c:pt idx="15">
                  <c:v>66.699999999999989</c:v>
                </c:pt>
                <c:pt idx="16">
                  <c:v>66.699999999999989</c:v>
                </c:pt>
                <c:pt idx="17">
                  <c:v>66.699999999999989</c:v>
                </c:pt>
                <c:pt idx="18">
                  <c:v>66.699999999999989</c:v>
                </c:pt>
                <c:pt idx="19">
                  <c:v>66.699999999999989</c:v>
                </c:pt>
                <c:pt idx="20">
                  <c:v>66.699999999999989</c:v>
                </c:pt>
                <c:pt idx="21">
                  <c:v>66.699999999999989</c:v>
                </c:pt>
                <c:pt idx="22">
                  <c:v>66.699999999999989</c:v>
                </c:pt>
                <c:pt idx="23">
                  <c:v>66.699999999999989</c:v>
                </c:pt>
                <c:pt idx="24">
                  <c:v>116.69999999999999</c:v>
                </c:pt>
                <c:pt idx="25">
                  <c:v>116.69999999999999</c:v>
                </c:pt>
                <c:pt idx="26">
                  <c:v>116.69999999999999</c:v>
                </c:pt>
                <c:pt idx="27">
                  <c:v>116.69999999999999</c:v>
                </c:pt>
                <c:pt idx="28">
                  <c:v>116.69999999999999</c:v>
                </c:pt>
                <c:pt idx="29">
                  <c:v>116.69999999999999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7-4653-BB4A-4FC472A349EA}"/>
            </c:ext>
          </c:extLst>
        </c:ser>
        <c:ser>
          <c:idx val="4"/>
          <c:order val="5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'Septembrie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'Septembrie 2021'!$H$25:$AL$25</c:f>
              <c:numCache>
                <c:formatCode>0.00</c:formatCode>
                <c:ptCount val="31"/>
                <c:pt idx="0">
                  <c:v>175.97000000000003</c:v>
                </c:pt>
                <c:pt idx="1">
                  <c:v>175.97000000000003</c:v>
                </c:pt>
                <c:pt idx="2">
                  <c:v>138.93000000000004</c:v>
                </c:pt>
                <c:pt idx="3">
                  <c:v>138.93000000000004</c:v>
                </c:pt>
                <c:pt idx="4">
                  <c:v>8.9300000000000352</c:v>
                </c:pt>
                <c:pt idx="5">
                  <c:v>404.93000000000006</c:v>
                </c:pt>
                <c:pt idx="6">
                  <c:v>404.93000000000006</c:v>
                </c:pt>
                <c:pt idx="7">
                  <c:v>404.93000000000006</c:v>
                </c:pt>
                <c:pt idx="8">
                  <c:v>404.93000000000006</c:v>
                </c:pt>
                <c:pt idx="9">
                  <c:v>404.93000000000006</c:v>
                </c:pt>
                <c:pt idx="10">
                  <c:v>404.93000000000006</c:v>
                </c:pt>
                <c:pt idx="11">
                  <c:v>266.88000000000005</c:v>
                </c:pt>
                <c:pt idx="12">
                  <c:v>266.88000000000005</c:v>
                </c:pt>
                <c:pt idx="13">
                  <c:v>266.88000000000005</c:v>
                </c:pt>
                <c:pt idx="14">
                  <c:v>266.88000000000005</c:v>
                </c:pt>
                <c:pt idx="15">
                  <c:v>266.88000000000005</c:v>
                </c:pt>
                <c:pt idx="16">
                  <c:v>266.88000000000005</c:v>
                </c:pt>
                <c:pt idx="17">
                  <c:v>266.88000000000005</c:v>
                </c:pt>
                <c:pt idx="18">
                  <c:v>266.88000000000005</c:v>
                </c:pt>
                <c:pt idx="19">
                  <c:v>16.880000000000052</c:v>
                </c:pt>
                <c:pt idx="20">
                  <c:v>16.880000000000052</c:v>
                </c:pt>
                <c:pt idx="21">
                  <c:v>16.880000000000052</c:v>
                </c:pt>
                <c:pt idx="22">
                  <c:v>16.880000000000052</c:v>
                </c:pt>
                <c:pt idx="23">
                  <c:v>16.880000000000052</c:v>
                </c:pt>
                <c:pt idx="24">
                  <c:v>16.880000000000052</c:v>
                </c:pt>
                <c:pt idx="25">
                  <c:v>16.880000000000052</c:v>
                </c:pt>
                <c:pt idx="26">
                  <c:v>16.880000000000052</c:v>
                </c:pt>
                <c:pt idx="27">
                  <c:v>16.880000000000052</c:v>
                </c:pt>
                <c:pt idx="28">
                  <c:v>456.88000000000005</c:v>
                </c:pt>
                <c:pt idx="29">
                  <c:v>456.88000000000005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7-4653-BB4A-4FC472A3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88000"/>
        <c:axId val="638210768"/>
      </c:lineChart>
      <c:lineChart>
        <c:grouping val="standard"/>
        <c:varyColors val="0"/>
        <c:ser>
          <c:idx val="2"/>
          <c:order val="3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'Septembrie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'Septembrie 2021'!$H$26:$AL$26</c:f>
              <c:numCache>
                <c:formatCode>0.00</c:formatCode>
                <c:ptCount val="31"/>
                <c:pt idx="0">
                  <c:v>22697.11</c:v>
                </c:pt>
                <c:pt idx="1">
                  <c:v>22697.11</c:v>
                </c:pt>
                <c:pt idx="2">
                  <c:v>22697.11</c:v>
                </c:pt>
                <c:pt idx="3">
                  <c:v>22697.11</c:v>
                </c:pt>
                <c:pt idx="4">
                  <c:v>22697.11</c:v>
                </c:pt>
                <c:pt idx="5">
                  <c:v>22697.11</c:v>
                </c:pt>
                <c:pt idx="6">
                  <c:v>22697.11</c:v>
                </c:pt>
                <c:pt idx="7">
                  <c:v>22697.11</c:v>
                </c:pt>
                <c:pt idx="8">
                  <c:v>22697.11</c:v>
                </c:pt>
                <c:pt idx="9">
                  <c:v>20662.07</c:v>
                </c:pt>
                <c:pt idx="10">
                  <c:v>20662.07</c:v>
                </c:pt>
                <c:pt idx="11">
                  <c:v>20662.07</c:v>
                </c:pt>
                <c:pt idx="12">
                  <c:v>20662.07</c:v>
                </c:pt>
                <c:pt idx="13">
                  <c:v>20662.07</c:v>
                </c:pt>
                <c:pt idx="14">
                  <c:v>20660.07</c:v>
                </c:pt>
                <c:pt idx="15">
                  <c:v>20660.07</c:v>
                </c:pt>
                <c:pt idx="16">
                  <c:v>20860.07</c:v>
                </c:pt>
                <c:pt idx="17">
                  <c:v>20860.07</c:v>
                </c:pt>
                <c:pt idx="18">
                  <c:v>20860.07</c:v>
                </c:pt>
                <c:pt idx="19">
                  <c:v>20860.07</c:v>
                </c:pt>
                <c:pt idx="20">
                  <c:v>20860.07</c:v>
                </c:pt>
                <c:pt idx="21">
                  <c:v>20860.07</c:v>
                </c:pt>
                <c:pt idx="22">
                  <c:v>20860.07</c:v>
                </c:pt>
                <c:pt idx="23">
                  <c:v>20860.07</c:v>
                </c:pt>
                <c:pt idx="24">
                  <c:v>20860.07</c:v>
                </c:pt>
                <c:pt idx="25">
                  <c:v>20860.07</c:v>
                </c:pt>
                <c:pt idx="26">
                  <c:v>20860.07</c:v>
                </c:pt>
                <c:pt idx="27">
                  <c:v>20860.07</c:v>
                </c:pt>
                <c:pt idx="28">
                  <c:v>20860.07</c:v>
                </c:pt>
                <c:pt idx="29">
                  <c:v>20860.07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7-4653-BB4A-4FC472A349EA}"/>
            </c:ext>
          </c:extLst>
        </c:ser>
        <c:ser>
          <c:idx val="3"/>
          <c:order val="4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'Septembrie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'Septembrie 2021'!$H$27:$AL$27</c:f>
              <c:numCache>
                <c:formatCode>0.00</c:formatCode>
                <c:ptCount val="31"/>
                <c:pt idx="0">
                  <c:v>3055.5</c:v>
                </c:pt>
                <c:pt idx="1">
                  <c:v>3055.5</c:v>
                </c:pt>
                <c:pt idx="2">
                  <c:v>3055.5</c:v>
                </c:pt>
                <c:pt idx="3">
                  <c:v>3055.5</c:v>
                </c:pt>
                <c:pt idx="4">
                  <c:v>3055.5</c:v>
                </c:pt>
                <c:pt idx="5">
                  <c:v>3055.5</c:v>
                </c:pt>
                <c:pt idx="6">
                  <c:v>3055.5</c:v>
                </c:pt>
                <c:pt idx="7">
                  <c:v>3055.5</c:v>
                </c:pt>
                <c:pt idx="8">
                  <c:v>3055.5</c:v>
                </c:pt>
                <c:pt idx="9">
                  <c:v>3055.5</c:v>
                </c:pt>
                <c:pt idx="10">
                  <c:v>3055.5</c:v>
                </c:pt>
                <c:pt idx="11">
                  <c:v>3055.5</c:v>
                </c:pt>
                <c:pt idx="12">
                  <c:v>3055.5</c:v>
                </c:pt>
                <c:pt idx="13">
                  <c:v>3055.5</c:v>
                </c:pt>
                <c:pt idx="14">
                  <c:v>3055.5</c:v>
                </c:pt>
                <c:pt idx="15">
                  <c:v>3055.5</c:v>
                </c:pt>
                <c:pt idx="16">
                  <c:v>3055.5</c:v>
                </c:pt>
                <c:pt idx="17">
                  <c:v>3055.5</c:v>
                </c:pt>
                <c:pt idx="18">
                  <c:v>3055.5</c:v>
                </c:pt>
                <c:pt idx="19">
                  <c:v>3055.5</c:v>
                </c:pt>
                <c:pt idx="20">
                  <c:v>3055.5</c:v>
                </c:pt>
                <c:pt idx="21">
                  <c:v>3055.5</c:v>
                </c:pt>
                <c:pt idx="22">
                  <c:v>3055.5</c:v>
                </c:pt>
                <c:pt idx="23">
                  <c:v>3055.5</c:v>
                </c:pt>
                <c:pt idx="24">
                  <c:v>3055.5</c:v>
                </c:pt>
                <c:pt idx="25">
                  <c:v>3055.5</c:v>
                </c:pt>
                <c:pt idx="26">
                  <c:v>3055.5</c:v>
                </c:pt>
                <c:pt idx="27">
                  <c:v>3055.5</c:v>
                </c:pt>
                <c:pt idx="28">
                  <c:v>3055.5</c:v>
                </c:pt>
                <c:pt idx="29">
                  <c:v>3055.5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7-4653-BB4A-4FC472A3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58575"/>
        <c:axId val="1886529679"/>
      </c:lineChart>
      <c:catAx>
        <c:axId val="62758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auto val="1"/>
        <c:lblAlgn val="ctr"/>
        <c:lblOffset val="100"/>
        <c:tickMarkSkip val="1"/>
        <c:noMultiLvlLbl val="1"/>
      </c:cat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RON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between"/>
      </c:valAx>
      <c:valAx>
        <c:axId val="1886529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Euro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3158575"/>
        <c:crosses val="max"/>
        <c:crossBetween val="between"/>
      </c:valAx>
      <c:catAx>
        <c:axId val="19731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529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8338957630298"/>
          <c:y val="0.30422998831803677"/>
          <c:w val="0.16245964520914552"/>
          <c:h val="0.3859620723230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AB98-41BA-81B0-CFBB8773ACD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B98-41BA-81B0-CFBB8773ACD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B98-41BA-81B0-CFBB8773AC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AB98-41BA-81B0-CFBB8773AC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AB98-41BA-81B0-CFBB8773ACD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AB98-41BA-81B0-CFBB8773ACD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AB98-41BA-81B0-CFBB8773ACD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AB98-41BA-81B0-CFBB8773AC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B98-41BA-81B0-CFBB8773AC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B98-41BA-81B0-CFBB8773ACD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B98-41BA-81B0-CFBB8773ACD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AB98-41BA-81B0-CFBB8773ACD2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98-41BA-81B0-CFBB8773ACD2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98-41BA-81B0-CFBB8773ACD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B98-41BA-81B0-CFBB8773ACD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AB98-41BA-81B0-CFBB8773ACD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'Septembrie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Cadouri/vacante/altele</c:v>
                </c:pt>
              </c:strCache>
            </c:strRef>
          </c:cat>
          <c:val>
            <c:numRef>
              <c:f>'Septembrie 2021'!$D$30:$D$37</c:f>
              <c:numCache>
                <c:formatCode>0.00</c:formatCode>
                <c:ptCount val="8"/>
                <c:pt idx="0">
                  <c:v>900</c:v>
                </c:pt>
                <c:pt idx="1">
                  <c:v>181.69816326530611</c:v>
                </c:pt>
                <c:pt idx="2">
                  <c:v>360.47</c:v>
                </c:pt>
                <c:pt idx="3">
                  <c:v>890.66000000000008</c:v>
                </c:pt>
                <c:pt idx="4">
                  <c:v>189.5</c:v>
                </c:pt>
                <c:pt idx="5">
                  <c:v>464.49</c:v>
                </c:pt>
                <c:pt idx="6">
                  <c:v>714.89</c:v>
                </c:pt>
                <c:pt idx="7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98-41BA-81B0-CFBB8773AC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14062793342979"/>
          <c:y val="3.068425897514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65021709786276716"/>
          <c:h val="0.71551004586745004"/>
        </c:manualLayout>
      </c:layout>
      <c:lineChart>
        <c:grouping val="standard"/>
        <c:varyColors val="0"/>
        <c:ser>
          <c:idx val="5"/>
          <c:order val="0"/>
          <c:tx>
            <c:v>CardE (RON)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'Octombrie 2021'!$H$22:$AL$22</c:f>
              <c:numCache>
                <c:formatCode>0.00</c:formatCode>
                <c:ptCount val="31"/>
                <c:pt idx="0">
                  <c:v>4092.96</c:v>
                </c:pt>
                <c:pt idx="1">
                  <c:v>4092.96</c:v>
                </c:pt>
                <c:pt idx="2">
                  <c:v>4092.96</c:v>
                </c:pt>
                <c:pt idx="3">
                  <c:v>4075.26</c:v>
                </c:pt>
                <c:pt idx="4">
                  <c:v>4075.26</c:v>
                </c:pt>
                <c:pt idx="5">
                  <c:v>3881.26</c:v>
                </c:pt>
                <c:pt idx="6">
                  <c:v>3851.26</c:v>
                </c:pt>
                <c:pt idx="7">
                  <c:v>5278.26</c:v>
                </c:pt>
                <c:pt idx="8">
                  <c:v>5278.26</c:v>
                </c:pt>
                <c:pt idx="9">
                  <c:v>5118.26</c:v>
                </c:pt>
                <c:pt idx="10">
                  <c:v>5118.26</c:v>
                </c:pt>
                <c:pt idx="11">
                  <c:v>5118.26</c:v>
                </c:pt>
                <c:pt idx="12">
                  <c:v>5068.26</c:v>
                </c:pt>
                <c:pt idx="13">
                  <c:v>5068.26</c:v>
                </c:pt>
                <c:pt idx="14">
                  <c:v>4929.3</c:v>
                </c:pt>
                <c:pt idx="15">
                  <c:v>4929.3</c:v>
                </c:pt>
                <c:pt idx="16">
                  <c:v>4929.3</c:v>
                </c:pt>
                <c:pt idx="17">
                  <c:v>4973.8499999999995</c:v>
                </c:pt>
                <c:pt idx="18">
                  <c:v>4973.8499999999995</c:v>
                </c:pt>
                <c:pt idx="19">
                  <c:v>4671.6799999999994</c:v>
                </c:pt>
                <c:pt idx="20">
                  <c:v>4671.6799999999994</c:v>
                </c:pt>
                <c:pt idx="21">
                  <c:v>4671.6799999999994</c:v>
                </c:pt>
                <c:pt idx="22">
                  <c:v>4332.6799999999994</c:v>
                </c:pt>
                <c:pt idx="23">
                  <c:v>4332.6799999999994</c:v>
                </c:pt>
                <c:pt idx="24">
                  <c:v>5332.6799999999994</c:v>
                </c:pt>
                <c:pt idx="25">
                  <c:v>5302.5099999999993</c:v>
                </c:pt>
                <c:pt idx="26">
                  <c:v>4856.6299999999992</c:v>
                </c:pt>
                <c:pt idx="27">
                  <c:v>4856.6299999999992</c:v>
                </c:pt>
                <c:pt idx="28">
                  <c:v>4856.6299999999992</c:v>
                </c:pt>
                <c:pt idx="29">
                  <c:v>4856.6299999999992</c:v>
                </c:pt>
                <c:pt idx="30">
                  <c:v>4856.6299999999992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F-4254-8C07-7C69F4B967DA}"/>
            </c:ext>
          </c:extLst>
        </c:ser>
        <c:ser>
          <c:idx val="0"/>
          <c:order val="1"/>
          <c:tx>
            <c:v>CardO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'Octombrie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'Octombrie 2021'!$H$23:$AL$23</c:f>
              <c:numCache>
                <c:formatCode>0.00</c:formatCode>
                <c:ptCount val="31"/>
                <c:pt idx="0">
                  <c:v>13617.210000000001</c:v>
                </c:pt>
                <c:pt idx="1">
                  <c:v>3053.2100000000009</c:v>
                </c:pt>
                <c:pt idx="2">
                  <c:v>3058.2100000000009</c:v>
                </c:pt>
                <c:pt idx="3">
                  <c:v>3058.2100000000009</c:v>
                </c:pt>
                <c:pt idx="4">
                  <c:v>3058.2100000000009</c:v>
                </c:pt>
                <c:pt idx="5">
                  <c:v>3058.2100000000009</c:v>
                </c:pt>
                <c:pt idx="6">
                  <c:v>3058.2100000000009</c:v>
                </c:pt>
                <c:pt idx="7">
                  <c:v>2458.2100000000009</c:v>
                </c:pt>
                <c:pt idx="8">
                  <c:v>2458.2100000000009</c:v>
                </c:pt>
                <c:pt idx="9">
                  <c:v>2438.2100000000009</c:v>
                </c:pt>
                <c:pt idx="10">
                  <c:v>2438.2100000000009</c:v>
                </c:pt>
                <c:pt idx="11">
                  <c:v>2438.2100000000009</c:v>
                </c:pt>
                <c:pt idx="12">
                  <c:v>2438.2100000000009</c:v>
                </c:pt>
                <c:pt idx="13">
                  <c:v>2438.2100000000009</c:v>
                </c:pt>
                <c:pt idx="14">
                  <c:v>2438.2100000000009</c:v>
                </c:pt>
                <c:pt idx="15">
                  <c:v>2280.170000000001</c:v>
                </c:pt>
                <c:pt idx="16">
                  <c:v>1210.3400000000011</c:v>
                </c:pt>
                <c:pt idx="17">
                  <c:v>1210.3400000000011</c:v>
                </c:pt>
                <c:pt idx="18">
                  <c:v>1210.3400000000011</c:v>
                </c:pt>
                <c:pt idx="19">
                  <c:v>1015.6500000000011</c:v>
                </c:pt>
                <c:pt idx="20">
                  <c:v>1015.6500000000011</c:v>
                </c:pt>
                <c:pt idx="21">
                  <c:v>1015.6500000000011</c:v>
                </c:pt>
                <c:pt idx="22">
                  <c:v>1015.6500000000011</c:v>
                </c:pt>
                <c:pt idx="23">
                  <c:v>1015.6500000000011</c:v>
                </c:pt>
                <c:pt idx="24">
                  <c:v>1104.2800000000009</c:v>
                </c:pt>
                <c:pt idx="25">
                  <c:v>1104.2800000000009</c:v>
                </c:pt>
                <c:pt idx="26">
                  <c:v>1114.2800000000009</c:v>
                </c:pt>
                <c:pt idx="27">
                  <c:v>1019.790000000001</c:v>
                </c:pt>
                <c:pt idx="28">
                  <c:v>1019.790000000001</c:v>
                </c:pt>
                <c:pt idx="29">
                  <c:v>949.70000000000095</c:v>
                </c:pt>
                <c:pt idx="30">
                  <c:v>949.70000000000095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F-4254-8C07-7C69F4B967DA}"/>
            </c:ext>
          </c:extLst>
        </c:ser>
        <c:ser>
          <c:idx val="1"/>
          <c:order val="2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'Octombrie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'Octombrie 2021'!$H$24:$AL$24</c:f>
              <c:numCache>
                <c:formatCode>0.00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180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F-4254-8C07-7C69F4B967DA}"/>
            </c:ext>
          </c:extLst>
        </c:ser>
        <c:ser>
          <c:idx val="4"/>
          <c:order val="5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'Octombrie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'Octombrie 2021'!$H$25:$AL$25</c:f>
              <c:numCache>
                <c:formatCode>0.00</c:formatCode>
                <c:ptCount val="31"/>
                <c:pt idx="0">
                  <c:v>456.88000000000005</c:v>
                </c:pt>
                <c:pt idx="1">
                  <c:v>325.58000000000004</c:v>
                </c:pt>
                <c:pt idx="2">
                  <c:v>325.58000000000004</c:v>
                </c:pt>
                <c:pt idx="3">
                  <c:v>325.58000000000004</c:v>
                </c:pt>
                <c:pt idx="4">
                  <c:v>721.58</c:v>
                </c:pt>
                <c:pt idx="5">
                  <c:v>721.58</c:v>
                </c:pt>
                <c:pt idx="6">
                  <c:v>721.58</c:v>
                </c:pt>
                <c:pt idx="7">
                  <c:v>721.58</c:v>
                </c:pt>
                <c:pt idx="8">
                  <c:v>721.58</c:v>
                </c:pt>
                <c:pt idx="9">
                  <c:v>608.94000000000005</c:v>
                </c:pt>
                <c:pt idx="10">
                  <c:v>608.94000000000005</c:v>
                </c:pt>
                <c:pt idx="11">
                  <c:v>608.94000000000005</c:v>
                </c:pt>
                <c:pt idx="12">
                  <c:v>608.94000000000005</c:v>
                </c:pt>
                <c:pt idx="13">
                  <c:v>608.94000000000005</c:v>
                </c:pt>
                <c:pt idx="14">
                  <c:v>608.94000000000005</c:v>
                </c:pt>
                <c:pt idx="15">
                  <c:v>418.94000000000005</c:v>
                </c:pt>
                <c:pt idx="16">
                  <c:v>418.94000000000005</c:v>
                </c:pt>
                <c:pt idx="17">
                  <c:v>418.94000000000005</c:v>
                </c:pt>
                <c:pt idx="18">
                  <c:v>418.94000000000005</c:v>
                </c:pt>
                <c:pt idx="19">
                  <c:v>418.94000000000005</c:v>
                </c:pt>
                <c:pt idx="20">
                  <c:v>418.94000000000005</c:v>
                </c:pt>
                <c:pt idx="21">
                  <c:v>418.94000000000005</c:v>
                </c:pt>
                <c:pt idx="22">
                  <c:v>418.94000000000005</c:v>
                </c:pt>
                <c:pt idx="23">
                  <c:v>418.94000000000005</c:v>
                </c:pt>
                <c:pt idx="24">
                  <c:v>418.94000000000005</c:v>
                </c:pt>
                <c:pt idx="25">
                  <c:v>305.15000000000003</c:v>
                </c:pt>
                <c:pt idx="26">
                  <c:v>305.15000000000003</c:v>
                </c:pt>
                <c:pt idx="27">
                  <c:v>725.15000000000009</c:v>
                </c:pt>
                <c:pt idx="28">
                  <c:v>725.15000000000009</c:v>
                </c:pt>
                <c:pt idx="29">
                  <c:v>470.71000000000009</c:v>
                </c:pt>
                <c:pt idx="30">
                  <c:v>470.71000000000009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CF-4254-8C07-7C69F4B9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88000"/>
        <c:axId val="638210768"/>
      </c:lineChart>
      <c:lineChart>
        <c:grouping val="standard"/>
        <c:varyColors val="0"/>
        <c:ser>
          <c:idx val="2"/>
          <c:order val="3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'Octombrie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'Octombrie 2021'!$H$26:$AL$26</c:f>
              <c:numCache>
                <c:formatCode>0.00</c:formatCode>
                <c:ptCount val="31"/>
                <c:pt idx="0">
                  <c:v>18825.560000000001</c:v>
                </c:pt>
                <c:pt idx="1">
                  <c:v>18825.560000000001</c:v>
                </c:pt>
                <c:pt idx="2">
                  <c:v>18825.560000000001</c:v>
                </c:pt>
                <c:pt idx="3">
                  <c:v>18825.560000000001</c:v>
                </c:pt>
                <c:pt idx="4">
                  <c:v>18825.560000000001</c:v>
                </c:pt>
                <c:pt idx="5">
                  <c:v>18825.560000000001</c:v>
                </c:pt>
                <c:pt idx="6">
                  <c:v>18825.560000000001</c:v>
                </c:pt>
                <c:pt idx="7">
                  <c:v>18825.560000000001</c:v>
                </c:pt>
                <c:pt idx="8">
                  <c:v>18825.560000000001</c:v>
                </c:pt>
                <c:pt idx="9">
                  <c:v>18825.560000000001</c:v>
                </c:pt>
                <c:pt idx="10">
                  <c:v>18825.560000000001</c:v>
                </c:pt>
                <c:pt idx="11">
                  <c:v>18825.560000000001</c:v>
                </c:pt>
                <c:pt idx="12">
                  <c:v>18825.560000000001</c:v>
                </c:pt>
                <c:pt idx="13">
                  <c:v>18825.560000000001</c:v>
                </c:pt>
                <c:pt idx="14">
                  <c:v>18823.560000000001</c:v>
                </c:pt>
                <c:pt idx="15">
                  <c:v>18823.560000000001</c:v>
                </c:pt>
                <c:pt idx="16">
                  <c:v>18823.560000000001</c:v>
                </c:pt>
                <c:pt idx="17">
                  <c:v>18823.560000000001</c:v>
                </c:pt>
                <c:pt idx="18">
                  <c:v>18823.560000000001</c:v>
                </c:pt>
                <c:pt idx="19">
                  <c:v>18823.560000000001</c:v>
                </c:pt>
                <c:pt idx="20">
                  <c:v>18823.560000000001</c:v>
                </c:pt>
                <c:pt idx="21">
                  <c:v>18823.560000000001</c:v>
                </c:pt>
                <c:pt idx="22">
                  <c:v>18823.560000000001</c:v>
                </c:pt>
                <c:pt idx="23">
                  <c:v>18823.560000000001</c:v>
                </c:pt>
                <c:pt idx="24">
                  <c:v>18823.560000000001</c:v>
                </c:pt>
                <c:pt idx="25">
                  <c:v>18823.560000000001</c:v>
                </c:pt>
                <c:pt idx="26">
                  <c:v>18823.560000000001</c:v>
                </c:pt>
                <c:pt idx="27">
                  <c:v>18823.560000000001</c:v>
                </c:pt>
                <c:pt idx="28">
                  <c:v>18823.560000000001</c:v>
                </c:pt>
                <c:pt idx="29">
                  <c:v>18823.560000000001</c:v>
                </c:pt>
                <c:pt idx="30">
                  <c:v>18823.560000000001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CF-4254-8C07-7C69F4B967DA}"/>
            </c:ext>
          </c:extLst>
        </c:ser>
        <c:ser>
          <c:idx val="3"/>
          <c:order val="4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'Octombrie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'Octombrie 2021'!$H$27:$AL$27</c:f>
              <c:numCache>
                <c:formatCode>0.00</c:formatCode>
                <c:ptCount val="31"/>
                <c:pt idx="0">
                  <c:v>3055.5</c:v>
                </c:pt>
                <c:pt idx="1">
                  <c:v>3055.5</c:v>
                </c:pt>
                <c:pt idx="2">
                  <c:v>3055.5</c:v>
                </c:pt>
                <c:pt idx="3">
                  <c:v>3055.5</c:v>
                </c:pt>
                <c:pt idx="4">
                  <c:v>3055.5</c:v>
                </c:pt>
                <c:pt idx="5">
                  <c:v>3055.5</c:v>
                </c:pt>
                <c:pt idx="6">
                  <c:v>3055.5</c:v>
                </c:pt>
                <c:pt idx="7">
                  <c:v>3055.5</c:v>
                </c:pt>
                <c:pt idx="8">
                  <c:v>3055.5</c:v>
                </c:pt>
                <c:pt idx="9">
                  <c:v>3055.5</c:v>
                </c:pt>
                <c:pt idx="10">
                  <c:v>3055.5</c:v>
                </c:pt>
                <c:pt idx="11">
                  <c:v>3055.5</c:v>
                </c:pt>
                <c:pt idx="12">
                  <c:v>3055.5</c:v>
                </c:pt>
                <c:pt idx="13">
                  <c:v>3055.5</c:v>
                </c:pt>
                <c:pt idx="14">
                  <c:v>3055.5</c:v>
                </c:pt>
                <c:pt idx="15">
                  <c:v>3055.5</c:v>
                </c:pt>
                <c:pt idx="16">
                  <c:v>3055.5</c:v>
                </c:pt>
                <c:pt idx="17">
                  <c:v>3055.5</c:v>
                </c:pt>
                <c:pt idx="18">
                  <c:v>3055.5</c:v>
                </c:pt>
                <c:pt idx="19">
                  <c:v>3055.5</c:v>
                </c:pt>
                <c:pt idx="20">
                  <c:v>3055.5</c:v>
                </c:pt>
                <c:pt idx="21">
                  <c:v>3055.5</c:v>
                </c:pt>
                <c:pt idx="22">
                  <c:v>3055.5</c:v>
                </c:pt>
                <c:pt idx="23">
                  <c:v>3055.5</c:v>
                </c:pt>
                <c:pt idx="24">
                  <c:v>3055.5</c:v>
                </c:pt>
                <c:pt idx="25">
                  <c:v>3055.5</c:v>
                </c:pt>
                <c:pt idx="26">
                  <c:v>3055.5</c:v>
                </c:pt>
                <c:pt idx="27">
                  <c:v>3055.5</c:v>
                </c:pt>
                <c:pt idx="28">
                  <c:v>3055.5</c:v>
                </c:pt>
                <c:pt idx="29">
                  <c:v>3055.5</c:v>
                </c:pt>
                <c:pt idx="30">
                  <c:v>3055.5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CF-4254-8C07-7C69F4B96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58575"/>
        <c:axId val="1886529679"/>
      </c:lineChart>
      <c:catAx>
        <c:axId val="62758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auto val="1"/>
        <c:lblAlgn val="ctr"/>
        <c:lblOffset val="100"/>
        <c:tickMarkSkip val="1"/>
        <c:noMultiLvlLbl val="1"/>
      </c:cat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RON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between"/>
      </c:valAx>
      <c:valAx>
        <c:axId val="1886529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Euro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3158575"/>
        <c:crosses val="max"/>
        <c:crossBetween val="between"/>
      </c:valAx>
      <c:catAx>
        <c:axId val="19731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529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8338957630298"/>
          <c:y val="0.30422998831803677"/>
          <c:w val="0.16245964520914552"/>
          <c:h val="0.3859620723230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E21-4B7D-8069-CB48F76A70C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E21-4B7D-8069-CB48F76A70C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DE21-4B7D-8069-CB48F76A70C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DE21-4B7D-8069-CB48F76A70C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DE21-4B7D-8069-CB48F76A70C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DE21-4B7D-8069-CB48F76A70C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DE21-4B7D-8069-CB48F76A70C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DE21-4B7D-8069-CB48F76A70C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E21-4B7D-8069-CB48F76A70C8}"/>
                </c:ext>
              </c:extLst>
            </c:dLbl>
            <c:dLbl>
              <c:idx val="1"/>
              <c:layout>
                <c:manualLayout>
                  <c:x val="-5.5555555555555558E-3"/>
                  <c:y val="-5.18806744487678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21-4B7D-8069-CB48F76A70C8}"/>
                </c:ext>
              </c:extLst>
            </c:dLbl>
            <c:dLbl>
              <c:idx val="2"/>
              <c:layout>
                <c:manualLayout>
                  <c:x val="8.8888888888888892E-2"/>
                  <c:y val="-4.32338953739731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21-4B7D-8069-CB48F76A70C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E21-4B7D-8069-CB48F76A70C8}"/>
                </c:ext>
              </c:extLst>
            </c:dLbl>
            <c:dLbl>
              <c:idx val="4"/>
              <c:layout>
                <c:manualLayout>
                  <c:x val="-8.4426946631772896E-5"/>
                  <c:y val="-0.157533421162821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1714785651794"/>
                      <c:h val="0.139234930264067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E21-4B7D-8069-CB48F76A70C8}"/>
                </c:ext>
              </c:extLst>
            </c:dLbl>
            <c:dLbl>
              <c:idx val="5"/>
              <c:layout>
                <c:manualLayout>
                  <c:x val="-3.6111111111111108E-2"/>
                  <c:y val="0.140834243968531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21-4B7D-8069-CB48F76A70C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DE21-4B7D-8069-CB48F76A70C8}"/>
                </c:ext>
              </c:extLst>
            </c:dLbl>
            <c:dLbl>
              <c:idx val="7"/>
              <c:layout>
                <c:manualLayout>
                  <c:x val="-0.125"/>
                  <c:y val="1.702121865117055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DE21-4B7D-8069-CB48F76A70C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'Octombrie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Cadouri/vacante/altele</c:v>
                </c:pt>
              </c:strCache>
            </c:strRef>
          </c:cat>
          <c:val>
            <c:numRef>
              <c:f>'Octombrie 2021'!$D$30:$D$37</c:f>
              <c:numCache>
                <c:formatCode>0.00</c:formatCode>
                <c:ptCount val="8"/>
                <c:pt idx="0">
                  <c:v>900</c:v>
                </c:pt>
                <c:pt idx="1">
                  <c:v>365.3</c:v>
                </c:pt>
                <c:pt idx="2">
                  <c:v>170.59</c:v>
                </c:pt>
                <c:pt idx="3">
                  <c:v>969.6099999999999</c:v>
                </c:pt>
                <c:pt idx="4">
                  <c:v>190.51</c:v>
                </c:pt>
                <c:pt idx="5">
                  <c:v>958.2</c:v>
                </c:pt>
                <c:pt idx="6">
                  <c:v>600</c:v>
                </c:pt>
                <c:pt idx="7">
                  <c:v>477.99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21-4B7D-8069-CB48F76A70C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14062793342979"/>
          <c:y val="3.068425897514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65021709786276716"/>
          <c:h val="0.71551004586745004"/>
        </c:manualLayout>
      </c:layout>
      <c:lineChart>
        <c:grouping val="standard"/>
        <c:varyColors val="0"/>
        <c:ser>
          <c:idx val="5"/>
          <c:order val="0"/>
          <c:tx>
            <c:v>CardE (RON)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'Noiembrie 2021'!$H$22:$AL$22</c:f>
              <c:numCache>
                <c:formatCode>0.00</c:formatCode>
                <c:ptCount val="31"/>
                <c:pt idx="0">
                  <c:v>4812.6499999999996</c:v>
                </c:pt>
                <c:pt idx="1">
                  <c:v>4818.6499999999996</c:v>
                </c:pt>
                <c:pt idx="2">
                  <c:v>4818.6499999999996</c:v>
                </c:pt>
                <c:pt idx="3">
                  <c:v>4818.6499999999996</c:v>
                </c:pt>
                <c:pt idx="4">
                  <c:v>4777.7</c:v>
                </c:pt>
                <c:pt idx="5">
                  <c:v>4777.7</c:v>
                </c:pt>
                <c:pt idx="6">
                  <c:v>4777.7</c:v>
                </c:pt>
                <c:pt idx="7">
                  <c:v>4643.2</c:v>
                </c:pt>
                <c:pt idx="8">
                  <c:v>5398.2</c:v>
                </c:pt>
                <c:pt idx="9">
                  <c:v>5398.2</c:v>
                </c:pt>
                <c:pt idx="10">
                  <c:v>5398.2</c:v>
                </c:pt>
                <c:pt idx="11">
                  <c:v>5398.2</c:v>
                </c:pt>
                <c:pt idx="12">
                  <c:v>5398.2</c:v>
                </c:pt>
                <c:pt idx="13">
                  <c:v>5256.2</c:v>
                </c:pt>
                <c:pt idx="14">
                  <c:v>5187.2</c:v>
                </c:pt>
                <c:pt idx="15">
                  <c:v>4987.2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6-4E7F-9110-C74C5CBF2E07}"/>
            </c:ext>
          </c:extLst>
        </c:ser>
        <c:ser>
          <c:idx val="0"/>
          <c:order val="1"/>
          <c:tx>
            <c:v>CardO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'Noiembrie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'Noiembrie 2021'!$H$23:$AL$23</c:f>
              <c:numCache>
                <c:formatCode>0.00</c:formatCode>
                <c:ptCount val="31"/>
                <c:pt idx="0">
                  <c:v>949.70000000000095</c:v>
                </c:pt>
                <c:pt idx="1">
                  <c:v>3000.0000000000009</c:v>
                </c:pt>
                <c:pt idx="2">
                  <c:v>3000.0000000000009</c:v>
                </c:pt>
                <c:pt idx="3">
                  <c:v>10939.15</c:v>
                </c:pt>
                <c:pt idx="4">
                  <c:v>10934.25</c:v>
                </c:pt>
                <c:pt idx="5">
                  <c:v>10596.73</c:v>
                </c:pt>
                <c:pt idx="6">
                  <c:v>10596.73</c:v>
                </c:pt>
                <c:pt idx="7">
                  <c:v>10596.73</c:v>
                </c:pt>
                <c:pt idx="8">
                  <c:v>10596.73</c:v>
                </c:pt>
                <c:pt idx="9">
                  <c:v>9985.73</c:v>
                </c:pt>
                <c:pt idx="10">
                  <c:v>10070.73</c:v>
                </c:pt>
                <c:pt idx="11">
                  <c:v>10070.73</c:v>
                </c:pt>
                <c:pt idx="12">
                  <c:v>10070.73</c:v>
                </c:pt>
                <c:pt idx="13">
                  <c:v>10070.73</c:v>
                </c:pt>
                <c:pt idx="14">
                  <c:v>10070.73</c:v>
                </c:pt>
                <c:pt idx="15">
                  <c:v>3556.66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6-4E7F-9110-C74C5CBF2E07}"/>
            </c:ext>
          </c:extLst>
        </c:ser>
        <c:ser>
          <c:idx val="1"/>
          <c:order val="2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'Noiembrie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'Noiembrie 2021'!$H$24:$AL$24</c:f>
              <c:numCache>
                <c:formatCode>0.00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6-4E7F-9110-C74C5CBF2E07}"/>
            </c:ext>
          </c:extLst>
        </c:ser>
        <c:ser>
          <c:idx val="4"/>
          <c:order val="5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'Noiembrie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'Noiembrie 2021'!$H$25:$AL$25</c:f>
              <c:numCache>
                <c:formatCode>0.00</c:formatCode>
                <c:ptCount val="31"/>
                <c:pt idx="0">
                  <c:v>470.71000000000009</c:v>
                </c:pt>
                <c:pt idx="1">
                  <c:v>470.71000000000009</c:v>
                </c:pt>
                <c:pt idx="2">
                  <c:v>848.71</c:v>
                </c:pt>
                <c:pt idx="3">
                  <c:v>848.71</c:v>
                </c:pt>
                <c:pt idx="4">
                  <c:v>848.71</c:v>
                </c:pt>
                <c:pt idx="5">
                  <c:v>848.71</c:v>
                </c:pt>
                <c:pt idx="6">
                  <c:v>449.51</c:v>
                </c:pt>
                <c:pt idx="7">
                  <c:v>449.51</c:v>
                </c:pt>
                <c:pt idx="8">
                  <c:v>449.51</c:v>
                </c:pt>
                <c:pt idx="9">
                  <c:v>449.51</c:v>
                </c:pt>
                <c:pt idx="10">
                  <c:v>449.51</c:v>
                </c:pt>
                <c:pt idx="11">
                  <c:v>449.51</c:v>
                </c:pt>
                <c:pt idx="12">
                  <c:v>449.51</c:v>
                </c:pt>
                <c:pt idx="13">
                  <c:v>271.97000000000003</c:v>
                </c:pt>
                <c:pt idx="14">
                  <c:v>271.97000000000003</c:v>
                </c:pt>
                <c:pt idx="15">
                  <c:v>271.97000000000003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6-4E7F-9110-C74C5CBF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88000"/>
        <c:axId val="638210768"/>
      </c:lineChart>
      <c:lineChart>
        <c:grouping val="standard"/>
        <c:varyColors val="0"/>
        <c:ser>
          <c:idx val="2"/>
          <c:order val="3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'Noiembrie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'Noiembrie 2021'!$H$26:$AL$26</c:f>
              <c:numCache>
                <c:formatCode>0.00</c:formatCode>
                <c:ptCount val="31"/>
                <c:pt idx="0">
                  <c:v>18823.560000000001</c:v>
                </c:pt>
                <c:pt idx="1">
                  <c:v>18823.560000000001</c:v>
                </c:pt>
                <c:pt idx="2">
                  <c:v>18823.560000000001</c:v>
                </c:pt>
                <c:pt idx="3">
                  <c:v>16790.09</c:v>
                </c:pt>
                <c:pt idx="4">
                  <c:v>16790.09</c:v>
                </c:pt>
                <c:pt idx="5">
                  <c:v>16790.09</c:v>
                </c:pt>
                <c:pt idx="6">
                  <c:v>16790.09</c:v>
                </c:pt>
                <c:pt idx="7">
                  <c:v>16790.09</c:v>
                </c:pt>
                <c:pt idx="8">
                  <c:v>16790.09</c:v>
                </c:pt>
                <c:pt idx="9">
                  <c:v>16790.09</c:v>
                </c:pt>
                <c:pt idx="10">
                  <c:v>16790.09</c:v>
                </c:pt>
                <c:pt idx="11">
                  <c:v>16790.09</c:v>
                </c:pt>
                <c:pt idx="12">
                  <c:v>16790.09</c:v>
                </c:pt>
                <c:pt idx="13">
                  <c:v>16790.09</c:v>
                </c:pt>
                <c:pt idx="14">
                  <c:v>16788.09</c:v>
                </c:pt>
                <c:pt idx="15">
                  <c:v>16788.09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6-4E7F-9110-C74C5CBF2E07}"/>
            </c:ext>
          </c:extLst>
        </c:ser>
        <c:ser>
          <c:idx val="3"/>
          <c:order val="4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'Noiembrie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'Noiembrie 2021'!$H$27:$AL$27</c:f>
              <c:numCache>
                <c:formatCode>0.00</c:formatCode>
                <c:ptCount val="31"/>
                <c:pt idx="0">
                  <c:v>3055.5</c:v>
                </c:pt>
                <c:pt idx="1">
                  <c:v>3055.5</c:v>
                </c:pt>
                <c:pt idx="2">
                  <c:v>3055.5</c:v>
                </c:pt>
                <c:pt idx="3">
                  <c:v>3055.5</c:v>
                </c:pt>
                <c:pt idx="4">
                  <c:v>3055.5</c:v>
                </c:pt>
                <c:pt idx="5">
                  <c:v>3055.5</c:v>
                </c:pt>
                <c:pt idx="6">
                  <c:v>3055.5</c:v>
                </c:pt>
                <c:pt idx="7">
                  <c:v>3055.5</c:v>
                </c:pt>
                <c:pt idx="8">
                  <c:v>3055.5</c:v>
                </c:pt>
                <c:pt idx="9">
                  <c:v>3055.5</c:v>
                </c:pt>
                <c:pt idx="10">
                  <c:v>3055.5</c:v>
                </c:pt>
                <c:pt idx="11">
                  <c:v>3055.5</c:v>
                </c:pt>
                <c:pt idx="12">
                  <c:v>3055.5</c:v>
                </c:pt>
                <c:pt idx="13">
                  <c:v>3055.5</c:v>
                </c:pt>
                <c:pt idx="14">
                  <c:v>3055.5</c:v>
                </c:pt>
                <c:pt idx="15">
                  <c:v>3055.5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6-4E7F-9110-C74C5CBF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58575"/>
        <c:axId val="1886529679"/>
      </c:lineChart>
      <c:catAx>
        <c:axId val="62758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auto val="1"/>
        <c:lblAlgn val="ctr"/>
        <c:lblOffset val="100"/>
        <c:tickMarkSkip val="1"/>
        <c:noMultiLvlLbl val="1"/>
      </c:cat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RON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between"/>
      </c:valAx>
      <c:valAx>
        <c:axId val="1886529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Euro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3158575"/>
        <c:crosses val="max"/>
        <c:crossBetween val="between"/>
      </c:valAx>
      <c:catAx>
        <c:axId val="19731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529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8338957630298"/>
          <c:y val="0.30422998831803677"/>
          <c:w val="0.16245964520914552"/>
          <c:h val="0.3859620723230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100-4C3B-AEC3-91273DE940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100-4C3B-AEC3-91273DE940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100-4C3B-AEC3-91273DE940F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100-4C3B-AEC3-91273DE940F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100-4C3B-AEC3-91273DE940F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100-4C3B-AEC3-91273DE940F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100-4C3B-AEC3-91273DE940F1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100-4C3B-AEC3-91273DE940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00-4C3B-AEC3-91273DE940F1}"/>
                </c:ext>
              </c:extLst>
            </c:dLbl>
            <c:dLbl>
              <c:idx val="1"/>
              <c:layout>
                <c:manualLayout>
                  <c:x val="-5.5555555555555558E-3"/>
                  <c:y val="-5.18806744487678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00-4C3B-AEC3-91273DE940F1}"/>
                </c:ext>
              </c:extLst>
            </c:dLbl>
            <c:dLbl>
              <c:idx val="2"/>
              <c:layout>
                <c:manualLayout>
                  <c:x val="8.8888888888888892E-2"/>
                  <c:y val="-4.32338953739731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00-4C3B-AEC3-91273DE940F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100-4C3B-AEC3-91273DE940F1}"/>
                </c:ext>
              </c:extLst>
            </c:dLbl>
            <c:dLbl>
              <c:idx val="4"/>
              <c:layout>
                <c:manualLayout>
                  <c:x val="-8.4426946631772896E-5"/>
                  <c:y val="-0.157533421162821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1714785651794"/>
                      <c:h val="0.139234930264067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F100-4C3B-AEC3-91273DE940F1}"/>
                </c:ext>
              </c:extLst>
            </c:dLbl>
            <c:dLbl>
              <c:idx val="5"/>
              <c:layout>
                <c:manualLayout>
                  <c:x val="-3.6111111111111108E-2"/>
                  <c:y val="0.140834243968531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00-4C3B-AEC3-91273DE940F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100-4C3B-AEC3-91273DE940F1}"/>
                </c:ext>
              </c:extLst>
            </c:dLbl>
            <c:dLbl>
              <c:idx val="7"/>
              <c:layout>
                <c:manualLayout>
                  <c:x val="-0.125"/>
                  <c:y val="1.702121865117055E-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F100-4C3B-AEC3-91273DE940F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'Noiembrie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Cadouri/vacante/altele</c:v>
                </c:pt>
              </c:strCache>
            </c:strRef>
          </c:cat>
          <c:val>
            <c:numRef>
              <c:f>'Noiembrie 2021'!$D$30:$D$37</c:f>
              <c:numCache>
                <c:formatCode>0.00</c:formatCode>
                <c:ptCount val="8"/>
                <c:pt idx="1">
                  <c:v>118.28999999999999</c:v>
                </c:pt>
                <c:pt idx="2">
                  <c:v>250.1</c:v>
                </c:pt>
                <c:pt idx="3">
                  <c:v>271.62999999999994</c:v>
                </c:pt>
                <c:pt idx="4">
                  <c:v>232.40999999999997</c:v>
                </c:pt>
                <c:pt idx="5">
                  <c:v>166.5</c:v>
                </c:pt>
                <c:pt idx="6">
                  <c:v>700</c:v>
                </c:pt>
                <c:pt idx="7">
                  <c:v>808.99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100-4C3B-AEC3-91273DE940F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8E4B-4BE2-A064-D7D9F26D7D8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8E4B-4BE2-A064-D7D9F26D7D8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8E4B-4BE2-A064-D7D9F26D7D8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8E4B-4BE2-A064-D7D9F26D7D8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8E4B-4BE2-A064-D7D9F26D7D8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8E4B-4BE2-A064-D7D9F26D7D8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8E4B-4BE2-A064-D7D9F26D7D8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4B-4BE2-A064-D7D9F26D7D8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4B-4BE2-A064-D7D9F26D7D8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4B-4BE2-A064-D7D9F26D7D8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E4B-4BE2-A064-D7D9F26D7D8C}"/>
                </c:ext>
              </c:extLst>
            </c:dLbl>
            <c:dLbl>
              <c:idx val="4"/>
              <c:layout>
                <c:manualLayout>
                  <c:x val="-2.2222222222222223E-2"/>
                  <c:y val="-4.62962962962963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4B-4BE2-A064-D7D9F26D7D8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E4B-4BE2-A064-D7D9F26D7D8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E4B-4BE2-A064-D7D9F26D7D8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'Martie 2021'!$B$30:$B$36</c:f>
              <c:strCache>
                <c:ptCount val="7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 + Casa</c:v>
                </c:pt>
                <c:pt idx="4">
                  <c:v>Haine + Sanatate</c:v>
                </c:pt>
                <c:pt idx="5">
                  <c:v>God</c:v>
                </c:pt>
                <c:pt idx="6">
                  <c:v>Altele</c:v>
                </c:pt>
              </c:strCache>
            </c:strRef>
          </c:cat>
          <c:val>
            <c:numRef>
              <c:f>'Martie 2021'!$C$30:$C$36</c:f>
              <c:numCache>
                <c:formatCode>0.00</c:formatCode>
                <c:ptCount val="7"/>
                <c:pt idx="0">
                  <c:v>900</c:v>
                </c:pt>
                <c:pt idx="1">
                  <c:v>204.33</c:v>
                </c:pt>
                <c:pt idx="2">
                  <c:v>177.70872</c:v>
                </c:pt>
                <c:pt idx="3">
                  <c:v>709.13000000000011</c:v>
                </c:pt>
                <c:pt idx="4">
                  <c:v>167.9</c:v>
                </c:pt>
                <c:pt idx="5">
                  <c:v>100</c:v>
                </c:pt>
                <c:pt idx="6">
                  <c:v>21.716000000000001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B-4BE2-A064-D7D9F26D7D8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73355038067050138"/>
          <c:h val="0.71551004586745004"/>
        </c:manualLayout>
      </c:layout>
      <c:scatterChart>
        <c:scatterStyle val="lineMarker"/>
        <c:varyColors val="0"/>
        <c:ser>
          <c:idx val="0"/>
          <c:order val="0"/>
          <c:tx>
            <c:v>Card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'Aprilie 2021'!$G$1:$AJ$1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'Aprilie 2021'!$G$22:$AJ$22</c:f>
              <c:numCache>
                <c:formatCode>0.00</c:formatCode>
                <c:ptCount val="30"/>
                <c:pt idx="0">
                  <c:v>959.63</c:v>
                </c:pt>
                <c:pt idx="1">
                  <c:v>3998.2400000000002</c:v>
                </c:pt>
                <c:pt idx="2">
                  <c:v>3824.7499999999995</c:v>
                </c:pt>
                <c:pt idx="3">
                  <c:v>3824.7499999999995</c:v>
                </c:pt>
                <c:pt idx="4">
                  <c:v>3824.7499999999995</c:v>
                </c:pt>
                <c:pt idx="5">
                  <c:v>3824.7499999999995</c:v>
                </c:pt>
                <c:pt idx="6">
                  <c:v>3824.7499999999995</c:v>
                </c:pt>
                <c:pt idx="7">
                  <c:v>3816.3299999999995</c:v>
                </c:pt>
                <c:pt idx="8">
                  <c:v>3816.3299999999995</c:v>
                </c:pt>
                <c:pt idx="9">
                  <c:v>3816.3299999999995</c:v>
                </c:pt>
                <c:pt idx="10">
                  <c:v>3816.3299999999995</c:v>
                </c:pt>
                <c:pt idx="11">
                  <c:v>3816.3299999999995</c:v>
                </c:pt>
                <c:pt idx="12">
                  <c:v>3816.3299999999995</c:v>
                </c:pt>
                <c:pt idx="13">
                  <c:v>3756.3499999999995</c:v>
                </c:pt>
                <c:pt idx="14">
                  <c:v>3756.3499999999995</c:v>
                </c:pt>
                <c:pt idx="15">
                  <c:v>3756.3499999999995</c:v>
                </c:pt>
                <c:pt idx="16">
                  <c:v>3125.3559999999993</c:v>
                </c:pt>
                <c:pt idx="17">
                  <c:v>1875.3559999999993</c:v>
                </c:pt>
                <c:pt idx="18">
                  <c:v>1875.3559999999993</c:v>
                </c:pt>
                <c:pt idx="19">
                  <c:v>1875.3559999999993</c:v>
                </c:pt>
                <c:pt idx="20">
                  <c:v>1875.3559999999993</c:v>
                </c:pt>
                <c:pt idx="21">
                  <c:v>1875.3559999999993</c:v>
                </c:pt>
                <c:pt idx="22">
                  <c:v>2175.3559999999993</c:v>
                </c:pt>
                <c:pt idx="23">
                  <c:v>1621.1859999999992</c:v>
                </c:pt>
                <c:pt idx="24">
                  <c:v>1621.1859999999992</c:v>
                </c:pt>
                <c:pt idx="25">
                  <c:v>1423.0959999999993</c:v>
                </c:pt>
                <c:pt idx="26">
                  <c:v>1423.0959999999993</c:v>
                </c:pt>
                <c:pt idx="27">
                  <c:v>1393.8159999999993</c:v>
                </c:pt>
                <c:pt idx="28">
                  <c:v>1393.8159999999993</c:v>
                </c:pt>
                <c:pt idx="29">
                  <c:v>1323.5659999999993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8-43B3-BDA2-730342D113A4}"/>
            </c:ext>
          </c:extLst>
        </c:ser>
        <c:ser>
          <c:idx val="1"/>
          <c:order val="1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'Aprilie 2021'!$G$1:$AJ$1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'Aprilie 2021'!$G$23:$AJ$23</c:f>
              <c:numCache>
                <c:formatCode>0.00</c:formatCode>
                <c:ptCount val="30"/>
                <c:pt idx="0">
                  <c:v>456</c:v>
                </c:pt>
                <c:pt idx="1">
                  <c:v>456</c:v>
                </c:pt>
                <c:pt idx="2">
                  <c:v>356</c:v>
                </c:pt>
                <c:pt idx="3">
                  <c:v>356</c:v>
                </c:pt>
                <c:pt idx="4">
                  <c:v>356</c:v>
                </c:pt>
                <c:pt idx="5">
                  <c:v>356</c:v>
                </c:pt>
                <c:pt idx="6">
                  <c:v>356</c:v>
                </c:pt>
                <c:pt idx="7">
                  <c:v>356</c:v>
                </c:pt>
                <c:pt idx="8">
                  <c:v>356</c:v>
                </c:pt>
                <c:pt idx="9">
                  <c:v>346</c:v>
                </c:pt>
                <c:pt idx="10">
                  <c:v>346</c:v>
                </c:pt>
                <c:pt idx="11">
                  <c:v>346</c:v>
                </c:pt>
                <c:pt idx="12">
                  <c:v>346</c:v>
                </c:pt>
                <c:pt idx="13">
                  <c:v>346</c:v>
                </c:pt>
                <c:pt idx="14">
                  <c:v>346</c:v>
                </c:pt>
                <c:pt idx="15">
                  <c:v>346</c:v>
                </c:pt>
                <c:pt idx="16">
                  <c:v>346</c:v>
                </c:pt>
                <c:pt idx="17">
                  <c:v>346</c:v>
                </c:pt>
                <c:pt idx="18">
                  <c:v>341</c:v>
                </c:pt>
                <c:pt idx="19">
                  <c:v>341</c:v>
                </c:pt>
                <c:pt idx="20">
                  <c:v>341</c:v>
                </c:pt>
                <c:pt idx="21">
                  <c:v>341</c:v>
                </c:pt>
                <c:pt idx="22">
                  <c:v>331</c:v>
                </c:pt>
                <c:pt idx="23">
                  <c:v>531</c:v>
                </c:pt>
                <c:pt idx="24">
                  <c:v>470</c:v>
                </c:pt>
                <c:pt idx="25">
                  <c:v>470</c:v>
                </c:pt>
                <c:pt idx="26">
                  <c:v>470</c:v>
                </c:pt>
                <c:pt idx="27">
                  <c:v>470</c:v>
                </c:pt>
                <c:pt idx="28">
                  <c:v>470</c:v>
                </c:pt>
                <c:pt idx="29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8-43B3-BDA2-730342D113A4}"/>
            </c:ext>
          </c:extLst>
        </c:ser>
        <c:ser>
          <c:idx val="2"/>
          <c:order val="2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'Aprilie 2021'!$G$1:$AJ$1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'Aprilie 2021'!$G$25:$AJ$25</c:f>
              <c:numCache>
                <c:formatCode>0.00</c:formatCode>
                <c:ptCount val="30"/>
                <c:pt idx="0">
                  <c:v>3488.16</c:v>
                </c:pt>
                <c:pt idx="1">
                  <c:v>3488.16</c:v>
                </c:pt>
                <c:pt idx="2">
                  <c:v>3488.16</c:v>
                </c:pt>
                <c:pt idx="3">
                  <c:v>3488.16</c:v>
                </c:pt>
                <c:pt idx="4">
                  <c:v>3488.16</c:v>
                </c:pt>
                <c:pt idx="5">
                  <c:v>3488.16</c:v>
                </c:pt>
                <c:pt idx="6">
                  <c:v>3488.16</c:v>
                </c:pt>
                <c:pt idx="7">
                  <c:v>3488.16</c:v>
                </c:pt>
                <c:pt idx="8">
                  <c:v>3488.16</c:v>
                </c:pt>
                <c:pt idx="9">
                  <c:v>3488.16</c:v>
                </c:pt>
                <c:pt idx="10">
                  <c:v>3488.16</c:v>
                </c:pt>
                <c:pt idx="11">
                  <c:v>3488.16</c:v>
                </c:pt>
                <c:pt idx="12">
                  <c:v>3488.16</c:v>
                </c:pt>
                <c:pt idx="13">
                  <c:v>3488.16</c:v>
                </c:pt>
                <c:pt idx="14">
                  <c:v>3486.16</c:v>
                </c:pt>
                <c:pt idx="15">
                  <c:v>3486.16</c:v>
                </c:pt>
                <c:pt idx="16">
                  <c:v>3486.16</c:v>
                </c:pt>
                <c:pt idx="17">
                  <c:v>3486.16</c:v>
                </c:pt>
                <c:pt idx="18">
                  <c:v>3486.16</c:v>
                </c:pt>
                <c:pt idx="19">
                  <c:v>3486.16</c:v>
                </c:pt>
                <c:pt idx="20">
                  <c:v>3486.16</c:v>
                </c:pt>
                <c:pt idx="21">
                  <c:v>3486.16</c:v>
                </c:pt>
                <c:pt idx="22">
                  <c:v>3486.16</c:v>
                </c:pt>
                <c:pt idx="23">
                  <c:v>3486.16</c:v>
                </c:pt>
                <c:pt idx="24">
                  <c:v>3486.16</c:v>
                </c:pt>
                <c:pt idx="25">
                  <c:v>3486.16</c:v>
                </c:pt>
                <c:pt idx="26">
                  <c:v>3486.16</c:v>
                </c:pt>
                <c:pt idx="27">
                  <c:v>3486.16</c:v>
                </c:pt>
                <c:pt idx="28">
                  <c:v>3486.16</c:v>
                </c:pt>
                <c:pt idx="29">
                  <c:v>3486.16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8-43B3-BDA2-730342D113A4}"/>
            </c:ext>
          </c:extLst>
        </c:ser>
        <c:ser>
          <c:idx val="3"/>
          <c:order val="3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'Aprilie 2021'!$G$1:$AJ$1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'Aprilie 2021'!$G$26:$AJ$26</c:f>
              <c:numCache>
                <c:formatCode>0.00</c:formatCode>
                <c:ptCount val="30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5600</c:v>
                </c:pt>
                <c:pt idx="19">
                  <c:v>5600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C8-43B3-BDA2-730342D113A4}"/>
            </c:ext>
          </c:extLst>
        </c:ser>
        <c:ser>
          <c:idx val="4"/>
          <c:order val="4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'Aprilie 2021'!$G$1:$AJ$1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'Aprilie 2021'!$G$24:$AJ$24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414</c:v>
                </c:pt>
                <c:pt idx="5">
                  <c:v>414</c:v>
                </c:pt>
                <c:pt idx="6">
                  <c:v>414</c:v>
                </c:pt>
                <c:pt idx="7">
                  <c:v>414</c:v>
                </c:pt>
                <c:pt idx="8">
                  <c:v>414</c:v>
                </c:pt>
                <c:pt idx="9">
                  <c:v>414</c:v>
                </c:pt>
                <c:pt idx="10">
                  <c:v>223.40000000000003</c:v>
                </c:pt>
                <c:pt idx="11">
                  <c:v>223.40000000000003</c:v>
                </c:pt>
                <c:pt idx="12">
                  <c:v>223.40000000000003</c:v>
                </c:pt>
                <c:pt idx="13">
                  <c:v>223.40000000000003</c:v>
                </c:pt>
                <c:pt idx="14">
                  <c:v>223.40000000000003</c:v>
                </c:pt>
                <c:pt idx="15">
                  <c:v>223.40000000000003</c:v>
                </c:pt>
                <c:pt idx="16">
                  <c:v>223.40000000000003</c:v>
                </c:pt>
                <c:pt idx="17">
                  <c:v>223.40000000000003</c:v>
                </c:pt>
                <c:pt idx="18">
                  <c:v>169.42000000000004</c:v>
                </c:pt>
                <c:pt idx="19">
                  <c:v>169.42000000000004</c:v>
                </c:pt>
                <c:pt idx="20">
                  <c:v>169.42000000000004</c:v>
                </c:pt>
                <c:pt idx="21">
                  <c:v>169.42000000000004</c:v>
                </c:pt>
                <c:pt idx="22">
                  <c:v>169.42000000000004</c:v>
                </c:pt>
                <c:pt idx="23">
                  <c:v>169.42000000000004</c:v>
                </c:pt>
                <c:pt idx="24">
                  <c:v>112.90000000000005</c:v>
                </c:pt>
                <c:pt idx="25">
                  <c:v>112.90000000000005</c:v>
                </c:pt>
                <c:pt idx="26">
                  <c:v>112.90000000000005</c:v>
                </c:pt>
                <c:pt idx="27">
                  <c:v>112.90000000000005</c:v>
                </c:pt>
                <c:pt idx="28">
                  <c:v>262.90000000000003</c:v>
                </c:pt>
                <c:pt idx="29">
                  <c:v>122.14000000000003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C8-43B3-BDA2-730342D1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88000"/>
        <c:axId val="638210768"/>
      </c:scatterChart>
      <c:valAx>
        <c:axId val="62758800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crossBetween val="midCat"/>
        <c:majorUnit val="1"/>
      </c:val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5957305958424"/>
          <c:y val="0.30422998831803677"/>
          <c:w val="0.16547675290588679"/>
          <c:h val="0.3216350602692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664-4381-94CB-054FDA2A167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664-4381-94CB-054FDA2A167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664-4381-94CB-054FDA2A167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664-4381-94CB-054FDA2A167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664-4381-94CB-054FDA2A1679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4664-4381-94CB-054FDA2A1679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4664-4381-94CB-054FDA2A1679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84DE-4596-B742-F212BC8FAE4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664-4381-94CB-054FDA2A16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664-4381-94CB-054FDA2A16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664-4381-94CB-054FDA2A167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664-4381-94CB-054FDA2A1679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64-4381-94CB-054FDA2A1679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64-4381-94CB-054FDA2A167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4664-4381-94CB-054FDA2A167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4DE-4596-B742-F212BC8FAE4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'Aprilie 2021'!$B$30:$B$37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</c:v>
                </c:pt>
              </c:strCache>
            </c:strRef>
          </c:cat>
          <c:val>
            <c:numRef>
              <c:f>'Aprilie 2021'!$C$30:$C$37</c:f>
              <c:numCache>
                <c:formatCode>0.00</c:formatCode>
                <c:ptCount val="8"/>
                <c:pt idx="0">
                  <c:v>900</c:v>
                </c:pt>
                <c:pt idx="1">
                  <c:v>214.12</c:v>
                </c:pt>
                <c:pt idx="2">
                  <c:v>274.45999999999998</c:v>
                </c:pt>
                <c:pt idx="3">
                  <c:v>1005.414</c:v>
                </c:pt>
                <c:pt idx="4">
                  <c:v>25.18</c:v>
                </c:pt>
                <c:pt idx="5">
                  <c:v>44.97</c:v>
                </c:pt>
                <c:pt idx="6">
                  <c:v>350</c:v>
                </c:pt>
                <c:pt idx="7">
                  <c:v>872.22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64-4381-94CB-054FDA2A16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73355038067050138"/>
          <c:h val="0.71551004586745004"/>
        </c:manualLayout>
      </c:layout>
      <c:scatterChart>
        <c:scatterStyle val="lineMarker"/>
        <c:varyColors val="0"/>
        <c:ser>
          <c:idx val="0"/>
          <c:order val="0"/>
          <c:tx>
            <c:v>Card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'Mai 2021'!$G$22:$AK$22</c:f>
              <c:numCache>
                <c:formatCode>0.00</c:formatCode>
                <c:ptCount val="31"/>
                <c:pt idx="0">
                  <c:v>2278.8200000000002</c:v>
                </c:pt>
                <c:pt idx="1">
                  <c:v>2278.8200000000002</c:v>
                </c:pt>
                <c:pt idx="2">
                  <c:v>2178.6600000000003</c:v>
                </c:pt>
                <c:pt idx="3">
                  <c:v>2178.6600000000003</c:v>
                </c:pt>
                <c:pt idx="4">
                  <c:v>5353.57</c:v>
                </c:pt>
                <c:pt idx="5">
                  <c:v>5353.57</c:v>
                </c:pt>
                <c:pt idx="6">
                  <c:v>5353.57</c:v>
                </c:pt>
                <c:pt idx="7">
                  <c:v>5171.4000000000005</c:v>
                </c:pt>
                <c:pt idx="8">
                  <c:v>5171.4000000000005</c:v>
                </c:pt>
                <c:pt idx="9">
                  <c:v>5171.4000000000005</c:v>
                </c:pt>
                <c:pt idx="10">
                  <c:v>5171.4000000000005</c:v>
                </c:pt>
                <c:pt idx="11">
                  <c:v>5103.4000000000005</c:v>
                </c:pt>
                <c:pt idx="12">
                  <c:v>5002.8600000000006</c:v>
                </c:pt>
                <c:pt idx="13">
                  <c:v>4995.380000000001</c:v>
                </c:pt>
                <c:pt idx="14">
                  <c:v>4995.380000000001</c:v>
                </c:pt>
                <c:pt idx="15">
                  <c:v>4995.380000000001</c:v>
                </c:pt>
                <c:pt idx="16">
                  <c:v>4917.0500000000011</c:v>
                </c:pt>
                <c:pt idx="17">
                  <c:v>3697.0500000000011</c:v>
                </c:pt>
                <c:pt idx="18">
                  <c:v>3667.3000000000011</c:v>
                </c:pt>
                <c:pt idx="19">
                  <c:v>4211.7100000000009</c:v>
                </c:pt>
                <c:pt idx="20">
                  <c:v>4211.7100000000009</c:v>
                </c:pt>
                <c:pt idx="21">
                  <c:v>2983.4100000000008</c:v>
                </c:pt>
                <c:pt idx="22">
                  <c:v>2983.4100000000008</c:v>
                </c:pt>
                <c:pt idx="23">
                  <c:v>2946.8200000000006</c:v>
                </c:pt>
                <c:pt idx="24">
                  <c:v>2893.3500000000008</c:v>
                </c:pt>
                <c:pt idx="25">
                  <c:v>2313.2000000000007</c:v>
                </c:pt>
                <c:pt idx="26">
                  <c:v>2290.7200000000007</c:v>
                </c:pt>
                <c:pt idx="27">
                  <c:v>2290.7200000000007</c:v>
                </c:pt>
                <c:pt idx="28">
                  <c:v>2176.8700000000008</c:v>
                </c:pt>
                <c:pt idx="29">
                  <c:v>2176.8700000000008</c:v>
                </c:pt>
                <c:pt idx="30">
                  <c:v>2176.8700000000008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0-421C-97DC-D3B219C0A981}"/>
            </c:ext>
          </c:extLst>
        </c:ser>
        <c:ser>
          <c:idx val="1"/>
          <c:order val="1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'Mai 2021'!$G$23:$AK$23</c:f>
              <c:numCache>
                <c:formatCode>0.00</c:formatCode>
                <c:ptCount val="31"/>
                <c:pt idx="0">
                  <c:v>263</c:v>
                </c:pt>
                <c:pt idx="1">
                  <c:v>258</c:v>
                </c:pt>
                <c:pt idx="2">
                  <c:v>248</c:v>
                </c:pt>
                <c:pt idx="3">
                  <c:v>248</c:v>
                </c:pt>
                <c:pt idx="4">
                  <c:v>224.5</c:v>
                </c:pt>
                <c:pt idx="5">
                  <c:v>219.5</c:v>
                </c:pt>
                <c:pt idx="6">
                  <c:v>219.5</c:v>
                </c:pt>
                <c:pt idx="7">
                  <c:v>219.5</c:v>
                </c:pt>
                <c:pt idx="8">
                  <c:v>219.5</c:v>
                </c:pt>
                <c:pt idx="9">
                  <c:v>219.5</c:v>
                </c:pt>
                <c:pt idx="10">
                  <c:v>219.5</c:v>
                </c:pt>
                <c:pt idx="11">
                  <c:v>216.5</c:v>
                </c:pt>
                <c:pt idx="12">
                  <c:v>206.5</c:v>
                </c:pt>
                <c:pt idx="13">
                  <c:v>206.5</c:v>
                </c:pt>
                <c:pt idx="14">
                  <c:v>206.5</c:v>
                </c:pt>
                <c:pt idx="15">
                  <c:v>206.5</c:v>
                </c:pt>
                <c:pt idx="16">
                  <c:v>206.5</c:v>
                </c:pt>
                <c:pt idx="17">
                  <c:v>206.5</c:v>
                </c:pt>
                <c:pt idx="18">
                  <c:v>206.5</c:v>
                </c:pt>
                <c:pt idx="19">
                  <c:v>135.30000000000001</c:v>
                </c:pt>
                <c:pt idx="20">
                  <c:v>135.30000000000001</c:v>
                </c:pt>
                <c:pt idx="21">
                  <c:v>125.30000000000001</c:v>
                </c:pt>
                <c:pt idx="22">
                  <c:v>125.30000000000001</c:v>
                </c:pt>
                <c:pt idx="23">
                  <c:v>125.30000000000001</c:v>
                </c:pt>
                <c:pt idx="24">
                  <c:v>125.30000000000001</c:v>
                </c:pt>
                <c:pt idx="25">
                  <c:v>125.30000000000001</c:v>
                </c:pt>
                <c:pt idx="26">
                  <c:v>125.30000000000001</c:v>
                </c:pt>
                <c:pt idx="27">
                  <c:v>125.30000000000001</c:v>
                </c:pt>
                <c:pt idx="28">
                  <c:v>125.30000000000001</c:v>
                </c:pt>
                <c:pt idx="29">
                  <c:v>105.30000000000001</c:v>
                </c:pt>
                <c:pt idx="30">
                  <c:v>105.30000000000001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50-421C-97DC-D3B219C0A981}"/>
            </c:ext>
          </c:extLst>
        </c:ser>
        <c:ser>
          <c:idx val="2"/>
          <c:order val="2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'Mai 2021'!$G$25:$AK$25</c:f>
              <c:numCache>
                <c:formatCode>0.00</c:formatCode>
                <c:ptCount val="31"/>
                <c:pt idx="0">
                  <c:v>2955.5099999999998</c:v>
                </c:pt>
                <c:pt idx="1">
                  <c:v>2955.5099999999998</c:v>
                </c:pt>
                <c:pt idx="2">
                  <c:v>2955.5099999999998</c:v>
                </c:pt>
                <c:pt idx="3">
                  <c:v>2955.5099999999998</c:v>
                </c:pt>
                <c:pt idx="4">
                  <c:v>2955.5099999999998</c:v>
                </c:pt>
                <c:pt idx="5">
                  <c:v>2955.5099999999998</c:v>
                </c:pt>
                <c:pt idx="6">
                  <c:v>2955.5099999999998</c:v>
                </c:pt>
                <c:pt idx="7">
                  <c:v>2955.5099999999998</c:v>
                </c:pt>
                <c:pt idx="8">
                  <c:v>2955.5099999999998</c:v>
                </c:pt>
                <c:pt idx="9">
                  <c:v>2955.5099999999998</c:v>
                </c:pt>
                <c:pt idx="10">
                  <c:v>2955.5099999999998</c:v>
                </c:pt>
                <c:pt idx="11">
                  <c:v>2955.5099999999998</c:v>
                </c:pt>
                <c:pt idx="12">
                  <c:v>2955.5099999999998</c:v>
                </c:pt>
                <c:pt idx="13">
                  <c:v>2955.5099999999998</c:v>
                </c:pt>
                <c:pt idx="14">
                  <c:v>2955.5099999999998</c:v>
                </c:pt>
                <c:pt idx="15">
                  <c:v>2953.5099999999998</c:v>
                </c:pt>
                <c:pt idx="16">
                  <c:v>2953.5099999999998</c:v>
                </c:pt>
                <c:pt idx="17">
                  <c:v>2953.5099999999998</c:v>
                </c:pt>
                <c:pt idx="18">
                  <c:v>2953.5099999999998</c:v>
                </c:pt>
                <c:pt idx="19">
                  <c:v>2953.5099999999998</c:v>
                </c:pt>
                <c:pt idx="20">
                  <c:v>2953.5099999999998</c:v>
                </c:pt>
                <c:pt idx="21">
                  <c:v>2953.5099999999998</c:v>
                </c:pt>
                <c:pt idx="22">
                  <c:v>2953.5099999999998</c:v>
                </c:pt>
                <c:pt idx="23">
                  <c:v>2953.5099999999998</c:v>
                </c:pt>
                <c:pt idx="24">
                  <c:v>2953.5099999999998</c:v>
                </c:pt>
                <c:pt idx="25">
                  <c:v>2953.5099999999998</c:v>
                </c:pt>
                <c:pt idx="26">
                  <c:v>2953.5099999999998</c:v>
                </c:pt>
                <c:pt idx="27">
                  <c:v>2953.5099999999998</c:v>
                </c:pt>
                <c:pt idx="28">
                  <c:v>2953.5099999999998</c:v>
                </c:pt>
                <c:pt idx="29">
                  <c:v>2953.5099999999998</c:v>
                </c:pt>
                <c:pt idx="30">
                  <c:v>2953.5099999999998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50-421C-97DC-D3B219C0A981}"/>
            </c:ext>
          </c:extLst>
        </c:ser>
        <c:ser>
          <c:idx val="3"/>
          <c:order val="3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'Mai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'Mai 2021'!$G$26:$AK$26</c:f>
              <c:numCache>
                <c:formatCode>0.00</c:formatCode>
                <c:ptCount val="31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5600</c:v>
                </c:pt>
                <c:pt idx="19">
                  <c:v>5600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50-421C-97DC-D3B219C0A981}"/>
            </c:ext>
          </c:extLst>
        </c:ser>
        <c:ser>
          <c:idx val="4"/>
          <c:order val="4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'Mai 2021'!$G$1:$AK$1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'Mai 2021'!$G$24:$AK$24</c:f>
              <c:numCache>
                <c:formatCode>0.00</c:formatCode>
                <c:ptCount val="31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59.91</c:v>
                </c:pt>
                <c:pt idx="4">
                  <c:v>437.90999999999997</c:v>
                </c:pt>
                <c:pt idx="5">
                  <c:v>437.90999999999997</c:v>
                </c:pt>
                <c:pt idx="6">
                  <c:v>426.46</c:v>
                </c:pt>
                <c:pt idx="7">
                  <c:v>426.46</c:v>
                </c:pt>
                <c:pt idx="8">
                  <c:v>426.46</c:v>
                </c:pt>
                <c:pt idx="9">
                  <c:v>346.39</c:v>
                </c:pt>
                <c:pt idx="10">
                  <c:v>346.39</c:v>
                </c:pt>
                <c:pt idx="11">
                  <c:v>346.39</c:v>
                </c:pt>
                <c:pt idx="12">
                  <c:v>346.39</c:v>
                </c:pt>
                <c:pt idx="13">
                  <c:v>346.39</c:v>
                </c:pt>
                <c:pt idx="14">
                  <c:v>75.169999999999987</c:v>
                </c:pt>
                <c:pt idx="15">
                  <c:v>75.169999999999987</c:v>
                </c:pt>
                <c:pt idx="16">
                  <c:v>75.169999999999987</c:v>
                </c:pt>
                <c:pt idx="17">
                  <c:v>75.169999999999987</c:v>
                </c:pt>
                <c:pt idx="18">
                  <c:v>75.169999999999987</c:v>
                </c:pt>
                <c:pt idx="19">
                  <c:v>75.169999999999987</c:v>
                </c:pt>
                <c:pt idx="20">
                  <c:v>75.169999999999987</c:v>
                </c:pt>
                <c:pt idx="21">
                  <c:v>75.169999999999987</c:v>
                </c:pt>
                <c:pt idx="22">
                  <c:v>75.169999999999987</c:v>
                </c:pt>
                <c:pt idx="23">
                  <c:v>75.169999999999987</c:v>
                </c:pt>
                <c:pt idx="24">
                  <c:v>75.169999999999987</c:v>
                </c:pt>
                <c:pt idx="25">
                  <c:v>75.169999999999987</c:v>
                </c:pt>
                <c:pt idx="26">
                  <c:v>75.169999999999987</c:v>
                </c:pt>
                <c:pt idx="27">
                  <c:v>75.169999999999987</c:v>
                </c:pt>
                <c:pt idx="28">
                  <c:v>10.169999999999987</c:v>
                </c:pt>
                <c:pt idx="29">
                  <c:v>10.169999999999987</c:v>
                </c:pt>
                <c:pt idx="30">
                  <c:v>10.169999999999987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50-421C-97DC-D3B219C0A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88000"/>
        <c:axId val="638210768"/>
      </c:scatterChart>
      <c:valAx>
        <c:axId val="62758800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crossBetween val="midCat"/>
        <c:majorUnit val="1"/>
      </c:val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5957305958424"/>
          <c:y val="0.30422998831803677"/>
          <c:w val="0.16547675290588679"/>
          <c:h val="0.3216350602692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CFA-4642-B7D9-F42892DEC58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CFA-4642-B7D9-F42892DEC58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CFA-4642-B7D9-F42892DEC58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CFA-4642-B7D9-F42892DEC58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CFA-4642-B7D9-F42892DEC58E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CFA-4642-B7D9-F42892DEC58E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CFA-4642-B7D9-F42892DEC58E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CFA-4642-B7D9-F42892DEC5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FA-4642-B7D9-F42892DEC5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CFA-4642-B7D9-F42892DEC5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CFA-4642-B7D9-F42892DEC5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CCFA-4642-B7D9-F42892DEC58E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FA-4642-B7D9-F42892DEC58E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FA-4642-B7D9-F42892DEC58E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CCFA-4642-B7D9-F42892DEC58E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CFA-4642-B7D9-F42892DEC58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 2021'!$B$30:$B$37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</c:v>
                </c:pt>
              </c:strCache>
            </c:strRef>
          </c:cat>
          <c:val>
            <c:numRef>
              <c:f>'Mai 2021'!$C$30:$C$37</c:f>
              <c:numCache>
                <c:formatCode>0.00</c:formatCode>
                <c:ptCount val="8"/>
                <c:pt idx="0">
                  <c:v>820</c:v>
                </c:pt>
                <c:pt idx="1">
                  <c:v>534.52</c:v>
                </c:pt>
                <c:pt idx="2">
                  <c:v>298.7</c:v>
                </c:pt>
                <c:pt idx="3">
                  <c:v>736.78</c:v>
                </c:pt>
                <c:pt idx="4">
                  <c:v>8</c:v>
                </c:pt>
                <c:pt idx="6">
                  <c:v>400</c:v>
                </c:pt>
                <c:pt idx="7">
                  <c:v>322.14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FA-4642-B7D9-F42892DEC5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73355038067050138"/>
          <c:h val="0.71551004586745004"/>
        </c:manualLayout>
      </c:layout>
      <c:scatterChart>
        <c:scatterStyle val="lineMarker"/>
        <c:varyColors val="0"/>
        <c:ser>
          <c:idx val="0"/>
          <c:order val="0"/>
          <c:tx>
            <c:v>Card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'Iunie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'Iunie 2021'!$H$23:$AL$23</c:f>
              <c:numCache>
                <c:formatCode>0.00</c:formatCode>
                <c:ptCount val="31"/>
                <c:pt idx="0">
                  <c:v>1676.8700000000008</c:v>
                </c:pt>
                <c:pt idx="1">
                  <c:v>1396.3600000000008</c:v>
                </c:pt>
                <c:pt idx="2">
                  <c:v>4559.3600000000006</c:v>
                </c:pt>
                <c:pt idx="3">
                  <c:v>4431.0700000000006</c:v>
                </c:pt>
                <c:pt idx="4">
                  <c:v>4431.0700000000006</c:v>
                </c:pt>
                <c:pt idx="5">
                  <c:v>4125.0900000000011</c:v>
                </c:pt>
                <c:pt idx="6">
                  <c:v>4125.0900000000011</c:v>
                </c:pt>
                <c:pt idx="7">
                  <c:v>4125.0900000000011</c:v>
                </c:pt>
                <c:pt idx="8">
                  <c:v>3637.670000000001</c:v>
                </c:pt>
                <c:pt idx="9">
                  <c:v>3437.670000000001</c:v>
                </c:pt>
                <c:pt idx="10">
                  <c:v>3417.670000000001</c:v>
                </c:pt>
                <c:pt idx="11">
                  <c:v>3417.670000000001</c:v>
                </c:pt>
                <c:pt idx="12">
                  <c:v>3057.670000000001</c:v>
                </c:pt>
                <c:pt idx="13">
                  <c:v>3057.670000000001</c:v>
                </c:pt>
                <c:pt idx="14">
                  <c:v>2997.3200000000011</c:v>
                </c:pt>
                <c:pt idx="15">
                  <c:v>2997.3200000000011</c:v>
                </c:pt>
                <c:pt idx="16">
                  <c:v>2787.360000000001</c:v>
                </c:pt>
                <c:pt idx="17">
                  <c:v>1843.0100000000011</c:v>
                </c:pt>
                <c:pt idx="18">
                  <c:v>1771.0100000000011</c:v>
                </c:pt>
                <c:pt idx="19">
                  <c:v>1672.170000000001</c:v>
                </c:pt>
                <c:pt idx="20">
                  <c:v>1672.170000000001</c:v>
                </c:pt>
                <c:pt idx="21">
                  <c:v>1642.420000000001</c:v>
                </c:pt>
                <c:pt idx="22">
                  <c:v>1642.420000000001</c:v>
                </c:pt>
                <c:pt idx="23">
                  <c:v>1652.420000000001</c:v>
                </c:pt>
                <c:pt idx="24">
                  <c:v>829.44000000000108</c:v>
                </c:pt>
                <c:pt idx="25">
                  <c:v>412.44000000000108</c:v>
                </c:pt>
                <c:pt idx="26">
                  <c:v>412.44000000000108</c:v>
                </c:pt>
                <c:pt idx="27">
                  <c:v>889.780000000001</c:v>
                </c:pt>
                <c:pt idx="28">
                  <c:v>889.780000000001</c:v>
                </c:pt>
                <c:pt idx="29">
                  <c:v>620.36000000000104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B-453D-9DA7-E52C89B9F4A5}"/>
            </c:ext>
          </c:extLst>
        </c:ser>
        <c:ser>
          <c:idx val="1"/>
          <c:order val="1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'Iunie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'Iunie 2021'!$H$24:$AL$24</c:f>
              <c:numCache>
                <c:formatCode>0.00</c:formatCode>
                <c:ptCount val="31"/>
                <c:pt idx="0">
                  <c:v>105.30000000000001</c:v>
                </c:pt>
                <c:pt idx="1">
                  <c:v>105.30000000000001</c:v>
                </c:pt>
                <c:pt idx="2">
                  <c:v>105.30000000000001</c:v>
                </c:pt>
                <c:pt idx="3">
                  <c:v>5.3000000000000114</c:v>
                </c:pt>
                <c:pt idx="4">
                  <c:v>5.3000000000000114</c:v>
                </c:pt>
                <c:pt idx="5">
                  <c:v>5.3000000000000114</c:v>
                </c:pt>
                <c:pt idx="6">
                  <c:v>5.3000000000000114</c:v>
                </c:pt>
                <c:pt idx="7">
                  <c:v>5.3000000000000114</c:v>
                </c:pt>
                <c:pt idx="8">
                  <c:v>5.3000000000000114</c:v>
                </c:pt>
                <c:pt idx="9">
                  <c:v>205.3</c:v>
                </c:pt>
                <c:pt idx="10">
                  <c:v>157.30000000000001</c:v>
                </c:pt>
                <c:pt idx="11">
                  <c:v>157.30000000000001</c:v>
                </c:pt>
                <c:pt idx="12">
                  <c:v>157.30000000000001</c:v>
                </c:pt>
                <c:pt idx="13">
                  <c:v>157.30000000000001</c:v>
                </c:pt>
                <c:pt idx="14">
                  <c:v>157.30000000000001</c:v>
                </c:pt>
                <c:pt idx="15">
                  <c:v>157.30000000000001</c:v>
                </c:pt>
                <c:pt idx="16">
                  <c:v>107.30000000000001</c:v>
                </c:pt>
                <c:pt idx="17">
                  <c:v>107.30000000000001</c:v>
                </c:pt>
                <c:pt idx="18">
                  <c:v>107.30000000000001</c:v>
                </c:pt>
                <c:pt idx="19">
                  <c:v>107.30000000000001</c:v>
                </c:pt>
                <c:pt idx="20">
                  <c:v>107.30000000000001</c:v>
                </c:pt>
                <c:pt idx="21">
                  <c:v>67.800000000000011</c:v>
                </c:pt>
                <c:pt idx="22">
                  <c:v>27.800000000000011</c:v>
                </c:pt>
                <c:pt idx="23">
                  <c:v>15.300000000000011</c:v>
                </c:pt>
                <c:pt idx="24">
                  <c:v>15.300000000000011</c:v>
                </c:pt>
                <c:pt idx="25">
                  <c:v>15.300000000000011</c:v>
                </c:pt>
                <c:pt idx="26">
                  <c:v>15.300000000000011</c:v>
                </c:pt>
                <c:pt idx="27">
                  <c:v>15.300000000000011</c:v>
                </c:pt>
                <c:pt idx="28">
                  <c:v>15.300000000000011</c:v>
                </c:pt>
                <c:pt idx="29">
                  <c:v>15.300000000000011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5B-453D-9DA7-E52C89B9F4A5}"/>
            </c:ext>
          </c:extLst>
        </c:ser>
        <c:ser>
          <c:idx val="2"/>
          <c:order val="2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'Iunie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'Iunie 2021'!$H$26:$AL$26</c:f>
              <c:numCache>
                <c:formatCode>0.00</c:formatCode>
                <c:ptCount val="31"/>
                <c:pt idx="0">
                  <c:v>2953.5099999999998</c:v>
                </c:pt>
                <c:pt idx="1">
                  <c:v>2953.5099999999998</c:v>
                </c:pt>
                <c:pt idx="2">
                  <c:v>2953.5099999999998</c:v>
                </c:pt>
                <c:pt idx="3">
                  <c:v>2953.5099999999998</c:v>
                </c:pt>
                <c:pt idx="4">
                  <c:v>2953.5099999999998</c:v>
                </c:pt>
                <c:pt idx="5">
                  <c:v>2953.5099999999998</c:v>
                </c:pt>
                <c:pt idx="6">
                  <c:v>2953.5099999999998</c:v>
                </c:pt>
                <c:pt idx="7">
                  <c:v>2953.5099999999998</c:v>
                </c:pt>
                <c:pt idx="8">
                  <c:v>2953.5099999999998</c:v>
                </c:pt>
                <c:pt idx="9">
                  <c:v>2442.31</c:v>
                </c:pt>
                <c:pt idx="10">
                  <c:v>2360.52</c:v>
                </c:pt>
                <c:pt idx="11">
                  <c:v>2360.52</c:v>
                </c:pt>
                <c:pt idx="12">
                  <c:v>2360.52</c:v>
                </c:pt>
                <c:pt idx="13">
                  <c:v>2360.52</c:v>
                </c:pt>
                <c:pt idx="14">
                  <c:v>2358.52</c:v>
                </c:pt>
                <c:pt idx="15">
                  <c:v>2358.52</c:v>
                </c:pt>
                <c:pt idx="16">
                  <c:v>2358.52</c:v>
                </c:pt>
                <c:pt idx="17">
                  <c:v>2358.52</c:v>
                </c:pt>
                <c:pt idx="18">
                  <c:v>2358.52</c:v>
                </c:pt>
                <c:pt idx="19">
                  <c:v>2358.52</c:v>
                </c:pt>
                <c:pt idx="20">
                  <c:v>2358.52</c:v>
                </c:pt>
                <c:pt idx="21">
                  <c:v>2358.52</c:v>
                </c:pt>
                <c:pt idx="22">
                  <c:v>2358.52</c:v>
                </c:pt>
                <c:pt idx="23">
                  <c:v>2358.52</c:v>
                </c:pt>
                <c:pt idx="24">
                  <c:v>2358.52</c:v>
                </c:pt>
                <c:pt idx="25">
                  <c:v>2358.52</c:v>
                </c:pt>
                <c:pt idx="26">
                  <c:v>2358.52</c:v>
                </c:pt>
                <c:pt idx="27">
                  <c:v>2358.52</c:v>
                </c:pt>
                <c:pt idx="28">
                  <c:v>2358.52</c:v>
                </c:pt>
                <c:pt idx="29">
                  <c:v>2358.52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B-453D-9DA7-E52C89B9F4A5}"/>
            </c:ext>
          </c:extLst>
        </c:ser>
        <c:ser>
          <c:idx val="3"/>
          <c:order val="3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'Iunie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'Iunie 2021'!$H$27:$AL$27</c:f>
              <c:numCache>
                <c:formatCode>0.00</c:formatCode>
                <c:ptCount val="31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3400</c:v>
                </c:pt>
                <c:pt idx="16">
                  <c:v>3400</c:v>
                </c:pt>
                <c:pt idx="17">
                  <c:v>3400</c:v>
                </c:pt>
                <c:pt idx="18">
                  <c:v>3400</c:v>
                </c:pt>
                <c:pt idx="19">
                  <c:v>3400</c:v>
                </c:pt>
                <c:pt idx="20">
                  <c:v>3400</c:v>
                </c:pt>
                <c:pt idx="21">
                  <c:v>3400</c:v>
                </c:pt>
                <c:pt idx="22">
                  <c:v>3400</c:v>
                </c:pt>
                <c:pt idx="23">
                  <c:v>3400</c:v>
                </c:pt>
                <c:pt idx="24">
                  <c:v>3400</c:v>
                </c:pt>
                <c:pt idx="25">
                  <c:v>3400</c:v>
                </c:pt>
                <c:pt idx="26">
                  <c:v>3400</c:v>
                </c:pt>
                <c:pt idx="27">
                  <c:v>3400</c:v>
                </c:pt>
                <c:pt idx="28">
                  <c:v>3400</c:v>
                </c:pt>
                <c:pt idx="29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B-453D-9DA7-E52C89B9F4A5}"/>
            </c:ext>
          </c:extLst>
        </c:ser>
        <c:ser>
          <c:idx val="4"/>
          <c:order val="4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'Iunie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'Iunie 2021'!$H$25:$AL$25</c:f>
              <c:numCache>
                <c:formatCode>0.00</c:formatCode>
                <c:ptCount val="31"/>
                <c:pt idx="0">
                  <c:v>10.169999999999987</c:v>
                </c:pt>
                <c:pt idx="1">
                  <c:v>10.169999999999987</c:v>
                </c:pt>
                <c:pt idx="2">
                  <c:v>10.169999999999987</c:v>
                </c:pt>
                <c:pt idx="3">
                  <c:v>10.169999999999987</c:v>
                </c:pt>
                <c:pt idx="4">
                  <c:v>10.169999999999987</c:v>
                </c:pt>
                <c:pt idx="5">
                  <c:v>10.169999999999987</c:v>
                </c:pt>
                <c:pt idx="6">
                  <c:v>352.16999999999996</c:v>
                </c:pt>
                <c:pt idx="7">
                  <c:v>352.16999999999996</c:v>
                </c:pt>
                <c:pt idx="8">
                  <c:v>352.16999999999996</c:v>
                </c:pt>
                <c:pt idx="9">
                  <c:v>352.16999999999996</c:v>
                </c:pt>
                <c:pt idx="10">
                  <c:v>352.16999999999996</c:v>
                </c:pt>
                <c:pt idx="11">
                  <c:v>352.16999999999996</c:v>
                </c:pt>
                <c:pt idx="12">
                  <c:v>157.65999999999997</c:v>
                </c:pt>
                <c:pt idx="13">
                  <c:v>157.65999999999997</c:v>
                </c:pt>
                <c:pt idx="14">
                  <c:v>157.65999999999997</c:v>
                </c:pt>
                <c:pt idx="15">
                  <c:v>157.65999999999997</c:v>
                </c:pt>
                <c:pt idx="16">
                  <c:v>157.65999999999997</c:v>
                </c:pt>
                <c:pt idx="17">
                  <c:v>157.65999999999997</c:v>
                </c:pt>
                <c:pt idx="18">
                  <c:v>157.65999999999997</c:v>
                </c:pt>
                <c:pt idx="19">
                  <c:v>7.6599999999999682</c:v>
                </c:pt>
                <c:pt idx="20">
                  <c:v>7.6599999999999682</c:v>
                </c:pt>
                <c:pt idx="21">
                  <c:v>7.6599999999999682</c:v>
                </c:pt>
                <c:pt idx="22">
                  <c:v>7.6599999999999682</c:v>
                </c:pt>
                <c:pt idx="23">
                  <c:v>7.6599999999999682</c:v>
                </c:pt>
                <c:pt idx="24">
                  <c:v>7.6599999999999682</c:v>
                </c:pt>
                <c:pt idx="25">
                  <c:v>7.6599999999999682</c:v>
                </c:pt>
                <c:pt idx="26">
                  <c:v>7.6599999999999682</c:v>
                </c:pt>
                <c:pt idx="27">
                  <c:v>7.6599999999999682</c:v>
                </c:pt>
                <c:pt idx="28">
                  <c:v>7.6599999999999682</c:v>
                </c:pt>
                <c:pt idx="29">
                  <c:v>327.65999999999997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5B-453D-9DA7-E52C89B9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88000"/>
        <c:axId val="638210768"/>
      </c:scatterChart>
      <c:valAx>
        <c:axId val="62758800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crossBetween val="midCat"/>
        <c:majorUnit val="1"/>
      </c:val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5957305958424"/>
          <c:y val="0.30422998831803677"/>
          <c:w val="0.16547675290588679"/>
          <c:h val="0.32163506026920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50000000000001"/>
          <c:y val="0.11342592592592593"/>
          <c:w val="0.74444444444444446"/>
          <c:h val="0.70833333333333337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848-478C-9E06-56DD186859F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848-478C-9E06-56DD186859F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848-478C-9E06-56DD186859F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848-478C-9E06-56DD186859F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848-478C-9E06-56DD186859F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5848-478C-9E06-56DD186859F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5848-478C-9E06-56DD186859F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5848-478C-9E06-56DD186859F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848-478C-9E06-56DD186859F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848-478C-9E06-56DD186859F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848-478C-9E06-56DD186859F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848-478C-9E06-56DD186859F2}"/>
                </c:ext>
              </c:extLst>
            </c:dLbl>
            <c:dLbl>
              <c:idx val="4"/>
              <c:layout>
                <c:manualLayout>
                  <c:x val="0"/>
                  <c:y val="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48-478C-9E06-56DD186859F2}"/>
                </c:ext>
              </c:extLst>
            </c:dLbl>
            <c:dLbl>
              <c:idx val="5"/>
              <c:layout>
                <c:manualLayout>
                  <c:x val="-3.6111111111111108E-2"/>
                  <c:y val="-2.77777777777778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48-478C-9E06-56DD186859F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848-478C-9E06-56DD186859F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6399825021873"/>
                      <c:h val="0.12689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5848-478C-9E06-56DD186859F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'Iunie 2021'!$C$30:$C$37</c:f>
              <c:strCache>
                <c:ptCount val="8"/>
                <c:pt idx="0">
                  <c:v>Chirie</c:v>
                </c:pt>
                <c:pt idx="1">
                  <c:v>Facturi</c:v>
                </c:pt>
                <c:pt idx="2">
                  <c:v>Auto</c:v>
                </c:pt>
                <c:pt idx="3">
                  <c:v>Mancare</c:v>
                </c:pt>
                <c:pt idx="4">
                  <c:v>Ingrijire + Casa</c:v>
                </c:pt>
                <c:pt idx="5">
                  <c:v>Haine + Sanatate</c:v>
                </c:pt>
                <c:pt idx="6">
                  <c:v>God</c:v>
                </c:pt>
                <c:pt idx="7">
                  <c:v>Cadouri/vacante</c:v>
                </c:pt>
              </c:strCache>
            </c:strRef>
          </c:cat>
          <c:val>
            <c:numRef>
              <c:f>'Iunie 2021'!$D$30:$D$37</c:f>
              <c:numCache>
                <c:formatCode>0.00</c:formatCode>
                <c:ptCount val="8"/>
                <c:pt idx="0">
                  <c:v>900</c:v>
                </c:pt>
                <c:pt idx="1">
                  <c:v>305.26</c:v>
                </c:pt>
                <c:pt idx="2">
                  <c:v>1297.74</c:v>
                </c:pt>
                <c:pt idx="3">
                  <c:v>878.73</c:v>
                </c:pt>
                <c:pt idx="4">
                  <c:v>68.95</c:v>
                </c:pt>
                <c:pt idx="5">
                  <c:v>1038.0100000000002</c:v>
                </c:pt>
                <c:pt idx="6">
                  <c:v>350</c:v>
                </c:pt>
                <c:pt idx="7">
                  <c:v>714.35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848-478C-9E06-56DD186859F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</a:rPr>
              <a:t>Suma totală - variație zilnică</a:t>
            </a:r>
            <a:endParaRPr lang="ro-RO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36501394356951E-2"/>
          <c:y val="0.19037963275881492"/>
          <c:w val="0.65021709786276716"/>
          <c:h val="0.71551004586745004"/>
        </c:manualLayout>
      </c:layout>
      <c:lineChart>
        <c:grouping val="standard"/>
        <c:varyColors val="0"/>
        <c:ser>
          <c:idx val="5"/>
          <c:order val="0"/>
          <c:tx>
            <c:v>CardE (RON)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'Iulie 2021'!$H$22:$AL$22</c:f>
              <c:numCache>
                <c:formatCode>0.00</c:formatCode>
                <c:ptCount val="31"/>
                <c:pt idx="0">
                  <c:v>512.39999999999975</c:v>
                </c:pt>
                <c:pt idx="1">
                  <c:v>512.39999999999975</c:v>
                </c:pt>
                <c:pt idx="2">
                  <c:v>512.39999999999975</c:v>
                </c:pt>
                <c:pt idx="3">
                  <c:v>512.39999999999975</c:v>
                </c:pt>
                <c:pt idx="4">
                  <c:v>362.39999999999975</c:v>
                </c:pt>
                <c:pt idx="5">
                  <c:v>301.53999999999974</c:v>
                </c:pt>
                <c:pt idx="6">
                  <c:v>281.53999999999974</c:v>
                </c:pt>
                <c:pt idx="7">
                  <c:v>281.53999999999974</c:v>
                </c:pt>
                <c:pt idx="8">
                  <c:v>1200.5399999999997</c:v>
                </c:pt>
                <c:pt idx="9">
                  <c:v>1200.5399999999997</c:v>
                </c:pt>
                <c:pt idx="10">
                  <c:v>1200.5399999999997</c:v>
                </c:pt>
                <c:pt idx="11">
                  <c:v>1200.5399999999997</c:v>
                </c:pt>
                <c:pt idx="12">
                  <c:v>1200.5399999999997</c:v>
                </c:pt>
                <c:pt idx="13">
                  <c:v>1200.5399999999997</c:v>
                </c:pt>
                <c:pt idx="14">
                  <c:v>1200.5399999999997</c:v>
                </c:pt>
                <c:pt idx="15">
                  <c:v>1200.5399999999997</c:v>
                </c:pt>
                <c:pt idx="16">
                  <c:v>1200.5399999999997</c:v>
                </c:pt>
                <c:pt idx="17">
                  <c:v>1200.5399999999997</c:v>
                </c:pt>
                <c:pt idx="18">
                  <c:v>1200.5399999999997</c:v>
                </c:pt>
                <c:pt idx="19">
                  <c:v>1200.5399999999997</c:v>
                </c:pt>
                <c:pt idx="20">
                  <c:v>1200.5399999999997</c:v>
                </c:pt>
                <c:pt idx="21">
                  <c:v>1031.6699999999996</c:v>
                </c:pt>
                <c:pt idx="22">
                  <c:v>2031.6699999999996</c:v>
                </c:pt>
                <c:pt idx="23">
                  <c:v>2031.6699999999996</c:v>
                </c:pt>
                <c:pt idx="24">
                  <c:v>2031.6699999999996</c:v>
                </c:pt>
                <c:pt idx="25">
                  <c:v>2031.6699999999996</c:v>
                </c:pt>
                <c:pt idx="26">
                  <c:v>2031.6699999999996</c:v>
                </c:pt>
                <c:pt idx="27">
                  <c:v>2031.6699999999996</c:v>
                </c:pt>
                <c:pt idx="28">
                  <c:v>2031.6699999999996</c:v>
                </c:pt>
                <c:pt idx="29">
                  <c:v>1931.0599999999997</c:v>
                </c:pt>
                <c:pt idx="30">
                  <c:v>1931.0599999999997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A-41A3-9BB6-81578CB0C9AF}"/>
            </c:ext>
          </c:extLst>
        </c:ser>
        <c:ser>
          <c:idx val="0"/>
          <c:order val="1"/>
          <c:tx>
            <c:v>CardO (RON)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'Iulie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'Iulie 2021'!$H$23:$AL$23</c:f>
              <c:numCache>
                <c:formatCode>0.00</c:formatCode>
                <c:ptCount val="31"/>
                <c:pt idx="0">
                  <c:v>2687.2200000000007</c:v>
                </c:pt>
                <c:pt idx="1">
                  <c:v>2687.2200000000007</c:v>
                </c:pt>
                <c:pt idx="2">
                  <c:v>2435.5000000000005</c:v>
                </c:pt>
                <c:pt idx="3">
                  <c:v>2435.5000000000005</c:v>
                </c:pt>
                <c:pt idx="4">
                  <c:v>2435.5000000000005</c:v>
                </c:pt>
                <c:pt idx="5">
                  <c:v>2435.5000000000005</c:v>
                </c:pt>
                <c:pt idx="6">
                  <c:v>2435.5000000000005</c:v>
                </c:pt>
                <c:pt idx="7">
                  <c:v>2205.1300000000006</c:v>
                </c:pt>
                <c:pt idx="8">
                  <c:v>2154.0000000000005</c:v>
                </c:pt>
                <c:pt idx="9">
                  <c:v>2148.0000000000005</c:v>
                </c:pt>
                <c:pt idx="10">
                  <c:v>2147.3400000000006</c:v>
                </c:pt>
                <c:pt idx="11">
                  <c:v>2040.3400000000006</c:v>
                </c:pt>
                <c:pt idx="12">
                  <c:v>2040.3400000000006</c:v>
                </c:pt>
                <c:pt idx="13">
                  <c:v>2000.6800000000005</c:v>
                </c:pt>
                <c:pt idx="14">
                  <c:v>2000.6800000000005</c:v>
                </c:pt>
                <c:pt idx="15">
                  <c:v>2000.6800000000005</c:v>
                </c:pt>
                <c:pt idx="16">
                  <c:v>1706.4300000000005</c:v>
                </c:pt>
                <c:pt idx="17">
                  <c:v>790.8300000000005</c:v>
                </c:pt>
                <c:pt idx="18">
                  <c:v>369.10000000000048</c:v>
                </c:pt>
                <c:pt idx="19">
                  <c:v>162.56000000000049</c:v>
                </c:pt>
                <c:pt idx="20">
                  <c:v>162.56000000000049</c:v>
                </c:pt>
                <c:pt idx="21">
                  <c:v>132.75000000000048</c:v>
                </c:pt>
                <c:pt idx="22">
                  <c:v>109.90000000000047</c:v>
                </c:pt>
                <c:pt idx="23">
                  <c:v>87.390000000000484</c:v>
                </c:pt>
                <c:pt idx="24">
                  <c:v>87.390000000000484</c:v>
                </c:pt>
                <c:pt idx="25">
                  <c:v>87.390000000000484</c:v>
                </c:pt>
                <c:pt idx="26">
                  <c:v>30.110000000000486</c:v>
                </c:pt>
                <c:pt idx="27">
                  <c:v>30.110000000000486</c:v>
                </c:pt>
                <c:pt idx="28">
                  <c:v>30.110000000000486</c:v>
                </c:pt>
                <c:pt idx="29">
                  <c:v>630.11000000000047</c:v>
                </c:pt>
                <c:pt idx="30">
                  <c:v>630.11000000000047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E-4AAC-B775-5AB1F7F429C2}"/>
            </c:ext>
          </c:extLst>
        </c:ser>
        <c:ser>
          <c:idx val="1"/>
          <c:order val="2"/>
          <c:tx>
            <c:v>Numerar (RON)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'Iulie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'Iulie 2021'!$H$24:$AL$24</c:f>
              <c:numCache>
                <c:formatCode>0.00</c:formatCode>
                <c:ptCount val="31"/>
                <c:pt idx="0">
                  <c:v>212</c:v>
                </c:pt>
                <c:pt idx="1">
                  <c:v>212</c:v>
                </c:pt>
                <c:pt idx="2">
                  <c:v>212</c:v>
                </c:pt>
                <c:pt idx="3">
                  <c:v>212</c:v>
                </c:pt>
                <c:pt idx="4">
                  <c:v>212</c:v>
                </c:pt>
                <c:pt idx="5">
                  <c:v>212</c:v>
                </c:pt>
                <c:pt idx="6">
                  <c:v>202</c:v>
                </c:pt>
                <c:pt idx="7">
                  <c:v>202</c:v>
                </c:pt>
                <c:pt idx="8">
                  <c:v>202</c:v>
                </c:pt>
                <c:pt idx="9">
                  <c:v>202</c:v>
                </c:pt>
                <c:pt idx="10">
                  <c:v>202</c:v>
                </c:pt>
                <c:pt idx="11">
                  <c:v>202</c:v>
                </c:pt>
                <c:pt idx="12">
                  <c:v>202</c:v>
                </c:pt>
                <c:pt idx="13">
                  <c:v>202</c:v>
                </c:pt>
                <c:pt idx="14">
                  <c:v>202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E-4AAC-B775-5AB1F7F429C2}"/>
            </c:ext>
          </c:extLst>
        </c:ser>
        <c:ser>
          <c:idx val="4"/>
          <c:order val="5"/>
          <c:tx>
            <c:v>E-bonuri (RON)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'Iulie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'Iulie 2021'!$H$25:$AL$25</c:f>
              <c:numCache>
                <c:formatCode>0.00</c:formatCode>
                <c:ptCount val="31"/>
                <c:pt idx="0">
                  <c:v>327.65999999999997</c:v>
                </c:pt>
                <c:pt idx="1">
                  <c:v>327.65999999999997</c:v>
                </c:pt>
                <c:pt idx="2">
                  <c:v>327.65999999999997</c:v>
                </c:pt>
                <c:pt idx="3">
                  <c:v>166.23999999999995</c:v>
                </c:pt>
                <c:pt idx="4">
                  <c:v>166.23999999999995</c:v>
                </c:pt>
                <c:pt idx="5">
                  <c:v>526.24</c:v>
                </c:pt>
                <c:pt idx="6">
                  <c:v>526.24</c:v>
                </c:pt>
                <c:pt idx="7">
                  <c:v>526.24</c:v>
                </c:pt>
                <c:pt idx="8">
                  <c:v>523.25</c:v>
                </c:pt>
                <c:pt idx="9">
                  <c:v>523.25</c:v>
                </c:pt>
                <c:pt idx="10">
                  <c:v>523.25</c:v>
                </c:pt>
                <c:pt idx="11">
                  <c:v>523.25</c:v>
                </c:pt>
                <c:pt idx="12">
                  <c:v>523.25</c:v>
                </c:pt>
                <c:pt idx="13">
                  <c:v>523.25</c:v>
                </c:pt>
                <c:pt idx="14">
                  <c:v>523.25</c:v>
                </c:pt>
                <c:pt idx="15">
                  <c:v>523.25</c:v>
                </c:pt>
                <c:pt idx="16">
                  <c:v>523.25</c:v>
                </c:pt>
                <c:pt idx="17">
                  <c:v>373.78999999999996</c:v>
                </c:pt>
                <c:pt idx="18">
                  <c:v>373.78999999999996</c:v>
                </c:pt>
                <c:pt idx="19">
                  <c:v>373.78999999999996</c:v>
                </c:pt>
                <c:pt idx="20">
                  <c:v>373.78999999999996</c:v>
                </c:pt>
                <c:pt idx="21">
                  <c:v>257.45999999999998</c:v>
                </c:pt>
                <c:pt idx="22">
                  <c:v>257.45999999999998</c:v>
                </c:pt>
                <c:pt idx="23">
                  <c:v>107.45999999999998</c:v>
                </c:pt>
                <c:pt idx="24">
                  <c:v>107.45999999999998</c:v>
                </c:pt>
                <c:pt idx="25">
                  <c:v>107.45999999999998</c:v>
                </c:pt>
                <c:pt idx="26">
                  <c:v>107.45999999999998</c:v>
                </c:pt>
                <c:pt idx="27">
                  <c:v>107.45999999999998</c:v>
                </c:pt>
                <c:pt idx="28">
                  <c:v>427.46</c:v>
                </c:pt>
                <c:pt idx="29">
                  <c:v>318.08</c:v>
                </c:pt>
                <c:pt idx="30">
                  <c:v>318.08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E-4AAC-B775-5AB1F7F4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88000"/>
        <c:axId val="638210768"/>
      </c:lineChart>
      <c:lineChart>
        <c:grouping val="standard"/>
        <c:varyColors val="0"/>
        <c:ser>
          <c:idx val="2"/>
          <c:order val="3"/>
          <c:tx>
            <c:v>Card (Euro)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'Iulie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'Iulie 2021'!$H$26:$AL$26</c:f>
              <c:numCache>
                <c:formatCode>0.00</c:formatCode>
                <c:ptCount val="31"/>
                <c:pt idx="0">
                  <c:v>2358.52</c:v>
                </c:pt>
                <c:pt idx="1">
                  <c:v>2358.52</c:v>
                </c:pt>
                <c:pt idx="2">
                  <c:v>2358.52</c:v>
                </c:pt>
                <c:pt idx="3">
                  <c:v>2358.52</c:v>
                </c:pt>
                <c:pt idx="4">
                  <c:v>2358.52</c:v>
                </c:pt>
                <c:pt idx="5">
                  <c:v>2358.52</c:v>
                </c:pt>
                <c:pt idx="6">
                  <c:v>2358.52</c:v>
                </c:pt>
                <c:pt idx="7">
                  <c:v>2358.52</c:v>
                </c:pt>
                <c:pt idx="8">
                  <c:v>2358.52</c:v>
                </c:pt>
                <c:pt idx="9">
                  <c:v>2358.52</c:v>
                </c:pt>
                <c:pt idx="10">
                  <c:v>2358.52</c:v>
                </c:pt>
                <c:pt idx="11">
                  <c:v>2358.52</c:v>
                </c:pt>
                <c:pt idx="12">
                  <c:v>2358.52</c:v>
                </c:pt>
                <c:pt idx="13">
                  <c:v>2658.52</c:v>
                </c:pt>
                <c:pt idx="14">
                  <c:v>22656.52</c:v>
                </c:pt>
                <c:pt idx="15">
                  <c:v>22699.11</c:v>
                </c:pt>
                <c:pt idx="16">
                  <c:v>22699.11</c:v>
                </c:pt>
                <c:pt idx="17">
                  <c:v>22699.11</c:v>
                </c:pt>
                <c:pt idx="18">
                  <c:v>22699.11</c:v>
                </c:pt>
                <c:pt idx="19">
                  <c:v>22699.11</c:v>
                </c:pt>
                <c:pt idx="20">
                  <c:v>22699.11</c:v>
                </c:pt>
                <c:pt idx="21">
                  <c:v>22699.11</c:v>
                </c:pt>
                <c:pt idx="22">
                  <c:v>22699.11</c:v>
                </c:pt>
                <c:pt idx="23">
                  <c:v>22699.11</c:v>
                </c:pt>
                <c:pt idx="24">
                  <c:v>22699.11</c:v>
                </c:pt>
                <c:pt idx="25">
                  <c:v>22699.11</c:v>
                </c:pt>
                <c:pt idx="26">
                  <c:v>22699.11</c:v>
                </c:pt>
                <c:pt idx="27">
                  <c:v>22699.11</c:v>
                </c:pt>
                <c:pt idx="28">
                  <c:v>22699.11</c:v>
                </c:pt>
                <c:pt idx="29">
                  <c:v>22699.11</c:v>
                </c:pt>
                <c:pt idx="30">
                  <c:v>22699.11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E-4AAC-B775-5AB1F7F429C2}"/>
            </c:ext>
          </c:extLst>
        </c:ser>
        <c:ser>
          <c:idx val="3"/>
          <c:order val="4"/>
          <c:tx>
            <c:v>Numerar (Euro)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'Iulie 2021'!$H$1:$AL$1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'Iulie 2021'!$H$27:$AL$27</c:f>
              <c:numCache>
                <c:formatCode>0.00</c:formatCode>
                <c:ptCount val="31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  <c:pt idx="3">
                  <c:v>3400</c:v>
                </c:pt>
                <c:pt idx="4">
                  <c:v>3400</c:v>
                </c:pt>
                <c:pt idx="5">
                  <c:v>3400</c:v>
                </c:pt>
                <c:pt idx="6">
                  <c:v>3400</c:v>
                </c:pt>
                <c:pt idx="7">
                  <c:v>3400</c:v>
                </c:pt>
                <c:pt idx="8">
                  <c:v>3400</c:v>
                </c:pt>
                <c:pt idx="9">
                  <c:v>3400</c:v>
                </c:pt>
                <c:pt idx="10">
                  <c:v>3400</c:v>
                </c:pt>
                <c:pt idx="11">
                  <c:v>3400</c:v>
                </c:pt>
                <c:pt idx="12">
                  <c:v>3400</c:v>
                </c:pt>
                <c:pt idx="13">
                  <c:v>3400</c:v>
                </c:pt>
                <c:pt idx="14">
                  <c:v>3400</c:v>
                </c:pt>
                <c:pt idx="15">
                  <c:v>3055.5</c:v>
                </c:pt>
                <c:pt idx="16">
                  <c:v>3055.5</c:v>
                </c:pt>
                <c:pt idx="17">
                  <c:v>3055.5</c:v>
                </c:pt>
                <c:pt idx="18">
                  <c:v>3055.5</c:v>
                </c:pt>
                <c:pt idx="19">
                  <c:v>3055.5</c:v>
                </c:pt>
                <c:pt idx="20">
                  <c:v>3055.5</c:v>
                </c:pt>
                <c:pt idx="21">
                  <c:v>3055.5</c:v>
                </c:pt>
                <c:pt idx="22">
                  <c:v>3055.5</c:v>
                </c:pt>
                <c:pt idx="23">
                  <c:v>3055.5</c:v>
                </c:pt>
                <c:pt idx="24">
                  <c:v>3055.5</c:v>
                </c:pt>
                <c:pt idx="25">
                  <c:v>3055.5</c:v>
                </c:pt>
                <c:pt idx="26">
                  <c:v>3055.5</c:v>
                </c:pt>
                <c:pt idx="27">
                  <c:v>3055.5</c:v>
                </c:pt>
                <c:pt idx="28">
                  <c:v>3055.5</c:v>
                </c:pt>
                <c:pt idx="29">
                  <c:v>3055.5</c:v>
                </c:pt>
                <c:pt idx="30">
                  <c:v>3055.5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E-4AAC-B775-5AB1F7F4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158575"/>
        <c:axId val="1886529679"/>
      </c:lineChart>
      <c:catAx>
        <c:axId val="6275880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8210768"/>
        <c:crosses val="autoZero"/>
        <c:auto val="1"/>
        <c:lblAlgn val="ctr"/>
        <c:lblOffset val="100"/>
        <c:tickMarkSkip val="1"/>
        <c:noMultiLvlLbl val="1"/>
      </c:catAx>
      <c:valAx>
        <c:axId val="63821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RON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588000"/>
        <c:crosses val="autoZero"/>
        <c:crossBetween val="between"/>
      </c:valAx>
      <c:valAx>
        <c:axId val="18865296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>
                    <a:solidFill>
                      <a:schemeClr val="tx1"/>
                    </a:solidFill>
                  </a:rPr>
                  <a:t>Euro</a:t>
                </a:r>
                <a:endParaRPr lang="ro-RO" sz="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73158575"/>
        <c:crosses val="max"/>
        <c:crossBetween val="between"/>
      </c:valAx>
      <c:catAx>
        <c:axId val="1973158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529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38338957630298"/>
          <c:y val="0.30422998831803677"/>
          <c:w val="0.16245964520914552"/>
          <c:h val="0.3859620723230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8382</xdr:rowOff>
    </xdr:from>
    <xdr:to>
      <xdr:col>4</xdr:col>
      <xdr:colOff>1021080</xdr:colOff>
      <xdr:row>25</xdr:row>
      <xdr:rowOff>205740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C6D4C0F-EF8C-4783-9DFE-21BC11391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110490</xdr:colOff>
      <xdr:row>38</xdr:row>
      <xdr:rowOff>3810</xdr:rowOff>
    </xdr:from>
    <xdr:to>
      <xdr:col>4</xdr:col>
      <xdr:colOff>354330</xdr:colOff>
      <xdr:row>50</xdr:row>
      <xdr:rowOff>3810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AA872316-8495-4703-8E4E-82FEE978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8382</xdr:rowOff>
    </xdr:from>
    <xdr:to>
      <xdr:col>4</xdr:col>
      <xdr:colOff>1021080</xdr:colOff>
      <xdr:row>25</xdr:row>
      <xdr:rowOff>205740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1703BCC7-EFC8-49A3-A5B5-7885F34D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110490</xdr:colOff>
      <xdr:row>39</xdr:row>
      <xdr:rowOff>11430</xdr:rowOff>
    </xdr:from>
    <xdr:to>
      <xdr:col>4</xdr:col>
      <xdr:colOff>354330</xdr:colOff>
      <xdr:row>51</xdr:row>
      <xdr:rowOff>11430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57CF1B85-6377-46F1-858E-627C8640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15</xdr:row>
      <xdr:rowOff>8382</xdr:rowOff>
    </xdr:from>
    <xdr:to>
      <xdr:col>4</xdr:col>
      <xdr:colOff>1021080</xdr:colOff>
      <xdr:row>25</xdr:row>
      <xdr:rowOff>205740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6A065443-70A6-417B-BE00-7E8D578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26670</xdr:rowOff>
    </xdr:from>
    <xdr:to>
      <xdr:col>4</xdr:col>
      <xdr:colOff>0</xdr:colOff>
      <xdr:row>52</xdr:row>
      <xdr:rowOff>220980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CE2C8C19-6AAB-4235-9D8D-8189DF5A6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16</xdr:row>
      <xdr:rowOff>54102</xdr:rowOff>
    </xdr:from>
    <xdr:to>
      <xdr:col>5</xdr:col>
      <xdr:colOff>464820</xdr:colOff>
      <xdr:row>27</xdr:row>
      <xdr:rowOff>22860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8F548159-D7AA-4E33-AA8B-533990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C7551F60-028C-449E-9858-40EE586AB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762</xdr:rowOff>
    </xdr:from>
    <xdr:to>
      <xdr:col>5</xdr:col>
      <xdr:colOff>373380</xdr:colOff>
      <xdr:row>26</xdr:row>
      <xdr:rowOff>198120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11CB8AA-B2DF-4C27-A642-7D3B2CF52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657DD29F-0013-4BE2-B75F-74D5032B2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762</xdr:rowOff>
    </xdr:from>
    <xdr:to>
      <xdr:col>5</xdr:col>
      <xdr:colOff>373380</xdr:colOff>
      <xdr:row>26</xdr:row>
      <xdr:rowOff>198120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13201A8-F01C-43A9-9D6C-6E3FD37CF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17F20E6-971E-4D7F-88A2-94635437E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762</xdr:rowOff>
    </xdr:from>
    <xdr:to>
      <xdr:col>5</xdr:col>
      <xdr:colOff>373380</xdr:colOff>
      <xdr:row>26</xdr:row>
      <xdr:rowOff>198120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70ED8D9-60C1-4328-AF89-A63145ABD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666961E7-9986-4507-8980-E91DA3C99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762</xdr:rowOff>
    </xdr:from>
    <xdr:to>
      <xdr:col>5</xdr:col>
      <xdr:colOff>373380</xdr:colOff>
      <xdr:row>26</xdr:row>
      <xdr:rowOff>198120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B883830-8D7E-42C6-AAE3-9CBB12BE3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326686F2-4A1B-4BB4-B37A-22C5B47D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16</xdr:row>
      <xdr:rowOff>762</xdr:rowOff>
    </xdr:from>
    <xdr:to>
      <xdr:col>5</xdr:col>
      <xdr:colOff>373380</xdr:colOff>
      <xdr:row>26</xdr:row>
      <xdr:rowOff>198120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7A59D1DD-5137-482F-A855-DFC5790B3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</xdr:colOff>
      <xdr:row>41</xdr:row>
      <xdr:rowOff>57150</xdr:rowOff>
    </xdr:from>
    <xdr:to>
      <xdr:col>5</xdr:col>
      <xdr:colOff>285750</xdr:colOff>
      <xdr:row>54</xdr:row>
      <xdr:rowOff>22860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7B99EE6F-8DC0-4206-89D6-6718005F7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B07E-8CCE-46C2-AD18-85499C224779}">
  <sheetPr codeName="Sheet1">
    <tabColor rgb="FFC00000"/>
  </sheetPr>
  <dimension ref="A1:AL53"/>
  <sheetViews>
    <sheetView zoomScaleNormal="100" workbookViewId="0">
      <pane xSplit="5" topLeftCell="F1" activePane="topRight" state="frozen"/>
      <selection pane="topRight" activeCell="D34" sqref="D34:E34"/>
    </sheetView>
  </sheetViews>
  <sheetFormatPr defaultColWidth="15.77734375" defaultRowHeight="18" customHeight="1"/>
  <cols>
    <col min="1" max="5" width="15.77734375" style="1"/>
    <col min="6" max="6" width="15.77734375" style="1" customWidth="1"/>
    <col min="7" max="37" width="10.77734375" style="1" customWidth="1"/>
    <col min="38" max="16384" width="15.77734375" style="1"/>
  </cols>
  <sheetData>
    <row r="1" spans="1:38" ht="18" customHeight="1" thickBot="1">
      <c r="A1" s="270" t="s">
        <v>0</v>
      </c>
      <c r="B1" s="271"/>
      <c r="C1" s="271"/>
      <c r="D1" s="271"/>
      <c r="E1" s="272"/>
      <c r="F1" s="2" t="s">
        <v>7</v>
      </c>
      <c r="G1" s="3">
        <v>1</v>
      </c>
      <c r="H1" s="4">
        <v>2</v>
      </c>
      <c r="I1" s="4">
        <v>3</v>
      </c>
      <c r="J1" s="4">
        <v>4</v>
      </c>
      <c r="K1" s="4">
        <v>5</v>
      </c>
      <c r="L1" s="61">
        <v>6</v>
      </c>
      <c r="M1" s="62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61">
        <v>13</v>
      </c>
      <c r="T1" s="62">
        <v>14</v>
      </c>
      <c r="U1" s="4">
        <v>15</v>
      </c>
      <c r="V1" s="4">
        <v>16</v>
      </c>
      <c r="W1" s="4">
        <v>17</v>
      </c>
      <c r="X1" s="4">
        <v>18</v>
      </c>
      <c r="Y1" s="4">
        <v>19</v>
      </c>
      <c r="Z1" s="61">
        <v>20</v>
      </c>
      <c r="AA1" s="62">
        <v>21</v>
      </c>
      <c r="AB1" s="4">
        <v>22</v>
      </c>
      <c r="AC1" s="4">
        <v>23</v>
      </c>
      <c r="AD1" s="4">
        <v>24</v>
      </c>
      <c r="AE1" s="4">
        <v>25</v>
      </c>
      <c r="AF1" s="4">
        <v>26</v>
      </c>
      <c r="AG1" s="61">
        <v>27</v>
      </c>
      <c r="AH1" s="62">
        <v>28</v>
      </c>
      <c r="AI1" s="4">
        <v>29</v>
      </c>
      <c r="AJ1" s="4">
        <v>30</v>
      </c>
      <c r="AK1" s="5">
        <v>31</v>
      </c>
    </row>
    <row r="2" spans="1:38" ht="18" customHeight="1">
      <c r="A2" s="6" t="s">
        <v>4</v>
      </c>
      <c r="B2" s="7" t="s">
        <v>2</v>
      </c>
      <c r="C2" s="7" t="s">
        <v>13</v>
      </c>
      <c r="D2" s="7" t="s">
        <v>3</v>
      </c>
      <c r="E2" s="8" t="s">
        <v>1</v>
      </c>
      <c r="F2" s="238" t="s">
        <v>9</v>
      </c>
      <c r="G2" s="19"/>
      <c r="H2" s="20" t="s">
        <v>4</v>
      </c>
      <c r="I2" s="20"/>
      <c r="J2" s="20"/>
      <c r="K2" s="20"/>
      <c r="L2" s="20"/>
      <c r="M2" s="20"/>
      <c r="N2" s="20"/>
      <c r="O2" s="20" t="s">
        <v>2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 t="s">
        <v>4</v>
      </c>
      <c r="AE2" s="20"/>
      <c r="AF2" s="20"/>
      <c r="AG2" s="20"/>
      <c r="AH2" s="20" t="s">
        <v>1</v>
      </c>
      <c r="AI2" s="20"/>
      <c r="AJ2" s="20"/>
      <c r="AK2" s="21"/>
      <c r="AL2" s="64"/>
    </row>
    <row r="3" spans="1:38" s="13" customFormat="1" ht="18" customHeight="1" thickBot="1">
      <c r="A3" s="9">
        <v>3245.6</v>
      </c>
      <c r="B3" s="10">
        <v>661</v>
      </c>
      <c r="C3" s="10">
        <v>0</v>
      </c>
      <c r="D3" s="10">
        <v>3502</v>
      </c>
      <c r="E3" s="11">
        <v>5400</v>
      </c>
      <c r="F3" s="239"/>
      <c r="G3" s="18"/>
      <c r="H3" s="12">
        <v>846</v>
      </c>
      <c r="I3" s="12"/>
      <c r="J3" s="12"/>
      <c r="K3" s="12"/>
      <c r="L3" s="12"/>
      <c r="M3" s="12"/>
      <c r="N3" s="12"/>
      <c r="O3" s="12">
        <v>104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>
        <v>100</v>
      </c>
      <c r="AE3" s="12"/>
      <c r="AF3" s="12"/>
      <c r="AG3" s="12"/>
      <c r="AH3" s="12">
        <v>200</v>
      </c>
      <c r="AI3" s="12"/>
      <c r="AJ3" s="12"/>
      <c r="AK3" s="17"/>
      <c r="AL3" s="64"/>
    </row>
    <row r="4" spans="1:38" ht="18" customHeight="1" thickBot="1">
      <c r="A4" s="277" t="s">
        <v>5</v>
      </c>
      <c r="B4" s="278"/>
      <c r="C4" s="279"/>
      <c r="D4" s="273" t="s">
        <v>6</v>
      </c>
      <c r="E4" s="274"/>
      <c r="F4" s="239"/>
      <c r="G4" s="22"/>
      <c r="H4" s="23"/>
      <c r="I4" s="23"/>
      <c r="J4" s="23"/>
      <c r="K4" s="23"/>
      <c r="L4" s="23"/>
      <c r="M4" s="23"/>
      <c r="N4" s="23"/>
      <c r="O4" s="23" t="s">
        <v>13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4"/>
      <c r="AL4" s="64"/>
    </row>
    <row r="5" spans="1:38" ht="18" customHeight="1" thickBot="1">
      <c r="A5" s="280">
        <f>SUM(A3:C3)</f>
        <v>3906.6</v>
      </c>
      <c r="B5" s="281"/>
      <c r="C5" s="282"/>
      <c r="D5" s="275">
        <f>SUM(D3:E3)</f>
        <v>8902</v>
      </c>
      <c r="E5" s="276"/>
      <c r="F5" s="239"/>
      <c r="G5" s="18"/>
      <c r="H5" s="12"/>
      <c r="I5" s="12"/>
      <c r="J5" s="12"/>
      <c r="K5" s="12"/>
      <c r="L5" s="12"/>
      <c r="M5" s="12"/>
      <c r="N5" s="12"/>
      <c r="O5" s="12">
        <v>90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7"/>
      <c r="AL5" s="64"/>
    </row>
    <row r="6" spans="1:38" ht="18" customHeight="1" thickBot="1">
      <c r="A6" s="241" t="s">
        <v>11</v>
      </c>
      <c r="B6" s="242"/>
      <c r="C6" s="242"/>
      <c r="D6" s="242"/>
      <c r="E6" s="243"/>
      <c r="F6" s="239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4"/>
      <c r="AL6" s="64"/>
    </row>
    <row r="7" spans="1:38" ht="18" customHeight="1">
      <c r="A7" s="37" t="s">
        <v>4</v>
      </c>
      <c r="B7" s="38" t="s">
        <v>2</v>
      </c>
      <c r="C7" s="38" t="s">
        <v>13</v>
      </c>
      <c r="D7" s="38" t="s">
        <v>3</v>
      </c>
      <c r="E7" s="39" t="s">
        <v>1</v>
      </c>
      <c r="F7" s="23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52"/>
      <c r="AL7" s="64"/>
    </row>
    <row r="8" spans="1:38" ht="18" customHeight="1" thickBot="1">
      <c r="A8" s="40">
        <v>1173.0499999999995</v>
      </c>
      <c r="B8" s="41">
        <v>456</v>
      </c>
      <c r="C8" s="41">
        <v>0</v>
      </c>
      <c r="D8" s="41">
        <v>3488.16</v>
      </c>
      <c r="E8" s="42">
        <v>5600</v>
      </c>
      <c r="F8" s="239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64"/>
    </row>
    <row r="9" spans="1:38" ht="18" customHeight="1" thickBot="1">
      <c r="A9" s="241" t="s">
        <v>5</v>
      </c>
      <c r="B9" s="242"/>
      <c r="C9" s="249"/>
      <c r="D9" s="253" t="s">
        <v>6</v>
      </c>
      <c r="E9" s="243"/>
      <c r="F9" s="23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52"/>
      <c r="AL9" s="64"/>
    </row>
    <row r="10" spans="1:38" ht="18" customHeight="1" thickBot="1">
      <c r="A10" s="250">
        <f>SUM(A8:C8)</f>
        <v>1629.0499999999995</v>
      </c>
      <c r="B10" s="251"/>
      <c r="C10" s="252"/>
      <c r="D10" s="244">
        <f>SUM(D8:E8)</f>
        <v>9088.16</v>
      </c>
      <c r="E10" s="245"/>
      <c r="F10" s="239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  <c r="AL10" s="64"/>
    </row>
    <row r="11" spans="1:38" ht="18" customHeight="1" thickBot="1">
      <c r="A11" s="246" t="s">
        <v>12</v>
      </c>
      <c r="B11" s="247"/>
      <c r="C11" s="247"/>
      <c r="D11" s="247"/>
      <c r="E11" s="248"/>
      <c r="F11" s="240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53"/>
      <c r="AL11" s="64"/>
    </row>
    <row r="12" spans="1:38" ht="18" customHeight="1">
      <c r="A12" s="14" t="s">
        <v>4</v>
      </c>
      <c r="B12" s="15" t="s">
        <v>2</v>
      </c>
      <c r="C12" s="15" t="s">
        <v>13</v>
      </c>
      <c r="D12" s="15" t="s">
        <v>3</v>
      </c>
      <c r="E12" s="16" t="s">
        <v>1</v>
      </c>
      <c r="F12" s="261" t="s">
        <v>8</v>
      </c>
      <c r="G12" s="19" t="s">
        <v>4</v>
      </c>
      <c r="H12" s="20"/>
      <c r="I12" s="20"/>
      <c r="J12" s="20" t="s">
        <v>4</v>
      </c>
      <c r="K12" s="20"/>
      <c r="L12" s="20" t="s">
        <v>4</v>
      </c>
      <c r="M12" s="20"/>
      <c r="N12" s="20"/>
      <c r="O12" s="20" t="s">
        <v>4</v>
      </c>
      <c r="P12" s="20"/>
      <c r="Q12" s="20" t="s">
        <v>2</v>
      </c>
      <c r="R12" s="20"/>
      <c r="S12" s="20" t="s">
        <v>4</v>
      </c>
      <c r="T12" s="20"/>
      <c r="U12" s="20" t="s">
        <v>2</v>
      </c>
      <c r="V12" s="20"/>
      <c r="W12" s="20"/>
      <c r="X12" s="20" t="s">
        <v>2</v>
      </c>
      <c r="Y12" s="20" t="s">
        <v>4</v>
      </c>
      <c r="Z12" s="20" t="s">
        <v>4</v>
      </c>
      <c r="AA12" s="20" t="s">
        <v>4</v>
      </c>
      <c r="AB12" s="20"/>
      <c r="AC12" s="20"/>
      <c r="AD12" s="20" t="s">
        <v>2</v>
      </c>
      <c r="AE12" s="20"/>
      <c r="AF12" s="20" t="s">
        <v>4</v>
      </c>
      <c r="AG12" s="20"/>
      <c r="AH12" s="20" t="s">
        <v>4</v>
      </c>
      <c r="AI12" s="20" t="s">
        <v>4</v>
      </c>
      <c r="AJ12" s="20"/>
      <c r="AK12" s="21" t="s">
        <v>2</v>
      </c>
      <c r="AL12" s="64"/>
    </row>
    <row r="13" spans="1:38" ht="18" customHeight="1" thickBot="1">
      <c r="A13" s="34">
        <f>A8-A3</f>
        <v>-2072.5500000000002</v>
      </c>
      <c r="B13" s="35">
        <f>B8-B3</f>
        <v>-205</v>
      </c>
      <c r="C13" s="35">
        <f>C8-C3</f>
        <v>0</v>
      </c>
      <c r="D13" s="35">
        <f>D8-D3</f>
        <v>-13.840000000000146</v>
      </c>
      <c r="E13" s="36">
        <f>E8-E3</f>
        <v>200</v>
      </c>
      <c r="F13" s="262"/>
      <c r="G13" s="43">
        <v>101.67</v>
      </c>
      <c r="H13" s="44"/>
      <c r="I13" s="44"/>
      <c r="J13" s="44">
        <v>36.31</v>
      </c>
      <c r="K13" s="44"/>
      <c r="L13" s="44">
        <v>100.19</v>
      </c>
      <c r="M13" s="44"/>
      <c r="N13" s="44"/>
      <c r="O13" s="44">
        <v>104</v>
      </c>
      <c r="P13" s="44"/>
      <c r="Q13" s="44">
        <v>20</v>
      </c>
      <c r="R13" s="44"/>
      <c r="S13" s="44">
        <v>73.92</v>
      </c>
      <c r="T13" s="44"/>
      <c r="U13" s="44">
        <v>40</v>
      </c>
      <c r="V13" s="44"/>
      <c r="W13" s="44"/>
      <c r="X13" s="44">
        <v>29</v>
      </c>
      <c r="Y13" s="44">
        <v>17.579999999999998</v>
      </c>
      <c r="Z13" s="44">
        <v>197.22</v>
      </c>
      <c r="AA13" s="44">
        <v>29.51</v>
      </c>
      <c r="AB13" s="44"/>
      <c r="AC13" s="44"/>
      <c r="AD13" s="44">
        <v>100</v>
      </c>
      <c r="AE13" s="44"/>
      <c r="AF13" s="44">
        <v>29.51</v>
      </c>
      <c r="AG13" s="44"/>
      <c r="AH13" s="44">
        <v>17.010000000000002</v>
      </c>
      <c r="AI13" s="44">
        <v>35.57</v>
      </c>
      <c r="AJ13" s="44"/>
      <c r="AK13" s="45">
        <v>12</v>
      </c>
      <c r="AL13" s="64"/>
    </row>
    <row r="14" spans="1:38" ht="18" customHeight="1" thickBot="1">
      <c r="A14" s="246" t="s">
        <v>5</v>
      </c>
      <c r="B14" s="247"/>
      <c r="C14" s="264"/>
      <c r="D14" s="257" t="s">
        <v>6</v>
      </c>
      <c r="E14" s="258"/>
      <c r="F14" s="262"/>
      <c r="G14" s="22"/>
      <c r="H14" s="23"/>
      <c r="I14" s="23"/>
      <c r="J14" s="23"/>
      <c r="K14" s="23"/>
      <c r="L14" s="23" t="s">
        <v>4</v>
      </c>
      <c r="M14" s="23"/>
      <c r="N14" s="23"/>
      <c r="O14" s="23"/>
      <c r="P14" s="23"/>
      <c r="Q14" s="23"/>
      <c r="R14" s="23"/>
      <c r="S14" s="23" t="s">
        <v>13</v>
      </c>
      <c r="T14" s="23"/>
      <c r="U14" s="23" t="s">
        <v>3</v>
      </c>
      <c r="V14" s="23"/>
      <c r="W14" s="23"/>
      <c r="X14" s="23" t="s">
        <v>4</v>
      </c>
      <c r="Y14" s="23" t="s">
        <v>4</v>
      </c>
      <c r="Z14" s="23" t="s">
        <v>4</v>
      </c>
      <c r="AA14" s="23"/>
      <c r="AB14" s="23"/>
      <c r="AC14" s="23"/>
      <c r="AD14" s="23"/>
      <c r="AE14" s="23"/>
      <c r="AF14" s="23" t="s">
        <v>2</v>
      </c>
      <c r="AG14" s="23"/>
      <c r="AH14" s="23" t="s">
        <v>2</v>
      </c>
      <c r="AI14" s="23"/>
      <c r="AJ14" s="23"/>
      <c r="AK14" s="24"/>
      <c r="AL14" s="64"/>
    </row>
    <row r="15" spans="1:38" ht="18" customHeight="1" thickBot="1">
      <c r="A15" s="265">
        <f>SUM(A13:C13)</f>
        <v>-2277.5500000000002</v>
      </c>
      <c r="B15" s="266"/>
      <c r="C15" s="267"/>
      <c r="D15" s="259">
        <f>SUM(D13:E13)</f>
        <v>186.15999999999985</v>
      </c>
      <c r="E15" s="260"/>
      <c r="F15" s="262"/>
      <c r="G15" s="43"/>
      <c r="H15" s="44"/>
      <c r="I15" s="44"/>
      <c r="J15" s="44"/>
      <c r="K15" s="44"/>
      <c r="L15" s="44">
        <v>150.46</v>
      </c>
      <c r="M15" s="44"/>
      <c r="N15" s="44"/>
      <c r="O15" s="44"/>
      <c r="P15" s="44"/>
      <c r="Q15" s="44"/>
      <c r="R15" s="44"/>
      <c r="S15" s="44">
        <v>90</v>
      </c>
      <c r="T15" s="44"/>
      <c r="U15" s="44">
        <v>2</v>
      </c>
      <c r="V15" s="44"/>
      <c r="W15" s="44"/>
      <c r="X15" s="44">
        <v>900</v>
      </c>
      <c r="Y15" s="44">
        <v>100</v>
      </c>
      <c r="Z15" s="44">
        <v>25.7</v>
      </c>
      <c r="AA15" s="44"/>
      <c r="AB15" s="44"/>
      <c r="AC15" s="44"/>
      <c r="AD15" s="44"/>
      <c r="AE15" s="44"/>
      <c r="AF15" s="44">
        <v>80</v>
      </c>
      <c r="AG15" s="44"/>
      <c r="AH15" s="44">
        <v>28</v>
      </c>
      <c r="AI15" s="44"/>
      <c r="AJ15" s="44"/>
      <c r="AK15" s="45"/>
      <c r="AL15" s="64"/>
    </row>
    <row r="16" spans="1:38" ht="18" customHeight="1">
      <c r="F16" s="262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 t="s">
        <v>3</v>
      </c>
      <c r="AI16" s="23"/>
      <c r="AJ16" s="23"/>
      <c r="AK16" s="24"/>
      <c r="AL16" s="64"/>
    </row>
    <row r="17" spans="2:38" ht="18" customHeight="1">
      <c r="F17" s="262"/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>
        <v>11.84</v>
      </c>
      <c r="AI17" s="44"/>
      <c r="AJ17" s="44"/>
      <c r="AK17" s="45"/>
      <c r="AL17" s="64"/>
    </row>
    <row r="18" spans="2:38" ht="18" customHeight="1">
      <c r="F18" s="262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 t="s">
        <v>4</v>
      </c>
      <c r="AI18" s="23"/>
      <c r="AJ18" s="23"/>
      <c r="AK18" s="24"/>
      <c r="AL18" s="64"/>
    </row>
    <row r="19" spans="2:38" ht="18" customHeight="1">
      <c r="F19" s="262"/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>
        <v>99.9</v>
      </c>
      <c r="AI19" s="44"/>
      <c r="AJ19" s="44"/>
      <c r="AK19" s="45"/>
      <c r="AL19" s="64"/>
    </row>
    <row r="20" spans="2:38" ht="18" customHeight="1">
      <c r="F20" s="26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 t="s">
        <v>4</v>
      </c>
      <c r="AI20" s="23"/>
      <c r="AJ20" s="23"/>
      <c r="AK20" s="24"/>
      <c r="AL20" s="64"/>
    </row>
    <row r="21" spans="2:38" ht="18" customHeight="1" thickBot="1">
      <c r="F21" s="263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>
        <v>1000</v>
      </c>
      <c r="AI21" s="51"/>
      <c r="AJ21" s="51"/>
      <c r="AK21" s="54"/>
      <c r="AL21" s="64"/>
    </row>
    <row r="22" spans="2:38" ht="18" customHeight="1">
      <c r="F22" s="254" t="s">
        <v>10</v>
      </c>
      <c r="G22" s="25">
        <f>IF($G$2=$A$2,A3+$G$3,A3)+IF($G$4=$A$2,$G$5,0)+IF($G$6=$A$2,$G$7,0)+IF($G$8=$A$2,$G$9,0)+IF($G$10=$A$2,$G$11,0)-IF($G$12=$A$2,$G$13,0)-IF($G$14=$A$2,$G$15,0)-IF($G$16=$A$2,$G$17,0)-IF($G$18=$A$2,$G$19,0)-IF($G$20=$A$2,$G$21,0)</f>
        <v>3143.93</v>
      </c>
      <c r="H22" s="25">
        <f>IF(H2=$A$2,G22+H3,G22)+IF(H4=$A$2,H5,0)+IF(H6=$A$2,H7,0)+IF(H8=$A$2,H9,0)+IF(H10=$A$2,H11,0)-IF(H12=$A$2,H13,0)-IF(H14=$A$2,H15,0)-IF(H16=$A$2,H17,0)-IF(H18=$A$2,H19,0)-IF(H20=$A$2,H21,0)</f>
        <v>3989.93</v>
      </c>
      <c r="I22" s="25">
        <f>IF(I2=$A$2,H22+I3,H22)+IF(I4=$A$2,I5,0)+IF(I6=$A$2,I7,0)+IF(I8=$A$2,I9,0)+IF(I10=$A$2,I11,0)-IF(I12=$A$2,I13,0)-IF(I14=$A$2,I15,0)-IF(I16=$A$2,I17,0)-IF(I18=$A$2,I19,0)-IF(I20=$A$2,I21,0)</f>
        <v>3989.93</v>
      </c>
      <c r="J22" s="25">
        <f>IF(J2=$A$2,I22+J3,I22)+IF(J4=$A$2,J5,0)+IF(J6=$A$2,J7,0)+IF(J8=$A$2,J9,0)+IF(J10=$A$2,J11,0)-IF(J12=$A$2,J13,0)-IF(J14=$A$2,J15,0)-IF(J16=$A$2,J17,0)-IF(J18=$A$2,J19,0)-IF(J20=$A$2,J21,0)</f>
        <v>3953.62</v>
      </c>
      <c r="K22" s="25">
        <f t="shared" ref="K22:L22" si="0">IF(K2=$A$2,J22+K3,J22)+IF(K4=$A$2,K5,0)+IF(K6=$A$2,K7,0)+IF(K8=$A$2,K9,0)+IF(K10=$A$2,K11,0)-IF(K12=$A$2,K13,0)-IF(K14=$A$2,K15,0)-IF(K16=$A$2,K17,0)-IF(K18=$A$2,K19,0)-IF(K20=$A$2,K21,0)</f>
        <v>3953.62</v>
      </c>
      <c r="L22" s="25">
        <f t="shared" si="0"/>
        <v>3702.97</v>
      </c>
      <c r="M22" s="26">
        <f t="shared" ref="M22" si="1">IF(M2=$A$2,L22+M3,L22)+IF(M4=$A$2,M5,0)+IF(M6=$A$2,M7,0)+IF(M8=$A$2,M9,0)+IF(M10=$A$2,M11,0)-IF(M12=$A$2,M13,0)-IF(M14=$A$2,M15,0)-IF(M16=$A$2,M17,0)-IF(M18=$A$2,M19,0)-IF(M20=$A$2,M21,0)</f>
        <v>3702.97</v>
      </c>
      <c r="N22" s="26">
        <f t="shared" ref="N22" si="2">IF(N2=$A$2,M22+N3,M22)+IF(N4=$A$2,N5,0)+IF(N6=$A$2,N7,0)+IF(N8=$A$2,N9,0)+IF(N10=$A$2,N11,0)-IF(N12=$A$2,N13,0)-IF(N14=$A$2,N15,0)-IF(N16=$A$2,N17,0)-IF(N18=$A$2,N19,0)-IF(N20=$A$2,N21,0)</f>
        <v>3702.97</v>
      </c>
      <c r="O22" s="26">
        <f t="shared" ref="O22" si="3">IF(O2=$A$2,N22+O3,N22)+IF(O4=$A$2,O5,0)+IF(O6=$A$2,O7,0)+IF(O8=$A$2,O9,0)+IF(O10=$A$2,O11,0)-IF(O12=$A$2,O13,0)-IF(O14=$A$2,O15,0)-IF(O16=$A$2,O17,0)-IF(O18=$A$2,O19,0)-IF(O20=$A$2,O21,0)</f>
        <v>3598.97</v>
      </c>
      <c r="P22" s="26">
        <f t="shared" ref="P22" si="4">IF(P2=$A$2,O22+P3,O22)+IF(P4=$A$2,P5,0)+IF(P6=$A$2,P7,0)+IF(P8=$A$2,P9,0)+IF(P10=$A$2,P11,0)-IF(P12=$A$2,P13,0)-IF(P14=$A$2,P15,0)-IF(P16=$A$2,P17,0)-IF(P18=$A$2,P19,0)-IF(P20=$A$2,P21,0)</f>
        <v>3598.97</v>
      </c>
      <c r="Q22" s="26">
        <f t="shared" ref="Q22" si="5">IF(Q2=$A$2,P22+Q3,P22)+IF(Q4=$A$2,Q5,0)+IF(Q6=$A$2,Q7,0)+IF(Q8=$A$2,Q9,0)+IF(Q10=$A$2,Q11,0)-IF(Q12=$A$2,Q13,0)-IF(Q14=$A$2,Q15,0)-IF(Q16=$A$2,Q17,0)-IF(Q18=$A$2,Q19,0)-IF(Q20=$A$2,Q21,0)</f>
        <v>3598.97</v>
      </c>
      <c r="R22" s="26">
        <f t="shared" ref="R22:S22" si="6">IF(R2=$A$2,Q22+R3,Q22)+IF(R4=$A$2,R5,0)+IF(R6=$A$2,R7,0)+IF(R8=$A$2,R9,0)+IF(R10=$A$2,R11,0)-IF(R12=$A$2,R13,0)-IF(R14=$A$2,R15,0)-IF(R16=$A$2,R17,0)-IF(R18=$A$2,R19,0)-IF(R20=$A$2,R21,0)</f>
        <v>3598.97</v>
      </c>
      <c r="S22" s="26">
        <f t="shared" si="6"/>
        <v>3525.0499999999997</v>
      </c>
      <c r="T22" s="26">
        <f t="shared" ref="T22" si="7">IF(T2=$A$2,S22+T3,S22)+IF(T4=$A$2,T5,0)+IF(T6=$A$2,T7,0)+IF(T8=$A$2,T9,0)+IF(T10=$A$2,T11,0)-IF(T12=$A$2,T13,0)-IF(T14=$A$2,T15,0)-IF(T16=$A$2,T17,0)-IF(T18=$A$2,T19,0)-IF(T20=$A$2,T21,0)</f>
        <v>3525.0499999999997</v>
      </c>
      <c r="U22" s="26">
        <f t="shared" ref="U22" si="8">IF(U2=$A$2,T22+U3,T22)+IF(U4=$A$2,U5,0)+IF(U6=$A$2,U7,0)+IF(U8=$A$2,U9,0)+IF(U10=$A$2,U11,0)-IF(U12=$A$2,U13,0)-IF(U14=$A$2,U15,0)-IF(U16=$A$2,U17,0)-IF(U18=$A$2,U19,0)-IF(U20=$A$2,U21,0)</f>
        <v>3525.0499999999997</v>
      </c>
      <c r="V22" s="26">
        <f t="shared" ref="V22" si="9">IF(V2=$A$2,U22+V3,U22)+IF(V4=$A$2,V5,0)+IF(V6=$A$2,V7,0)+IF(V8=$A$2,V9,0)+IF(V10=$A$2,V11,0)-IF(V12=$A$2,V13,0)-IF(V14=$A$2,V15,0)-IF(V16=$A$2,V17,0)-IF(V18=$A$2,V19,0)-IF(V20=$A$2,V21,0)</f>
        <v>3525.0499999999997</v>
      </c>
      <c r="W22" s="26">
        <f t="shared" ref="W22" si="10">IF(W2=$A$2,V22+W3,V22)+IF(W4=$A$2,W5,0)+IF(W6=$A$2,W7,0)+IF(W8=$A$2,W9,0)+IF(W10=$A$2,W11,0)-IF(W12=$A$2,W13,0)-IF(W14=$A$2,W15,0)-IF(W16=$A$2,W17,0)-IF(W18=$A$2,W19,0)-IF(W20=$A$2,W21,0)</f>
        <v>3525.0499999999997</v>
      </c>
      <c r="X22" s="26">
        <f t="shared" ref="X22:AA22" si="11">IF(X2=$A$2,W22+X3,W22)+IF(X4=$A$2,X5,0)+IF(X6=$A$2,X7,0)+IF(X8=$A$2,X9,0)+IF(X10=$A$2,X11,0)-IF(X12=$A$2,X13,0)-IF(X14=$A$2,X15,0)-IF(X16=$A$2,X17,0)-IF(X18=$A$2,X19,0)-IF(X20=$A$2,X21,0)</f>
        <v>2625.0499999999997</v>
      </c>
      <c r="Y22" s="26">
        <f t="shared" si="11"/>
        <v>2507.4699999999998</v>
      </c>
      <c r="Z22" s="26">
        <f t="shared" si="11"/>
        <v>2284.5500000000002</v>
      </c>
      <c r="AA22" s="26">
        <f t="shared" si="11"/>
        <v>2255.04</v>
      </c>
      <c r="AB22" s="26">
        <f t="shared" ref="AB22" si="12">IF(AB2=$A$2,AA22+AB3,AA22)+IF(AB4=$A$2,AB5,0)+IF(AB6=$A$2,AB7,0)+IF(AB8=$A$2,AB9,0)+IF(AB10=$A$2,AB11,0)-IF(AB12=$A$2,AB13,0)-IF(AB14=$A$2,AB15,0)-IF(AB16=$A$2,AB17,0)-IF(AB18=$A$2,AB19,0)-IF(AB20=$A$2,AB21,0)</f>
        <v>2255.04</v>
      </c>
      <c r="AC22" s="26">
        <f t="shared" ref="AC22" si="13">IF(AC2=$A$2,AB22+AC3,AB22)+IF(AC4=$A$2,AC5,0)+IF(AC6=$A$2,AC7,0)+IF(AC8=$A$2,AC9,0)+IF(AC10=$A$2,AC11,0)-IF(AC12=$A$2,AC13,0)-IF(AC14=$A$2,AC15,0)-IF(AC16=$A$2,AC17,0)-IF(AC18=$A$2,AC19,0)-IF(AC20=$A$2,AC21,0)</f>
        <v>2255.04</v>
      </c>
      <c r="AD22" s="26">
        <f t="shared" ref="AD22" si="14">IF(AD2=$A$2,AC22+AD3,AC22)+IF(AD4=$A$2,AD5,0)+IF(AD6=$A$2,AD7,0)+IF(AD8=$A$2,AD9,0)+IF(AD10=$A$2,AD11,0)-IF(AD12=$A$2,AD13,0)-IF(AD14=$A$2,AD15,0)-IF(AD16=$A$2,AD17,0)-IF(AD18=$A$2,AD19,0)-IF(AD20=$A$2,AD21,0)</f>
        <v>2355.04</v>
      </c>
      <c r="AE22" s="26">
        <f t="shared" ref="AE22" si="15">IF(AE2=$A$2,AD22+AE3,AD22)+IF(AE4=$A$2,AE5,0)+IF(AE6=$A$2,AE7,0)+IF(AE8=$A$2,AE9,0)+IF(AE10=$A$2,AE11,0)-IF(AE12=$A$2,AE13,0)-IF(AE14=$A$2,AE15,0)-IF(AE16=$A$2,AE17,0)-IF(AE18=$A$2,AE19,0)-IF(AE20=$A$2,AE21,0)</f>
        <v>2355.04</v>
      </c>
      <c r="AF22" s="26">
        <f t="shared" ref="AF22" si="16">IF(AF2=$A$2,AE22+AF3,AE22)+IF(AF4=$A$2,AF5,0)+IF(AF6=$A$2,AF7,0)+IF(AF8=$A$2,AF9,0)+IF(AF10=$A$2,AF11,0)-IF(AF12=$A$2,AF13,0)-IF(AF14=$A$2,AF15,0)-IF(AF16=$A$2,AF17,0)-IF(AF18=$A$2,AF19,0)-IF(AF20=$A$2,AF21,0)</f>
        <v>2325.5299999999997</v>
      </c>
      <c r="AG22" s="26">
        <f t="shared" ref="AG22" si="17">IF(AG2=$A$2,AF22+AG3,AF22)+IF(AG4=$A$2,AG5,0)+IF(AG6=$A$2,AG7,0)+IF(AG8=$A$2,AG9,0)+IF(AG10=$A$2,AG11,0)-IF(AG12=$A$2,AG13,0)-IF(AG14=$A$2,AG15,0)-IF(AG16=$A$2,AG17,0)-IF(AG18=$A$2,AG19,0)-IF(AG20=$A$2,AG21,0)</f>
        <v>2325.5299999999997</v>
      </c>
      <c r="AH22" s="26">
        <f t="shared" ref="AH22:AI22" si="18">IF(AH2=$A$2,AG22+AH3,AG22)+IF(AH4=$A$2,AH5,0)+IF(AH6=$A$2,AH7,0)+IF(AH8=$A$2,AH9,0)+IF(AH10=$A$2,AH11,0)-IF(AH12=$A$2,AH13,0)-IF(AH14=$A$2,AH15,0)-IF(AH16=$A$2,AH17,0)-IF(AH18=$A$2,AH19,0)-IF(AH20=$A$2,AH21,0)</f>
        <v>1208.6199999999994</v>
      </c>
      <c r="AI22" s="26">
        <f t="shared" si="18"/>
        <v>1173.0499999999995</v>
      </c>
      <c r="AJ22" s="26">
        <f t="shared" ref="AJ22" si="19">IF(AJ2=$A$2,AI22+AJ3,AI22)+IF(AJ4=$A$2,AJ5,0)+IF(AJ6=$A$2,AJ7,0)+IF(AJ8=$A$2,AJ9,0)+IF(AJ10=$A$2,AJ11,0)-IF(AJ12=$A$2,AJ13,0)-IF(AJ14=$A$2,AJ15,0)-IF(AJ16=$A$2,AJ17,0)-IF(AJ18=$A$2,AJ19,0)-IF(AJ20=$A$2,AJ21,0)</f>
        <v>1173.0499999999995</v>
      </c>
      <c r="AK22" s="27">
        <f t="shared" ref="AK22" si="20">IF(AK2=$A$2,AJ22+AK3,AJ22)+IF(AK4=$A$2,AK5,0)+IF(AK6=$A$2,AK7,0)+IF(AK8=$A$2,AK9,0)+IF(AK10=$A$2,AK11,0)-IF(AK12=$A$2,AK13,0)-IF(AK14=$A$2,AK15,0)-IF(AK16=$A$2,AK17,0)-IF(AK18=$A$2,AK19,0)-IF(AK20=$A$2,AK21,0)</f>
        <v>1173.0499999999995</v>
      </c>
    </row>
    <row r="23" spans="2:38" ht="18" customHeight="1">
      <c r="F23" s="255"/>
      <c r="G23" s="28">
        <f>IF(G$2=$B$2,B3+G$3,B3)+IF(G$4=$B$2,G$5,0)+IF(G$6=$B$2,G$7,0)+IF(G$8=$B$2,G$9,0)+IF(G$10=$B$2,G$11,0)-IF(G$12=$B$2,G$13,0)-IF(G$14=$B$2,G$15,0)-IF(G$16=$B$2,G$17,0)-IF(G$18=$B$2,G$19,0)-IF(G$20=$B$2,G$21,0)</f>
        <v>661</v>
      </c>
      <c r="H23" s="29">
        <f>IF(H$2=$B$2,G23+H$3,G23)+IF(H$4=$B$2,H$5,0)+IF(H$6=$B$2,H$7,0)+IF(H$8=$B$2,H$9,0)+IF(H$10=$B$2,H$11,0)-IF(H$12=$B$2,H$13,0)-IF(H$14=$B$2,H$15,0)-IF(H$16=$B$2,H$17,0)-IF(H$18=$B$2,H$19,0)-IF(H$20=$B$2,H$21,0)</f>
        <v>661</v>
      </c>
      <c r="I23" s="29">
        <f t="shared" ref="I23:S23" si="21">IF(I$2=$B$2,H23+I$3,H23)+IF(I$4=$B$2,I$5,0)+IF(I$6=$B$2,I$7,0)+IF(I$8=$B$2,I$9,0)+IF(I$10=$B$2,I$11,0)-IF(I$12=$B$2,I$13,0)-IF(I$14=$B$2,I$15,0)-IF(I$16=$B$2,I$17,0)-IF(I$18=$B$2,I$19,0)-IF(I$20=$B$2,I$21,0)</f>
        <v>661</v>
      </c>
      <c r="J23" s="29">
        <f t="shared" si="21"/>
        <v>661</v>
      </c>
      <c r="K23" s="29">
        <f t="shared" si="21"/>
        <v>661</v>
      </c>
      <c r="L23" s="29">
        <f t="shared" si="21"/>
        <v>661</v>
      </c>
      <c r="M23" s="29">
        <f t="shared" si="21"/>
        <v>661</v>
      </c>
      <c r="N23" s="29">
        <f t="shared" si="21"/>
        <v>661</v>
      </c>
      <c r="O23" s="29">
        <f t="shared" si="21"/>
        <v>765</v>
      </c>
      <c r="P23" s="29">
        <f t="shared" si="21"/>
        <v>765</v>
      </c>
      <c r="Q23" s="29">
        <f t="shared" si="21"/>
        <v>745</v>
      </c>
      <c r="R23" s="29">
        <f t="shared" si="21"/>
        <v>745</v>
      </c>
      <c r="S23" s="29">
        <f t="shared" si="21"/>
        <v>745</v>
      </c>
      <c r="T23" s="29">
        <f t="shared" ref="T23" si="22">IF(T$2=$B$2,S23+T$3,S23)+IF(T$4=$B$2,T$5,0)+IF(T$6=$B$2,T$7,0)+IF(T$8=$B$2,T$9,0)+IF(T$10=$B$2,T$11,0)-IF(T$12=$B$2,T$13,0)-IF(T$14=$B$2,T$15,0)-IF(T$16=$B$2,T$17,0)-IF(T$18=$B$2,T$19,0)-IF(T$20=$B$2,T$21,0)</f>
        <v>745</v>
      </c>
      <c r="U23" s="29">
        <f t="shared" ref="U23" si="23">IF(U$2=$B$2,T23+U$3,T23)+IF(U$4=$B$2,U$5,0)+IF(U$6=$B$2,U$7,0)+IF(U$8=$B$2,U$9,0)+IF(U$10=$B$2,U$11,0)-IF(U$12=$B$2,U$13,0)-IF(U$14=$B$2,U$15,0)-IF(U$16=$B$2,U$17,0)-IF(U$18=$B$2,U$19,0)-IF(U$20=$B$2,U$21,0)</f>
        <v>705</v>
      </c>
      <c r="V23" s="29">
        <f t="shared" ref="V23" si="24">IF(V$2=$B$2,U23+V$3,U23)+IF(V$4=$B$2,V$5,0)+IF(V$6=$B$2,V$7,0)+IF(V$8=$B$2,V$9,0)+IF(V$10=$B$2,V$11,0)-IF(V$12=$B$2,V$13,0)-IF(V$14=$B$2,V$15,0)-IF(V$16=$B$2,V$17,0)-IF(V$18=$B$2,V$19,0)-IF(V$20=$B$2,V$21,0)</f>
        <v>705</v>
      </c>
      <c r="W23" s="29">
        <f t="shared" ref="W23" si="25">IF(W$2=$B$2,V23+W$3,V23)+IF(W$4=$B$2,W$5,0)+IF(W$6=$B$2,W$7,0)+IF(W$8=$B$2,W$9,0)+IF(W$10=$B$2,W$11,0)-IF(W$12=$B$2,W$13,0)-IF(W$14=$B$2,W$15,0)-IF(W$16=$B$2,W$17,0)-IF(W$18=$B$2,W$19,0)-IF(W$20=$B$2,W$21,0)</f>
        <v>705</v>
      </c>
      <c r="X23" s="29">
        <f t="shared" ref="X23:AA23" si="26">IF(X$2=$B$2,W23+X$3,W23)+IF(X$4=$B$2,X$5,0)+IF(X$6=$B$2,X$7,0)+IF(X$8=$B$2,X$9,0)+IF(X$10=$B$2,X$11,0)-IF(X$12=$B$2,X$13,0)-IF(X$14=$B$2,X$15,0)-IF(X$16=$B$2,X$17,0)-IF(X$18=$B$2,X$19,0)-IF(X$20=$B$2,X$21,0)</f>
        <v>676</v>
      </c>
      <c r="Y23" s="29">
        <f t="shared" si="26"/>
        <v>676</v>
      </c>
      <c r="Z23" s="29">
        <f t="shared" si="26"/>
        <v>676</v>
      </c>
      <c r="AA23" s="29">
        <f t="shared" si="26"/>
        <v>676</v>
      </c>
      <c r="AB23" s="29">
        <f t="shared" ref="AB23" si="27">IF(AB$2=$B$2,AA23+AB$3,AA23)+IF(AB$4=$B$2,AB$5,0)+IF(AB$6=$B$2,AB$7,0)+IF(AB$8=$B$2,AB$9,0)+IF(AB$10=$B$2,AB$11,0)-IF(AB$12=$B$2,AB$13,0)-IF(AB$14=$B$2,AB$15,0)-IF(AB$16=$B$2,AB$17,0)-IF(AB$18=$B$2,AB$19,0)-IF(AB$20=$B$2,AB$21,0)</f>
        <v>676</v>
      </c>
      <c r="AC23" s="29">
        <f t="shared" ref="AC23" si="28">IF(AC$2=$B$2,AB23+AC$3,AB23)+IF(AC$4=$B$2,AC$5,0)+IF(AC$6=$B$2,AC$7,0)+IF(AC$8=$B$2,AC$9,0)+IF(AC$10=$B$2,AC$11,0)-IF(AC$12=$B$2,AC$13,0)-IF(AC$14=$B$2,AC$15,0)-IF(AC$16=$B$2,AC$17,0)-IF(AC$18=$B$2,AC$19,0)-IF(AC$20=$B$2,AC$21,0)</f>
        <v>676</v>
      </c>
      <c r="AD23" s="29">
        <f t="shared" ref="AD23" si="29">IF(AD$2=$B$2,AC23+AD$3,AC23)+IF(AD$4=$B$2,AD$5,0)+IF(AD$6=$B$2,AD$7,0)+IF(AD$8=$B$2,AD$9,0)+IF(AD$10=$B$2,AD$11,0)-IF(AD$12=$B$2,AD$13,0)-IF(AD$14=$B$2,AD$15,0)-IF(AD$16=$B$2,AD$17,0)-IF(AD$18=$B$2,AD$19,0)-IF(AD$20=$B$2,AD$21,0)</f>
        <v>576</v>
      </c>
      <c r="AE23" s="29">
        <f t="shared" ref="AE23" si="30">IF(AE$2=$B$2,AD23+AE$3,AD23)+IF(AE$4=$B$2,AE$5,0)+IF(AE$6=$B$2,AE$7,0)+IF(AE$8=$B$2,AE$9,0)+IF(AE$10=$B$2,AE$11,0)-IF(AE$12=$B$2,AE$13,0)-IF(AE$14=$B$2,AE$15,0)-IF(AE$16=$B$2,AE$17,0)-IF(AE$18=$B$2,AE$19,0)-IF(AE$20=$B$2,AE$21,0)</f>
        <v>576</v>
      </c>
      <c r="AF23" s="29">
        <f t="shared" ref="AF23" si="31">IF(AF$2=$B$2,AE23+AF$3,AE23)+IF(AF$4=$B$2,AF$5,0)+IF(AF$6=$B$2,AF$7,0)+IF(AF$8=$B$2,AF$9,0)+IF(AF$10=$B$2,AF$11,0)-IF(AF$12=$B$2,AF$13,0)-IF(AF$14=$B$2,AF$15,0)-IF(AF$16=$B$2,AF$17,0)-IF(AF$18=$B$2,AF$19,0)-IF(AF$20=$B$2,AF$21,0)</f>
        <v>496</v>
      </c>
      <c r="AG23" s="29">
        <f t="shared" ref="AG23" si="32">IF(AG$2=$B$2,AF23+AG$3,AF23)+IF(AG$4=$B$2,AG$5,0)+IF(AG$6=$B$2,AG$7,0)+IF(AG$8=$B$2,AG$9,0)+IF(AG$10=$B$2,AG$11,0)-IF(AG$12=$B$2,AG$13,0)-IF(AG$14=$B$2,AG$15,0)-IF(AG$16=$B$2,AG$17,0)-IF(AG$18=$B$2,AG$19,0)-IF(AG$20=$B$2,AG$21,0)</f>
        <v>496</v>
      </c>
      <c r="AH23" s="29">
        <f t="shared" ref="AH23:AI23" si="33">IF(AH$2=$B$2,AG23+AH$3,AG23)+IF(AH$4=$B$2,AH$5,0)+IF(AH$6=$B$2,AH$7,0)+IF(AH$8=$B$2,AH$9,0)+IF(AH$10=$B$2,AH$11,0)-IF(AH$12=$B$2,AH$13,0)-IF(AH$14=$B$2,AH$15,0)-IF(AH$16=$B$2,AH$17,0)-IF(AH$18=$B$2,AH$19,0)-IF(AH$20=$B$2,AH$21,0)</f>
        <v>468</v>
      </c>
      <c r="AI23" s="29">
        <f t="shared" si="33"/>
        <v>468</v>
      </c>
      <c r="AJ23" s="29">
        <f t="shared" ref="AJ23" si="34">IF(AJ$2=$B$2,AI23+AJ$3,AI23)+IF(AJ$4=$B$2,AJ$5,0)+IF(AJ$6=$B$2,AJ$7,0)+IF(AJ$8=$B$2,AJ$9,0)+IF(AJ$10=$B$2,AJ$11,0)-IF(AJ$12=$B$2,AJ$13,0)-IF(AJ$14=$B$2,AJ$15,0)-IF(AJ$16=$B$2,AJ$17,0)-IF(AJ$18=$B$2,AJ$19,0)-IF(AJ$20=$B$2,AJ$21,0)</f>
        <v>468</v>
      </c>
      <c r="AK23" s="30">
        <f t="shared" ref="AK23" si="35">IF(AK$2=$B$2,AJ23+AK$3,AJ23)+IF(AK$4=$B$2,AK$5,0)+IF(AK$6=$B$2,AK$7,0)+IF(AK$8=$B$2,AK$9,0)+IF(AK$10=$B$2,AK$11,0)-IF(AK$12=$B$2,AK$13,0)-IF(AK$14=$B$2,AK$15,0)-IF(AK$16=$B$2,AK$17,0)-IF(AK$18=$B$2,AK$19,0)-IF(AK$20=$B$2,AK$21,0)</f>
        <v>456</v>
      </c>
    </row>
    <row r="24" spans="2:38" ht="18" customHeight="1">
      <c r="F24" s="255"/>
      <c r="G24" s="28">
        <f>IF(G$2=$C$2,C3+G$3,C3)+IF(G$4=$C$2,G$5,0)+IF(G$6=$C$2,G$7,0)+IF(G$8=$C$2,G$9,0)+IF(G$10=$C$2,G$11,0)-IF(G$12=$C$2,G$13,0)-IF(G$14=$C$2,G$15,0)-IF(G$16=$C$2,G$17,0)-IF(G$18=$C$2,G$19,0)-IF(G$20=$C$2,G$21,0)</f>
        <v>0</v>
      </c>
      <c r="H24" s="28">
        <f>IF(H$2=$C$2,G24+H$3,G24)+IF(H$4=$C$2,H$5,0)+IF(H$6=$C$2,H$7,0)+IF(H$8=$C$2,H$9,0)+IF(H$10=$C$2,H$11,0)-IF(H$12=$C$2,H$13,0)-IF(H$14=$C$2,H$15,0)-IF(H$16=$C$2,H$17,0)-IF(H$18=$C$2,H$19,0)-IF(H$20=$C$2,H$21,0)</f>
        <v>0</v>
      </c>
      <c r="I24" s="28">
        <f t="shared" ref="I24:O24" si="36">IF(I$2=$C$2,H24+I$3,H24)+IF(I$4=$C$2,I$5,0)+IF(I$6=$C$2,I$7,0)+IF(I$8=$C$2,I$9,0)+IF(I$10=$C$2,I$11,0)-IF(I$12=$C$2,I$13,0)-IF(I$14=$C$2,I$15,0)-IF(I$16=$C$2,I$17,0)-IF(I$18=$C$2,I$19,0)-IF(I$20=$C$2,I$21,0)</f>
        <v>0</v>
      </c>
      <c r="J24" s="28">
        <f t="shared" si="36"/>
        <v>0</v>
      </c>
      <c r="K24" s="28">
        <f t="shared" si="36"/>
        <v>0</v>
      </c>
      <c r="L24" s="28">
        <f t="shared" si="36"/>
        <v>0</v>
      </c>
      <c r="M24" s="29">
        <f t="shared" si="36"/>
        <v>0</v>
      </c>
      <c r="N24" s="29">
        <f t="shared" si="36"/>
        <v>0</v>
      </c>
      <c r="O24" s="29">
        <f t="shared" si="36"/>
        <v>90</v>
      </c>
      <c r="P24" s="29">
        <f t="shared" ref="P24" si="37">IF(P$2=$C$2,O24+P$3,O24)+IF(P$4=$C$2,P$5,0)+IF(P$6=$C$2,P$7,0)+IF(P$8=$C$2,P$9,0)+IF(P$10=$C$2,P$11,0)-IF(P$12=$C$2,P$13,0)-IF(P$14=$C$2,P$15,0)-IF(P$16=$C$2,P$17,0)-IF(P$18=$C$2,P$19,0)-IF(P$20=$C$2,P$21,0)</f>
        <v>90</v>
      </c>
      <c r="Q24" s="29">
        <f t="shared" ref="Q24" si="38">IF(Q$2=$C$2,P24+Q$3,P24)+IF(Q$4=$C$2,Q$5,0)+IF(Q$6=$C$2,Q$7,0)+IF(Q$8=$C$2,Q$9,0)+IF(Q$10=$C$2,Q$11,0)-IF(Q$12=$C$2,Q$13,0)-IF(Q$14=$C$2,Q$15,0)-IF(Q$16=$C$2,Q$17,0)-IF(Q$18=$C$2,Q$19,0)-IF(Q$20=$C$2,Q$21,0)</f>
        <v>90</v>
      </c>
      <c r="R24" s="29">
        <f t="shared" ref="R24:S24" si="39">IF(R$2=$C$2,Q24+R$3,Q24)+IF(R$4=$C$2,R$5,0)+IF(R$6=$C$2,R$7,0)+IF(R$8=$C$2,R$9,0)+IF(R$10=$C$2,R$11,0)-IF(R$12=$C$2,R$13,0)-IF(R$14=$C$2,R$15,0)-IF(R$16=$C$2,R$17,0)-IF(R$18=$C$2,R$19,0)-IF(R$20=$C$2,R$21,0)</f>
        <v>90</v>
      </c>
      <c r="S24" s="29">
        <f t="shared" si="39"/>
        <v>0</v>
      </c>
      <c r="T24" s="29">
        <f t="shared" ref="T24" si="40">IF(T$2=$C$2,S24+T$3,S24)+IF(T$4=$C$2,T$5,0)+IF(T$6=$C$2,T$7,0)+IF(T$8=$C$2,T$9,0)+IF(T$10=$C$2,T$11,0)-IF(T$12=$C$2,T$13,0)-IF(T$14=$C$2,T$15,0)-IF(T$16=$C$2,T$17,0)-IF(T$18=$C$2,T$19,0)-IF(T$20=$C$2,T$21,0)</f>
        <v>0</v>
      </c>
      <c r="U24" s="29">
        <f t="shared" ref="U24" si="41">IF(U$2=$C$2,T24+U$3,T24)+IF(U$4=$C$2,U$5,0)+IF(U$6=$C$2,U$7,0)+IF(U$8=$C$2,U$9,0)+IF(U$10=$C$2,U$11,0)-IF(U$12=$C$2,U$13,0)-IF(U$14=$C$2,U$15,0)-IF(U$16=$C$2,U$17,0)-IF(U$18=$C$2,U$19,0)-IF(U$20=$C$2,U$21,0)</f>
        <v>0</v>
      </c>
      <c r="V24" s="29">
        <f t="shared" ref="V24" si="42">IF(V$2=$C$2,U24+V$3,U24)+IF(V$4=$C$2,V$5,0)+IF(V$6=$C$2,V$7,0)+IF(V$8=$C$2,V$9,0)+IF(V$10=$C$2,V$11,0)-IF(V$12=$C$2,V$13,0)-IF(V$14=$C$2,V$15,0)-IF(V$16=$C$2,V$17,0)-IF(V$18=$C$2,V$19,0)-IF(V$20=$C$2,V$21,0)</f>
        <v>0</v>
      </c>
      <c r="W24" s="29">
        <f t="shared" ref="W24" si="43">IF(W$2=$C$2,V24+W$3,V24)+IF(W$4=$C$2,W$5,0)+IF(W$6=$C$2,W$7,0)+IF(W$8=$C$2,W$9,0)+IF(W$10=$C$2,W$11,0)-IF(W$12=$C$2,W$13,0)-IF(W$14=$C$2,W$15,0)-IF(W$16=$C$2,W$17,0)-IF(W$18=$C$2,W$19,0)-IF(W$20=$C$2,W$21,0)</f>
        <v>0</v>
      </c>
      <c r="X24" s="29">
        <f t="shared" ref="X24:AA24" si="44">IF(X$2=$C$2,W24+X$3,W24)+IF(X$4=$C$2,X$5,0)+IF(X$6=$C$2,X$7,0)+IF(X$8=$C$2,X$9,0)+IF(X$10=$C$2,X$11,0)-IF(X$12=$C$2,X$13,0)-IF(X$14=$C$2,X$15,0)-IF(X$16=$C$2,X$17,0)-IF(X$18=$C$2,X$19,0)-IF(X$20=$C$2,X$21,0)</f>
        <v>0</v>
      </c>
      <c r="Y24" s="29">
        <f t="shared" si="44"/>
        <v>0</v>
      </c>
      <c r="Z24" s="29">
        <f t="shared" si="44"/>
        <v>0</v>
      </c>
      <c r="AA24" s="29">
        <f t="shared" si="44"/>
        <v>0</v>
      </c>
      <c r="AB24" s="29">
        <f t="shared" ref="AB24" si="45">IF(AB$2=$C$2,AA24+AB$3,AA24)+IF(AB$4=$C$2,AB$5,0)+IF(AB$6=$C$2,AB$7,0)+IF(AB$8=$C$2,AB$9,0)+IF(AB$10=$C$2,AB$11,0)-IF(AB$12=$C$2,AB$13,0)-IF(AB$14=$C$2,AB$15,0)-IF(AB$16=$C$2,AB$17,0)-IF(AB$18=$C$2,AB$19,0)-IF(AB$20=$C$2,AB$21,0)</f>
        <v>0</v>
      </c>
      <c r="AC24" s="29">
        <f t="shared" ref="AC24" si="46">IF(AC$2=$C$2,AB24+AC$3,AB24)+IF(AC$4=$C$2,AC$5,0)+IF(AC$6=$C$2,AC$7,0)+IF(AC$8=$C$2,AC$9,0)+IF(AC$10=$C$2,AC$11,0)-IF(AC$12=$C$2,AC$13,0)-IF(AC$14=$C$2,AC$15,0)-IF(AC$16=$C$2,AC$17,0)-IF(AC$18=$C$2,AC$19,0)-IF(AC$20=$C$2,AC$21,0)</f>
        <v>0</v>
      </c>
      <c r="AD24" s="29">
        <f t="shared" ref="AD24" si="47">IF(AD$2=$C$2,AC24+AD$3,AC24)+IF(AD$4=$C$2,AD$5,0)+IF(AD$6=$C$2,AD$7,0)+IF(AD$8=$C$2,AD$9,0)+IF(AD$10=$C$2,AD$11,0)-IF(AD$12=$C$2,AD$13,0)-IF(AD$14=$C$2,AD$15,0)-IF(AD$16=$C$2,AD$17,0)-IF(AD$18=$C$2,AD$19,0)-IF(AD$20=$C$2,AD$21,0)</f>
        <v>0</v>
      </c>
      <c r="AE24" s="29">
        <f t="shared" ref="AE24" si="48">IF(AE$2=$C$2,AD24+AE$3,AD24)+IF(AE$4=$C$2,AE$5,0)+IF(AE$6=$C$2,AE$7,0)+IF(AE$8=$C$2,AE$9,0)+IF(AE$10=$C$2,AE$11,0)-IF(AE$12=$C$2,AE$13,0)-IF(AE$14=$C$2,AE$15,0)-IF(AE$16=$C$2,AE$17,0)-IF(AE$18=$C$2,AE$19,0)-IF(AE$20=$C$2,AE$21,0)</f>
        <v>0</v>
      </c>
      <c r="AF24" s="29">
        <f t="shared" ref="AF24" si="49">IF(AF$2=$C$2,AE24+AF$3,AE24)+IF(AF$4=$C$2,AF$5,0)+IF(AF$6=$C$2,AF$7,0)+IF(AF$8=$C$2,AF$9,0)+IF(AF$10=$C$2,AF$11,0)-IF(AF$12=$C$2,AF$13,0)-IF(AF$14=$C$2,AF$15,0)-IF(AF$16=$C$2,AF$17,0)-IF(AF$18=$C$2,AF$19,0)-IF(AF$20=$C$2,AF$21,0)</f>
        <v>0</v>
      </c>
      <c r="AG24" s="29">
        <f t="shared" ref="AG24" si="50">IF(AG$2=$C$2,AF24+AG$3,AF24)+IF(AG$4=$C$2,AG$5,0)+IF(AG$6=$C$2,AG$7,0)+IF(AG$8=$C$2,AG$9,0)+IF(AG$10=$C$2,AG$11,0)-IF(AG$12=$C$2,AG$13,0)-IF(AG$14=$C$2,AG$15,0)-IF(AG$16=$C$2,AG$17,0)-IF(AG$18=$C$2,AG$19,0)-IF(AG$20=$C$2,AG$21,0)</f>
        <v>0</v>
      </c>
      <c r="AH24" s="29">
        <f t="shared" ref="AH24:AI24" si="51">IF(AH$2=$C$2,AG24+AH$3,AG24)+IF(AH$4=$C$2,AH$5,0)+IF(AH$6=$C$2,AH$7,0)+IF(AH$8=$C$2,AH$9,0)+IF(AH$10=$C$2,AH$11,0)-IF(AH$12=$C$2,AH$13,0)-IF(AH$14=$C$2,AH$15,0)-IF(AH$16=$C$2,AH$17,0)-IF(AH$18=$C$2,AH$19,0)-IF(AH$20=$C$2,AH$21,0)</f>
        <v>0</v>
      </c>
      <c r="AI24" s="29">
        <f t="shared" si="51"/>
        <v>0</v>
      </c>
      <c r="AJ24" s="29">
        <f t="shared" ref="AJ24" si="52">IF(AJ$2=$C$2,AI24+AJ$3,AI24)+IF(AJ$4=$C$2,AJ$5,0)+IF(AJ$6=$C$2,AJ$7,0)+IF(AJ$8=$C$2,AJ$9,0)+IF(AJ$10=$C$2,AJ$11,0)-IF(AJ$12=$C$2,AJ$13,0)-IF(AJ$14=$C$2,AJ$15,0)-IF(AJ$16=$C$2,AJ$17,0)-IF(AJ$18=$C$2,AJ$19,0)-IF(AJ$20=$C$2,AJ$21,0)</f>
        <v>0</v>
      </c>
      <c r="AK24" s="30">
        <f t="shared" ref="AK24" si="53">IF(AK$2=$C$2,AJ24+AK$3,AJ24)+IF(AK$4=$C$2,AK$5,0)+IF(AK$6=$C$2,AK$7,0)+IF(AK$8=$C$2,AK$9,0)+IF(AK$10=$C$2,AK$11,0)-IF(AK$12=$C$2,AK$13,0)-IF(AK$14=$C$2,AK$15,0)-IF(AK$16=$C$2,AK$17,0)-IF(AK$18=$C$2,AK$19,0)-IF(AK$20=$C$2,AK$21,0)</f>
        <v>0</v>
      </c>
    </row>
    <row r="25" spans="2:38" ht="18" customHeight="1">
      <c r="F25" s="255"/>
      <c r="G25" s="28">
        <f>IF(G$2=$D$2,D3+G$3,D3)+IF(G$4=$D$2,G$5,0)+IF(G$6=$D$2,G$7,0)+IF(G$8=$D$2,G$9,0)+IF(G$10=$D$2,G$11,0)-IF(G$12=$D$2,G$13,0)-IF(G$14=$D$2,G$15,0)-IF(G$16=$D$2,G$17,0)-IF(G$18=$D$2,G$19,0)-IF(G$20=$D$2,G$21,0)</f>
        <v>3502</v>
      </c>
      <c r="H25" s="28">
        <f>IF(H$2=$D$2,G25+H$3,G25)+IF(H$4=$D$2,H$5,0)+IF(H$6=$D$2,H$7,0)+IF(H$8=$D$2,H$9,0)+IF(H$10=$D$2,H$11,0)-IF(H$12=$D$2,H$13,0)-IF(H$14=$D$2,H$15,0)-IF(H$16=$D$2,H$17,0)-IF(H$18=$D$2,H$19,0)-IF(H$20=$D$2,H$21,0)</f>
        <v>3502</v>
      </c>
      <c r="I25" s="28">
        <f t="shared" ref="I25:L25" si="54">IF(I$2=$D$2,H25+I$3,H25)+IF(I$4=$D$2,I$5,0)+IF(I$6=$D$2,I$7,0)+IF(I$8=$D$2,I$9,0)+IF(I$10=$D$2,I$11,0)-IF(I$12=$D$2,I$13,0)-IF(I$14=$D$2,I$15,0)-IF(I$16=$D$2,I$17,0)-IF(I$18=$D$2,I$19,0)-IF(I$20=$D$2,I$21,0)</f>
        <v>3502</v>
      </c>
      <c r="J25" s="28">
        <f t="shared" si="54"/>
        <v>3502</v>
      </c>
      <c r="K25" s="28">
        <f t="shared" si="54"/>
        <v>3502</v>
      </c>
      <c r="L25" s="28">
        <f t="shared" si="54"/>
        <v>3502</v>
      </c>
      <c r="M25" s="29">
        <f t="shared" ref="M25" si="55">IF(M$2=$D$2,L25+M$3,L25)+IF(M$4=$D$2,M$5,0)+IF(M$6=$D$2,M$7,0)+IF(M$8=$D$2,M$9,0)+IF(M$10=$D$2,M$11,0)-IF(M$12=$D$2,M$13,0)-IF(M$14=$D$2,M$15,0)-IF(M$16=$D$2,M$17,0)-IF(M$18=$D$2,M$19,0)-IF(M$20=$D$2,M$21,0)</f>
        <v>3502</v>
      </c>
      <c r="N25" s="29">
        <f t="shared" ref="N25" si="56">IF(N$2=$D$2,M25+N$3,M25)+IF(N$4=$D$2,N$5,0)+IF(N$6=$D$2,N$7,0)+IF(N$8=$D$2,N$9,0)+IF(N$10=$D$2,N$11,0)-IF(N$12=$D$2,N$13,0)-IF(N$14=$D$2,N$15,0)-IF(N$16=$D$2,N$17,0)-IF(N$18=$D$2,N$19,0)-IF(N$20=$D$2,N$21,0)</f>
        <v>3502</v>
      </c>
      <c r="O25" s="29">
        <f t="shared" ref="O25" si="57">IF(O$2=$D$2,N25+O$3,N25)+IF(O$4=$D$2,O$5,0)+IF(O$6=$D$2,O$7,0)+IF(O$8=$D$2,O$9,0)+IF(O$10=$D$2,O$11,0)-IF(O$12=$D$2,O$13,0)-IF(O$14=$D$2,O$15,0)-IF(O$16=$D$2,O$17,0)-IF(O$18=$D$2,O$19,0)-IF(O$20=$D$2,O$21,0)</f>
        <v>3502</v>
      </c>
      <c r="P25" s="29">
        <f t="shared" ref="P25" si="58">IF(P$2=$D$2,O25+P$3,O25)+IF(P$4=$D$2,P$5,0)+IF(P$6=$D$2,P$7,0)+IF(P$8=$D$2,P$9,0)+IF(P$10=$D$2,P$11,0)-IF(P$12=$D$2,P$13,0)-IF(P$14=$D$2,P$15,0)-IF(P$16=$D$2,P$17,0)-IF(P$18=$D$2,P$19,0)-IF(P$20=$D$2,P$21,0)</f>
        <v>3502</v>
      </c>
      <c r="Q25" s="29">
        <f t="shared" ref="Q25" si="59">IF(Q$2=$D$2,P25+Q$3,P25)+IF(Q$4=$D$2,Q$5,0)+IF(Q$6=$D$2,Q$7,0)+IF(Q$8=$D$2,Q$9,0)+IF(Q$10=$D$2,Q$11,0)-IF(Q$12=$D$2,Q$13,0)-IF(Q$14=$D$2,Q$15,0)-IF(Q$16=$D$2,Q$17,0)-IF(Q$18=$D$2,Q$19,0)-IF(Q$20=$D$2,Q$21,0)</f>
        <v>3502</v>
      </c>
      <c r="R25" s="29">
        <f t="shared" ref="R25:S25" si="60">IF(R$2=$D$2,Q25+R$3,Q25)+IF(R$4=$D$2,R$5,0)+IF(R$6=$D$2,R$7,0)+IF(R$8=$D$2,R$9,0)+IF(R$10=$D$2,R$11,0)-IF(R$12=$D$2,R$13,0)-IF(R$14=$D$2,R$15,0)-IF(R$16=$D$2,R$17,0)-IF(R$18=$D$2,R$19,0)-IF(R$20=$D$2,R$21,0)</f>
        <v>3502</v>
      </c>
      <c r="S25" s="29">
        <f t="shared" si="60"/>
        <v>3502</v>
      </c>
      <c r="T25" s="29">
        <f t="shared" ref="T25" si="61">IF(T$2=$D$2,S25+T$3,S25)+IF(T$4=$D$2,T$5,0)+IF(T$6=$D$2,T$7,0)+IF(T$8=$D$2,T$9,0)+IF(T$10=$D$2,T$11,0)-IF(T$12=$D$2,T$13,0)-IF(T$14=$D$2,T$15,0)-IF(T$16=$D$2,T$17,0)-IF(T$18=$D$2,T$19,0)-IF(T$20=$D$2,T$21,0)</f>
        <v>3502</v>
      </c>
      <c r="U25" s="29">
        <f t="shared" ref="U25" si="62">IF(U$2=$D$2,T25+U$3,T25)+IF(U$4=$D$2,U$5,0)+IF(U$6=$D$2,U$7,0)+IF(U$8=$D$2,U$9,0)+IF(U$10=$D$2,U$11,0)-IF(U$12=$D$2,U$13,0)-IF(U$14=$D$2,U$15,0)-IF(U$16=$D$2,U$17,0)-IF(U$18=$D$2,U$19,0)-IF(U$20=$D$2,U$21,0)</f>
        <v>3500</v>
      </c>
      <c r="V25" s="29">
        <f t="shared" ref="V25" si="63">IF(V$2=$D$2,U25+V$3,U25)+IF(V$4=$D$2,V$5,0)+IF(V$6=$D$2,V$7,0)+IF(V$8=$D$2,V$9,0)+IF(V$10=$D$2,V$11,0)-IF(V$12=$D$2,V$13,0)-IF(V$14=$D$2,V$15,0)-IF(V$16=$D$2,V$17,0)-IF(V$18=$D$2,V$19,0)-IF(V$20=$D$2,V$21,0)</f>
        <v>3500</v>
      </c>
      <c r="W25" s="29">
        <f t="shared" ref="W25" si="64">IF(W$2=$D$2,V25+W$3,V25)+IF(W$4=$D$2,W$5,0)+IF(W$6=$D$2,W$7,0)+IF(W$8=$D$2,W$9,0)+IF(W$10=$D$2,W$11,0)-IF(W$12=$D$2,W$13,0)-IF(W$14=$D$2,W$15,0)-IF(W$16=$D$2,W$17,0)-IF(W$18=$D$2,W$19,0)-IF(W$20=$D$2,W$21,0)</f>
        <v>3500</v>
      </c>
      <c r="X25" s="29">
        <f t="shared" ref="X25:AA25" si="65">IF(X$2=$D$2,W25+X$3,W25)+IF(X$4=$D$2,X$5,0)+IF(X$6=$D$2,X$7,0)+IF(X$8=$D$2,X$9,0)+IF(X$10=$D$2,X$11,0)-IF(X$12=$D$2,X$13,0)-IF(X$14=$D$2,X$15,0)-IF(X$16=$D$2,X$17,0)-IF(X$18=$D$2,X$19,0)-IF(X$20=$D$2,X$21,0)</f>
        <v>3500</v>
      </c>
      <c r="Y25" s="29">
        <f t="shared" si="65"/>
        <v>3500</v>
      </c>
      <c r="Z25" s="29">
        <f t="shared" si="65"/>
        <v>3500</v>
      </c>
      <c r="AA25" s="29">
        <f t="shared" si="65"/>
        <v>3500</v>
      </c>
      <c r="AB25" s="29">
        <f t="shared" ref="AB25" si="66">IF(AB$2=$D$2,AA25+AB$3,AA25)+IF(AB$4=$D$2,AB$5,0)+IF(AB$6=$D$2,AB$7,0)+IF(AB$8=$D$2,AB$9,0)+IF(AB$10=$D$2,AB$11,0)-IF(AB$12=$D$2,AB$13,0)-IF(AB$14=$D$2,AB$15,0)-IF(AB$16=$D$2,AB$17,0)-IF(AB$18=$D$2,AB$19,0)-IF(AB$20=$D$2,AB$21,0)</f>
        <v>3500</v>
      </c>
      <c r="AC25" s="29">
        <f t="shared" ref="AC25" si="67">IF(AC$2=$D$2,AB25+AC$3,AB25)+IF(AC$4=$D$2,AC$5,0)+IF(AC$6=$D$2,AC$7,0)+IF(AC$8=$D$2,AC$9,0)+IF(AC$10=$D$2,AC$11,0)-IF(AC$12=$D$2,AC$13,0)-IF(AC$14=$D$2,AC$15,0)-IF(AC$16=$D$2,AC$17,0)-IF(AC$18=$D$2,AC$19,0)-IF(AC$20=$D$2,AC$21,0)</f>
        <v>3500</v>
      </c>
      <c r="AD25" s="29">
        <f t="shared" ref="AD25" si="68">IF(AD$2=$D$2,AC25+AD$3,AC25)+IF(AD$4=$D$2,AD$5,0)+IF(AD$6=$D$2,AD$7,0)+IF(AD$8=$D$2,AD$9,0)+IF(AD$10=$D$2,AD$11,0)-IF(AD$12=$D$2,AD$13,0)-IF(AD$14=$D$2,AD$15,0)-IF(AD$16=$D$2,AD$17,0)-IF(AD$18=$D$2,AD$19,0)-IF(AD$20=$D$2,AD$21,0)</f>
        <v>3500</v>
      </c>
      <c r="AE25" s="29">
        <f t="shared" ref="AE25" si="69">IF(AE$2=$D$2,AD25+AE$3,AD25)+IF(AE$4=$D$2,AE$5,0)+IF(AE$6=$D$2,AE$7,0)+IF(AE$8=$D$2,AE$9,0)+IF(AE$10=$D$2,AE$11,0)-IF(AE$12=$D$2,AE$13,0)-IF(AE$14=$D$2,AE$15,0)-IF(AE$16=$D$2,AE$17,0)-IF(AE$18=$D$2,AE$19,0)-IF(AE$20=$D$2,AE$21,0)</f>
        <v>3500</v>
      </c>
      <c r="AF25" s="29">
        <f t="shared" ref="AF25" si="70">IF(AF$2=$D$2,AE25+AF$3,AE25)+IF(AF$4=$D$2,AF$5,0)+IF(AF$6=$D$2,AF$7,0)+IF(AF$8=$D$2,AF$9,0)+IF(AF$10=$D$2,AF$11,0)-IF(AF$12=$D$2,AF$13,0)-IF(AF$14=$D$2,AF$15,0)-IF(AF$16=$D$2,AF$17,0)-IF(AF$18=$D$2,AF$19,0)-IF(AF$20=$D$2,AF$21,0)</f>
        <v>3500</v>
      </c>
      <c r="AG25" s="29">
        <f t="shared" ref="AG25" si="71">IF(AG$2=$D$2,AF25+AG$3,AF25)+IF(AG$4=$D$2,AG$5,0)+IF(AG$6=$D$2,AG$7,0)+IF(AG$8=$D$2,AG$9,0)+IF(AG$10=$D$2,AG$11,0)-IF(AG$12=$D$2,AG$13,0)-IF(AG$14=$D$2,AG$15,0)-IF(AG$16=$D$2,AG$17,0)-IF(AG$18=$D$2,AG$19,0)-IF(AG$20=$D$2,AG$21,0)</f>
        <v>3500</v>
      </c>
      <c r="AH25" s="29">
        <f t="shared" ref="AH25:AI25" si="72">IF(AH$2=$D$2,AG25+AH$3,AG25)+IF(AH$4=$D$2,AH$5,0)+IF(AH$6=$D$2,AH$7,0)+IF(AH$8=$D$2,AH$9,0)+IF(AH$10=$D$2,AH$11,0)-IF(AH$12=$D$2,AH$13,0)-IF(AH$14=$D$2,AH$15,0)-IF(AH$16=$D$2,AH$17,0)-IF(AH$18=$D$2,AH$19,0)-IF(AH$20=$D$2,AH$21,0)</f>
        <v>3488.16</v>
      </c>
      <c r="AI25" s="29">
        <f t="shared" si="72"/>
        <v>3488.16</v>
      </c>
      <c r="AJ25" s="29">
        <f t="shared" ref="AJ25" si="73">IF(AJ$2=$D$2,AI25+AJ$3,AI25)+IF(AJ$4=$D$2,AJ$5,0)+IF(AJ$6=$D$2,AJ$7,0)+IF(AJ$8=$D$2,AJ$9,0)+IF(AJ$10=$D$2,AJ$11,0)-IF(AJ$12=$D$2,AJ$13,0)-IF(AJ$14=$D$2,AJ$15,0)-IF(AJ$16=$D$2,AJ$17,0)-IF(AJ$18=$D$2,AJ$19,0)-IF(AJ$20=$D$2,AJ$21,0)</f>
        <v>3488.16</v>
      </c>
      <c r="AK25" s="30">
        <f t="shared" ref="AK25" si="74">IF(AK$2=$D$2,AJ25+AK$3,AJ25)+IF(AK$4=$D$2,AK$5,0)+IF(AK$6=$D$2,AK$7,0)+IF(AK$8=$D$2,AK$9,0)+IF(AK$10=$D$2,AK$11,0)-IF(AK$12=$D$2,AK$13,0)-IF(AK$14=$D$2,AK$15,0)-IF(AK$16=$D$2,AK$17,0)-IF(AK$18=$D$2,AK$19,0)-IF(AK$20=$D$2,AK$21,0)</f>
        <v>3488.16</v>
      </c>
    </row>
    <row r="26" spans="2:38" ht="18" customHeight="1" thickBot="1">
      <c r="F26" s="256"/>
      <c r="G26" s="31">
        <f>IF(G$2=$E$2,E3+G$3,E3)+IF(G$4=$E$2,G$5,0)+IF(G$6=$E$2,G$7,0)+IF(G$8=$E$2,G$9,0)+IF(G$10=$E$2,G$11,0)-IF(G$12=$E$2,G$13,0)-IF(G$14=$E$2,G$15,0)-IF(G$16=$E$2,G$17,0)-IF(G$18=$E$2,G$19,0)-IF(G$20=$E$2,G$21,0)</f>
        <v>5400</v>
      </c>
      <c r="H26" s="31">
        <f>IF(H$2=$E$2,G26+H$3,G26)+IF(H$4=$E$2,H$5,0)+IF(H$6=$E$2,H$7,0)+IF(H$8=$E$2,H$9,0)+IF(H$10=$E$2,H$11,0)-IF(H$12=$E$2,H$13,0)-IF(H$14=$E$2,H$15,0)-IF(H$16=$E$2,H$17,0)-IF(H$18=$E$2,H$19,0)-IF(H$20=$E$2,H$21,0)</f>
        <v>5400</v>
      </c>
      <c r="I26" s="31">
        <f t="shared" ref="I26:J26" si="75">IF(I$2=$E$2,H26+I$3,H26)+IF(I$4=$E$2,I$5,0)+IF(I$6=$E$2,I$7,0)+IF(I$8=$E$2,I$9,0)+IF(I$10=$E$2,I$11,0)-IF(I$12=$E$2,I$13,0)-IF(I$14=$E$2,I$15,0)-IF(I$16=$E$2,I$17,0)-IF(I$18=$E$2,I$19,0)-IF(I$20=$E$2,I$21,0)</f>
        <v>5400</v>
      </c>
      <c r="J26" s="31">
        <f t="shared" si="75"/>
        <v>5400</v>
      </c>
      <c r="K26" s="31">
        <f t="shared" ref="K26" si="76">IF(K$2=$E$2,J26+K$3,J26)+IF(K$4=$E$2,K$5,0)+IF(K$6=$E$2,K$7,0)+IF(K$8=$E$2,K$9,0)+IF(K$10=$E$2,K$11,0)-IF(K$12=$E$2,K$13,0)-IF(K$14=$E$2,K$15,0)-IF(K$16=$E$2,K$17,0)-IF(K$18=$E$2,K$19,0)-IF(K$20=$E$2,K$21,0)</f>
        <v>5400</v>
      </c>
      <c r="L26" s="31">
        <f t="shared" ref="L26" si="77">IF(L$2=$E$2,K26+L$3,K26)+IF(L$4=$E$2,L$5,0)+IF(L$6=$E$2,L$7,0)+IF(L$8=$E$2,L$9,0)+IF(L$10=$E$2,L$11,0)-IF(L$12=$E$2,L$13,0)-IF(L$14=$E$2,L$15,0)-IF(L$16=$E$2,L$17,0)-IF(L$18=$E$2,L$19,0)-IF(L$20=$E$2,L$21,0)</f>
        <v>5400</v>
      </c>
      <c r="M26" s="32">
        <f t="shared" ref="M26" si="78">IF(M$2=$E$2,L26+M$3,L26)+IF(M$4=$E$2,M$5,0)+IF(M$6=$E$2,M$7,0)+IF(M$8=$E$2,M$9,0)+IF(M$10=$E$2,M$11,0)-IF(M$12=$E$2,M$13,0)-IF(M$14=$E$2,M$15,0)-IF(M$16=$E$2,M$17,0)-IF(M$18=$E$2,M$19,0)-IF(M$20=$E$2,M$21,0)</f>
        <v>5400</v>
      </c>
      <c r="N26" s="32">
        <f t="shared" ref="N26" si="79">IF(N$2=$E$2,M26+N$3,M26)+IF(N$4=$E$2,N$5,0)+IF(N$6=$E$2,N$7,0)+IF(N$8=$E$2,N$9,0)+IF(N$10=$E$2,N$11,0)-IF(N$12=$E$2,N$13,0)-IF(N$14=$E$2,N$15,0)-IF(N$16=$E$2,N$17,0)-IF(N$18=$E$2,N$19,0)-IF(N$20=$E$2,N$21,0)</f>
        <v>5400</v>
      </c>
      <c r="O26" s="32">
        <f t="shared" ref="O26" si="80">IF(O$2=$E$2,N26+O$3,N26)+IF(O$4=$E$2,O$5,0)+IF(O$6=$E$2,O$7,0)+IF(O$8=$E$2,O$9,0)+IF(O$10=$E$2,O$11,0)-IF(O$12=$E$2,O$13,0)-IF(O$14=$E$2,O$15,0)-IF(O$16=$E$2,O$17,0)-IF(O$18=$E$2,O$19,0)-IF(O$20=$E$2,O$21,0)</f>
        <v>5400</v>
      </c>
      <c r="P26" s="32">
        <f t="shared" ref="P26" si="81">IF(P$2=$E$2,O26+P$3,O26)+IF(P$4=$E$2,P$5,0)+IF(P$6=$E$2,P$7,0)+IF(P$8=$E$2,P$9,0)+IF(P$10=$E$2,P$11,0)-IF(P$12=$E$2,P$13,0)-IF(P$14=$E$2,P$15,0)-IF(P$16=$E$2,P$17,0)-IF(P$18=$E$2,P$19,0)-IF(P$20=$E$2,P$21,0)</f>
        <v>5400</v>
      </c>
      <c r="Q26" s="32">
        <f t="shared" ref="Q26" si="82">IF(Q$2=$E$2,P26+Q$3,P26)+IF(Q$4=$E$2,Q$5,0)+IF(Q$6=$E$2,Q$7,0)+IF(Q$8=$E$2,Q$9,0)+IF(Q$10=$E$2,Q$11,0)-IF(Q$12=$E$2,Q$13,0)-IF(Q$14=$E$2,Q$15,0)-IF(Q$16=$E$2,Q$17,0)-IF(Q$18=$E$2,Q$19,0)-IF(Q$20=$E$2,Q$21,0)</f>
        <v>5400</v>
      </c>
      <c r="R26" s="32">
        <f t="shared" ref="R26:S26" si="83">IF(R$2=$E$2,Q26+R$3,Q26)+IF(R$4=$E$2,R$5,0)+IF(R$6=$E$2,R$7,0)+IF(R$8=$E$2,R$9,0)+IF(R$10=$E$2,R$11,0)-IF(R$12=$E$2,R$13,0)-IF(R$14=$E$2,R$15,0)-IF(R$16=$E$2,R$17,0)-IF(R$18=$E$2,R$19,0)-IF(R$20=$E$2,R$21,0)</f>
        <v>5400</v>
      </c>
      <c r="S26" s="32">
        <f t="shared" si="83"/>
        <v>5400</v>
      </c>
      <c r="T26" s="32">
        <f t="shared" ref="T26" si="84">IF(T$2=$E$2,S26+T$3,S26)+IF(T$4=$E$2,T$5,0)+IF(T$6=$E$2,T$7,0)+IF(T$8=$E$2,T$9,0)+IF(T$10=$E$2,T$11,0)-IF(T$12=$E$2,T$13,0)-IF(T$14=$E$2,T$15,0)-IF(T$16=$E$2,T$17,0)-IF(T$18=$E$2,T$19,0)-IF(T$20=$E$2,T$21,0)</f>
        <v>5400</v>
      </c>
      <c r="U26" s="32">
        <f t="shared" ref="U26" si="85">IF(U$2=$E$2,T26+U$3,T26)+IF(U$4=$E$2,U$5,0)+IF(U$6=$E$2,U$7,0)+IF(U$8=$E$2,U$9,0)+IF(U$10=$E$2,U$11,0)-IF(U$12=$E$2,U$13,0)-IF(U$14=$E$2,U$15,0)-IF(U$16=$E$2,U$17,0)-IF(U$18=$E$2,U$19,0)-IF(U$20=$E$2,U$21,0)</f>
        <v>5400</v>
      </c>
      <c r="V26" s="32">
        <f t="shared" ref="V26" si="86">IF(V$2=$E$2,U26+V$3,U26)+IF(V$4=$E$2,V$5,0)+IF(V$6=$E$2,V$7,0)+IF(V$8=$E$2,V$9,0)+IF(V$10=$E$2,V$11,0)-IF(V$12=$E$2,V$13,0)-IF(V$14=$E$2,V$15,0)-IF(V$16=$E$2,V$17,0)-IF(V$18=$E$2,V$19,0)-IF(V$20=$E$2,V$21,0)</f>
        <v>5400</v>
      </c>
      <c r="W26" s="32">
        <f t="shared" ref="W26" si="87">IF(W$2=$E$2,V26+W$3,V26)+IF(W$4=$E$2,W$5,0)+IF(W$6=$E$2,W$7,0)+IF(W$8=$E$2,W$9,0)+IF(W$10=$E$2,W$11,0)-IF(W$12=$E$2,W$13,0)-IF(W$14=$E$2,W$15,0)-IF(W$16=$E$2,W$17,0)-IF(W$18=$E$2,W$19,0)-IF(W$20=$E$2,W$21,0)</f>
        <v>5400</v>
      </c>
      <c r="X26" s="32">
        <f t="shared" ref="X26:AA26" si="88">IF(X$2=$E$2,W26+X$3,W26)+IF(X$4=$E$2,X$5,0)+IF(X$6=$E$2,X$7,0)+IF(X$8=$E$2,X$9,0)+IF(X$10=$E$2,X$11,0)-IF(X$12=$E$2,X$13,0)-IF(X$14=$E$2,X$15,0)-IF(X$16=$E$2,X$17,0)-IF(X$18=$E$2,X$19,0)-IF(X$20=$E$2,X$21,0)</f>
        <v>5400</v>
      </c>
      <c r="Y26" s="32">
        <f t="shared" si="88"/>
        <v>5400</v>
      </c>
      <c r="Z26" s="32">
        <f t="shared" si="88"/>
        <v>5400</v>
      </c>
      <c r="AA26" s="32">
        <f t="shared" si="88"/>
        <v>5400</v>
      </c>
      <c r="AB26" s="32">
        <f t="shared" ref="AB26" si="89">IF(AB$2=$E$2,AA26+AB$3,AA26)+IF(AB$4=$E$2,AB$5,0)+IF(AB$6=$E$2,AB$7,0)+IF(AB$8=$E$2,AB$9,0)+IF(AB$10=$E$2,AB$11,0)-IF(AB$12=$E$2,AB$13,0)-IF(AB$14=$E$2,AB$15,0)-IF(AB$16=$E$2,AB$17,0)-IF(AB$18=$E$2,AB$19,0)-IF(AB$20=$E$2,AB$21,0)</f>
        <v>5400</v>
      </c>
      <c r="AC26" s="32">
        <f t="shared" ref="AC26" si="90">IF(AC$2=$E$2,AB26+AC$3,AB26)+IF(AC$4=$E$2,AC$5,0)+IF(AC$6=$E$2,AC$7,0)+IF(AC$8=$E$2,AC$9,0)+IF(AC$10=$E$2,AC$11,0)-IF(AC$12=$E$2,AC$13,0)-IF(AC$14=$E$2,AC$15,0)-IF(AC$16=$E$2,AC$17,0)-IF(AC$18=$E$2,AC$19,0)-IF(AC$20=$E$2,AC$21,0)</f>
        <v>5400</v>
      </c>
      <c r="AD26" s="32">
        <f t="shared" ref="AD26" si="91">IF(AD$2=$E$2,AC26+AD$3,AC26)+IF(AD$4=$E$2,AD$5,0)+IF(AD$6=$E$2,AD$7,0)+IF(AD$8=$E$2,AD$9,0)+IF(AD$10=$E$2,AD$11,0)-IF(AD$12=$E$2,AD$13,0)-IF(AD$14=$E$2,AD$15,0)-IF(AD$16=$E$2,AD$17,0)-IF(AD$18=$E$2,AD$19,0)-IF(AD$20=$E$2,AD$21,0)</f>
        <v>5400</v>
      </c>
      <c r="AE26" s="32">
        <f t="shared" ref="AE26" si="92">IF(AE$2=$E$2,AD26+AE$3,AD26)+IF(AE$4=$E$2,AE$5,0)+IF(AE$6=$E$2,AE$7,0)+IF(AE$8=$E$2,AE$9,0)+IF(AE$10=$E$2,AE$11,0)-IF(AE$12=$E$2,AE$13,0)-IF(AE$14=$E$2,AE$15,0)-IF(AE$16=$E$2,AE$17,0)-IF(AE$18=$E$2,AE$19,0)-IF(AE$20=$E$2,AE$21,0)</f>
        <v>5400</v>
      </c>
      <c r="AF26" s="32">
        <f t="shared" ref="AF26" si="93">IF(AF$2=$E$2,AE26+AF$3,AE26)+IF(AF$4=$E$2,AF$5,0)+IF(AF$6=$E$2,AF$7,0)+IF(AF$8=$E$2,AF$9,0)+IF(AF$10=$E$2,AF$11,0)-IF(AF$12=$E$2,AF$13,0)-IF(AF$14=$E$2,AF$15,0)-IF(AF$16=$E$2,AF$17,0)-IF(AF$18=$E$2,AF$19,0)-IF(AF$20=$E$2,AF$21,0)</f>
        <v>5400</v>
      </c>
      <c r="AG26" s="32">
        <f t="shared" ref="AG26" si="94">IF(AG$2=$E$2,AF26+AG$3,AF26)+IF(AG$4=$E$2,AG$5,0)+IF(AG$6=$E$2,AG$7,0)+IF(AG$8=$E$2,AG$9,0)+IF(AG$10=$E$2,AG$11,0)-IF(AG$12=$E$2,AG$13,0)-IF(AG$14=$E$2,AG$15,0)-IF(AG$16=$E$2,AG$17,0)-IF(AG$18=$E$2,AG$19,0)-IF(AG$20=$E$2,AG$21,0)</f>
        <v>5400</v>
      </c>
      <c r="AH26" s="32">
        <f t="shared" ref="AH26:AI26" si="95">IF(AH$2=$E$2,AG26+AH$3,AG26)+IF(AH$4=$E$2,AH$5,0)+IF(AH$6=$E$2,AH$7,0)+IF(AH$8=$E$2,AH$9,0)+IF(AH$10=$E$2,AH$11,0)-IF(AH$12=$E$2,AH$13,0)-IF(AH$14=$E$2,AH$15,0)-IF(AH$16=$E$2,AH$17,0)-IF(AH$18=$E$2,AH$19,0)-IF(AH$20=$E$2,AH$21,0)</f>
        <v>5600</v>
      </c>
      <c r="AI26" s="32">
        <f t="shared" si="95"/>
        <v>5600</v>
      </c>
      <c r="AJ26" s="32">
        <f t="shared" ref="AJ26" si="96">IF(AJ$2=$E$2,AI26+AJ$3,AI26)+IF(AJ$4=$E$2,AJ$5,0)+IF(AJ$6=$E$2,AJ$7,0)+IF(AJ$8=$E$2,AJ$9,0)+IF(AJ$10=$E$2,AJ$11,0)-IF(AJ$12=$E$2,AJ$13,0)-IF(AJ$14=$E$2,AJ$15,0)-IF(AJ$16=$E$2,AJ$17,0)-IF(AJ$18=$E$2,AJ$19,0)-IF(AJ$20=$E$2,AJ$21,0)</f>
        <v>5600</v>
      </c>
      <c r="AK26" s="33">
        <f t="shared" ref="AK26" si="97">IF(AK$2=$E$2,AJ26+AK$3,AJ26)+IF(AK$4=$E$2,AK$5,0)+IF(AK$6=$E$2,AK$7,0)+IF(AK$8=$E$2,AK$9,0)+IF(AK$10=$E$2,AK$11,0)-IF(AK$12=$E$2,AK$13,0)-IF(AK$14=$E$2,AK$15,0)-IF(AK$16=$E$2,AK$17,0)-IF(AK$18=$E$2,AK$19,0)-IF(AK$20=$E$2,AK$21,0)</f>
        <v>5600</v>
      </c>
    </row>
    <row r="28" spans="2:38" ht="18" customHeight="1" thickBot="1"/>
    <row r="29" spans="2:38" ht="18" customHeight="1" thickBot="1">
      <c r="B29" s="55" t="s">
        <v>8</v>
      </c>
      <c r="C29" s="5" t="s">
        <v>17</v>
      </c>
      <c r="D29" s="55" t="s">
        <v>9</v>
      </c>
      <c r="E29" s="5" t="s">
        <v>17</v>
      </c>
    </row>
    <row r="30" spans="2:38" ht="18" customHeight="1">
      <c r="B30" s="56" t="s">
        <v>14</v>
      </c>
      <c r="C30" s="52">
        <f>X15</f>
        <v>900</v>
      </c>
      <c r="D30" s="56" t="s">
        <v>25</v>
      </c>
      <c r="E30" s="52">
        <f>H3</f>
        <v>846</v>
      </c>
    </row>
    <row r="31" spans="2:38" ht="18" customHeight="1">
      <c r="B31" s="57" t="s">
        <v>15</v>
      </c>
      <c r="C31" s="59">
        <f>J13+X13+AA13+AF13+AF15</f>
        <v>204.33</v>
      </c>
      <c r="D31" s="57" t="s">
        <v>26</v>
      </c>
      <c r="E31" s="59">
        <f>O5</f>
        <v>90</v>
      </c>
    </row>
    <row r="32" spans="2:38" ht="18" customHeight="1">
      <c r="B32" s="57" t="s">
        <v>16</v>
      </c>
      <c r="C32" s="59">
        <f>L13+Q13+(AH17*4.858)</f>
        <v>177.70872</v>
      </c>
      <c r="D32" s="57" t="s">
        <v>27</v>
      </c>
      <c r="E32" s="59">
        <v>0</v>
      </c>
    </row>
    <row r="33" spans="2:5" ht="18" customHeight="1" thickBot="1">
      <c r="B33" s="57" t="s">
        <v>21</v>
      </c>
      <c r="C33" s="59">
        <f>G13+L15+S13+S15+Y13+Z13+Z15+AH13+AI13</f>
        <v>709.13000000000011</v>
      </c>
      <c r="D33" s="65" t="s">
        <v>19</v>
      </c>
      <c r="E33" s="66">
        <v>0</v>
      </c>
    </row>
    <row r="34" spans="2:5" ht="18" customHeight="1" thickBot="1">
      <c r="B34" s="57" t="s">
        <v>20</v>
      </c>
      <c r="C34" s="59">
        <f>AH19+AH15+U13</f>
        <v>167.9</v>
      </c>
      <c r="D34" s="268">
        <f>SUM(E30:E33)</f>
        <v>936</v>
      </c>
      <c r="E34" s="269"/>
    </row>
    <row r="35" spans="2:5" ht="18" customHeight="1">
      <c r="B35" s="57" t="s">
        <v>18</v>
      </c>
      <c r="C35" s="59">
        <f>Y15</f>
        <v>100</v>
      </c>
      <c r="D35" s="228">
        <f>D34-B37</f>
        <v>-1344.7847200000001</v>
      </c>
      <c r="E35" s="229"/>
    </row>
    <row r="36" spans="2:5" ht="18" customHeight="1" thickBot="1">
      <c r="B36" s="58" t="s">
        <v>19</v>
      </c>
      <c r="C36" s="60">
        <f>U15*4.858+AK13</f>
        <v>21.716000000000001</v>
      </c>
      <c r="D36" s="230"/>
      <c r="E36" s="231"/>
    </row>
    <row r="37" spans="2:5" ht="18" customHeight="1" thickBot="1">
      <c r="B37" s="236">
        <f>SUM(C30:C36)</f>
        <v>2280.7847200000001</v>
      </c>
      <c r="C37" s="237"/>
      <c r="D37" s="232">
        <f>D35</f>
        <v>-1344.7847200000001</v>
      </c>
      <c r="E37" s="233"/>
    </row>
    <row r="38" spans="2:5" ht="18" customHeight="1" thickBot="1">
      <c r="D38" s="234" t="s">
        <v>58</v>
      </c>
      <c r="E38" s="235"/>
    </row>
    <row r="51" spans="1:2" ht="18" customHeight="1">
      <c r="B51" s="63" t="s">
        <v>22</v>
      </c>
    </row>
    <row r="52" spans="1:2" ht="18" customHeight="1">
      <c r="A52" s="1" t="s">
        <v>23</v>
      </c>
      <c r="B52" s="1">
        <v>1500</v>
      </c>
    </row>
    <row r="53" spans="1:2" ht="18" customHeight="1">
      <c r="A53" s="1" t="s">
        <v>24</v>
      </c>
    </row>
  </sheetData>
  <mergeCells count="23">
    <mergeCell ref="A15:C15"/>
    <mergeCell ref="D34:E34"/>
    <mergeCell ref="A1:E1"/>
    <mergeCell ref="D4:E4"/>
    <mergeCell ref="D5:E5"/>
    <mergeCell ref="A4:C4"/>
    <mergeCell ref="A5:C5"/>
    <mergeCell ref="D35:E36"/>
    <mergeCell ref="D37:E37"/>
    <mergeCell ref="D38:E38"/>
    <mergeCell ref="B37:C37"/>
    <mergeCell ref="F2:F11"/>
    <mergeCell ref="A6:E6"/>
    <mergeCell ref="D10:E10"/>
    <mergeCell ref="A11:E11"/>
    <mergeCell ref="A9:C9"/>
    <mergeCell ref="A10:C10"/>
    <mergeCell ref="D9:E9"/>
    <mergeCell ref="F22:F26"/>
    <mergeCell ref="D14:E14"/>
    <mergeCell ref="D15:E15"/>
    <mergeCell ref="F12:F21"/>
    <mergeCell ref="A14:C14"/>
  </mergeCells>
  <conditionalFormatting sqref="A13:E13 A15:E15">
    <cfRule type="cellIs" dxfId="32" priority="1" operator="lessThan">
      <formula>0</formula>
    </cfRule>
    <cfRule type="cellIs" dxfId="31" priority="2" operator="greaterThan">
      <formula>0</formula>
    </cfRule>
  </conditionalFormatting>
  <dataValidations count="6">
    <dataValidation type="list" allowBlank="1" showInputMessage="1" showErrorMessage="1" sqref="G4:AK4 G20:AK20 G18:AK18 G16:AK16 G14:AK14 G12:AK12 G10:AK10 G8:AK8 G6:AK6 G2:AK2" xr:uid="{7719BD55-472D-4B59-8F87-9B7FA94A8A70}">
      <formula1>$A$2:$E$2</formula1>
    </dataValidation>
    <dataValidation type="list" allowBlank="1" showInputMessage="1" showErrorMessage="1" sqref="A8" xr:uid="{1EFB52ED-8678-4D39-838B-76C4FE378CF1}">
      <formula1>$G$22:$AK$22</formula1>
    </dataValidation>
    <dataValidation type="list" allowBlank="1" showInputMessage="1" showErrorMessage="1" sqref="B8" xr:uid="{6745141B-E619-4336-B8DD-70767CBB1B59}">
      <formula1>$G$23:$AK$23</formula1>
    </dataValidation>
    <dataValidation type="list" allowBlank="1" showInputMessage="1" showErrorMessage="1" sqref="C8" xr:uid="{0C003482-AC96-46C7-93D4-06CE613866F4}">
      <formula1>$G$24:$AK$24</formula1>
    </dataValidation>
    <dataValidation type="list" allowBlank="1" showInputMessage="1" showErrorMessage="1" sqref="D8" xr:uid="{8477AB73-D073-4631-82BE-52273E745799}">
      <formula1>$G$25:$AK$25</formula1>
    </dataValidation>
    <dataValidation type="list" allowBlank="1" showInputMessage="1" showErrorMessage="1" sqref="E8" xr:uid="{E04D26C3-D6ED-4062-B11A-23169F3057DB}">
      <formula1>$G$26:$AK$26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D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49AA-21C3-4473-9C2C-814926F5488B}">
  <sheetPr codeName="Sheet2">
    <tabColor rgb="FF00B050"/>
  </sheetPr>
  <dimension ref="A1:AK62"/>
  <sheetViews>
    <sheetView topLeftCell="A4" zoomScaleNormal="100" workbookViewId="0">
      <pane xSplit="5" topLeftCell="F1" activePane="topRight" state="frozen"/>
      <selection pane="topRight" activeCell="C37" sqref="C37"/>
    </sheetView>
  </sheetViews>
  <sheetFormatPr defaultColWidth="15.77734375" defaultRowHeight="18" customHeight="1"/>
  <cols>
    <col min="1" max="5" width="15.77734375" style="1"/>
    <col min="6" max="6" width="15.77734375" style="1" customWidth="1"/>
    <col min="7" max="37" width="10.77734375" style="1" customWidth="1"/>
    <col min="38" max="16384" width="15.77734375" style="1"/>
  </cols>
  <sheetData>
    <row r="1" spans="1:37" ht="18" customHeight="1" thickBot="1">
      <c r="A1" s="270" t="s">
        <v>0</v>
      </c>
      <c r="B1" s="271"/>
      <c r="C1" s="271"/>
      <c r="D1" s="271"/>
      <c r="E1" s="272"/>
      <c r="F1" s="2" t="s">
        <v>7</v>
      </c>
      <c r="G1" s="3">
        <v>1</v>
      </c>
      <c r="H1" s="4">
        <v>2</v>
      </c>
      <c r="I1" s="61">
        <v>3</v>
      </c>
      <c r="J1" s="62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61">
        <v>10</v>
      </c>
      <c r="Q1" s="62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  <c r="W1" s="61">
        <v>17</v>
      </c>
      <c r="X1" s="62">
        <v>18</v>
      </c>
      <c r="Y1" s="4">
        <v>19</v>
      </c>
      <c r="Z1" s="4">
        <v>20</v>
      </c>
      <c r="AA1" s="4">
        <v>21</v>
      </c>
      <c r="AB1" s="4">
        <v>22</v>
      </c>
      <c r="AC1" s="4">
        <v>23</v>
      </c>
      <c r="AD1" s="61">
        <v>24</v>
      </c>
      <c r="AE1" s="62">
        <v>25</v>
      </c>
      <c r="AF1" s="4">
        <v>26</v>
      </c>
      <c r="AG1" s="4">
        <v>27</v>
      </c>
      <c r="AH1" s="4">
        <v>28</v>
      </c>
      <c r="AI1" s="4">
        <v>29</v>
      </c>
      <c r="AJ1" s="4">
        <v>30</v>
      </c>
    </row>
    <row r="2" spans="1:37" ht="18" customHeight="1">
      <c r="A2" s="6" t="s">
        <v>4</v>
      </c>
      <c r="B2" s="7" t="s">
        <v>2</v>
      </c>
      <c r="C2" s="7" t="s">
        <v>13</v>
      </c>
      <c r="D2" s="7" t="s">
        <v>3</v>
      </c>
      <c r="E2" s="8" t="s">
        <v>1</v>
      </c>
      <c r="F2" s="238" t="s">
        <v>9</v>
      </c>
      <c r="G2" s="19"/>
      <c r="H2" s="20" t="s">
        <v>4</v>
      </c>
      <c r="I2" s="20" t="s">
        <v>4</v>
      </c>
      <c r="J2" s="20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 t="s">
        <v>4</v>
      </c>
      <c r="AD2" s="20" t="s">
        <v>2</v>
      </c>
      <c r="AE2" s="20"/>
      <c r="AF2" s="20"/>
      <c r="AG2" s="20"/>
      <c r="AH2" s="20"/>
      <c r="AI2" s="20" t="s">
        <v>13</v>
      </c>
      <c r="AJ2" s="20"/>
      <c r="AK2" s="64"/>
    </row>
    <row r="3" spans="1:37" s="13" customFormat="1" ht="18" customHeight="1" thickBot="1">
      <c r="A3" s="9">
        <v>1173.05</v>
      </c>
      <c r="B3" s="10">
        <v>456</v>
      </c>
      <c r="C3" s="10">
        <v>0</v>
      </c>
      <c r="D3" s="10">
        <v>3488.16</v>
      </c>
      <c r="E3" s="11">
        <v>5600</v>
      </c>
      <c r="F3" s="239"/>
      <c r="G3" s="18"/>
      <c r="H3" s="12">
        <v>3163</v>
      </c>
      <c r="I3" s="12">
        <v>100</v>
      </c>
      <c r="J3" s="12"/>
      <c r="K3" s="12">
        <v>414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>
        <v>300</v>
      </c>
      <c r="AD3" s="12">
        <v>200</v>
      </c>
      <c r="AE3" s="12"/>
      <c r="AF3" s="12"/>
      <c r="AG3" s="12"/>
      <c r="AH3" s="12"/>
      <c r="AI3" s="12">
        <v>150</v>
      </c>
      <c r="AJ3" s="12"/>
      <c r="AK3" s="64"/>
    </row>
    <row r="4" spans="1:37" ht="18" customHeight="1" thickBot="1">
      <c r="A4" s="277" t="s">
        <v>5</v>
      </c>
      <c r="B4" s="278"/>
      <c r="C4" s="279"/>
      <c r="D4" s="273" t="s">
        <v>6</v>
      </c>
      <c r="E4" s="274"/>
      <c r="F4" s="239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64"/>
    </row>
    <row r="5" spans="1:37" ht="18" customHeight="1" thickBot="1">
      <c r="A5" s="280">
        <f>SUM(A3:C3)</f>
        <v>1629.05</v>
      </c>
      <c r="B5" s="281"/>
      <c r="C5" s="282"/>
      <c r="D5" s="275">
        <f>SUM(D3:E3)</f>
        <v>9088.16</v>
      </c>
      <c r="E5" s="276"/>
      <c r="F5" s="239"/>
      <c r="G5" s="1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64"/>
    </row>
    <row r="6" spans="1:37" ht="18" customHeight="1" thickBot="1">
      <c r="A6" s="241" t="s">
        <v>11</v>
      </c>
      <c r="B6" s="242"/>
      <c r="C6" s="242"/>
      <c r="D6" s="242"/>
      <c r="E6" s="243"/>
      <c r="F6" s="239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64"/>
    </row>
    <row r="7" spans="1:37" ht="18" customHeight="1">
      <c r="A7" s="37" t="s">
        <v>4</v>
      </c>
      <c r="B7" s="38" t="s">
        <v>2</v>
      </c>
      <c r="C7" s="38" t="s">
        <v>13</v>
      </c>
      <c r="D7" s="38" t="s">
        <v>3</v>
      </c>
      <c r="E7" s="39" t="s">
        <v>1</v>
      </c>
      <c r="F7" s="23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64"/>
    </row>
    <row r="8" spans="1:37" ht="18" customHeight="1" thickBot="1">
      <c r="A8" s="40">
        <v>1323.5659999999993</v>
      </c>
      <c r="B8" s="41">
        <v>470</v>
      </c>
      <c r="C8" s="41">
        <v>122.14000000000003</v>
      </c>
      <c r="D8" s="41">
        <v>3486.16</v>
      </c>
      <c r="E8" s="42">
        <v>5600</v>
      </c>
      <c r="F8" s="239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64"/>
    </row>
    <row r="9" spans="1:37" ht="18" customHeight="1" thickBot="1">
      <c r="A9" s="241" t="s">
        <v>5</v>
      </c>
      <c r="B9" s="242"/>
      <c r="C9" s="249"/>
      <c r="D9" s="253" t="s">
        <v>6</v>
      </c>
      <c r="E9" s="243"/>
      <c r="F9" s="23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64"/>
    </row>
    <row r="10" spans="1:37" ht="18" customHeight="1" thickBot="1">
      <c r="A10" s="250">
        <f>SUM(A8:C8)</f>
        <v>1915.7059999999994</v>
      </c>
      <c r="B10" s="251"/>
      <c r="C10" s="252"/>
      <c r="D10" s="244">
        <f>SUM(D8:E8)</f>
        <v>9086.16</v>
      </c>
      <c r="E10" s="245"/>
      <c r="F10" s="239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64"/>
    </row>
    <row r="11" spans="1:37" ht="18" customHeight="1" thickBot="1">
      <c r="A11" s="246" t="s">
        <v>12</v>
      </c>
      <c r="B11" s="247"/>
      <c r="C11" s="247"/>
      <c r="D11" s="247"/>
      <c r="E11" s="248"/>
      <c r="F11" s="240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64"/>
    </row>
    <row r="12" spans="1:37" ht="18" customHeight="1">
      <c r="A12" s="14" t="s">
        <v>4</v>
      </c>
      <c r="B12" s="15" t="s">
        <v>2</v>
      </c>
      <c r="C12" s="15" t="s">
        <v>13</v>
      </c>
      <c r="D12" s="15" t="s">
        <v>3</v>
      </c>
      <c r="E12" s="16" t="s">
        <v>1</v>
      </c>
      <c r="F12" s="261" t="s">
        <v>8</v>
      </c>
      <c r="G12" s="19" t="s">
        <v>4</v>
      </c>
      <c r="H12" s="20" t="s">
        <v>4</v>
      </c>
      <c r="I12" s="20" t="s">
        <v>4</v>
      </c>
      <c r="J12" s="20"/>
      <c r="K12" s="20"/>
      <c r="L12" s="20"/>
      <c r="M12" s="20"/>
      <c r="N12" s="20" t="s">
        <v>4</v>
      </c>
      <c r="O12" s="20"/>
      <c r="P12" s="20" t="s">
        <v>2</v>
      </c>
      <c r="Q12" s="20" t="s">
        <v>13</v>
      </c>
      <c r="R12" s="20"/>
      <c r="S12" s="20"/>
      <c r="T12" s="20" t="s">
        <v>4</v>
      </c>
      <c r="U12" s="20" t="s">
        <v>3</v>
      </c>
      <c r="V12" s="20"/>
      <c r="W12" s="20" t="s">
        <v>4</v>
      </c>
      <c r="X12" s="20" t="s">
        <v>4</v>
      </c>
      <c r="Y12" s="20" t="s">
        <v>13</v>
      </c>
      <c r="Z12" s="20"/>
      <c r="AA12" s="20"/>
      <c r="AB12" s="20"/>
      <c r="AC12" s="20" t="s">
        <v>2</v>
      </c>
      <c r="AD12" s="20" t="s">
        <v>4</v>
      </c>
      <c r="AE12" s="20" t="s">
        <v>13</v>
      </c>
      <c r="AF12" s="20" t="s">
        <v>4</v>
      </c>
      <c r="AG12" s="20"/>
      <c r="AH12" s="20" t="s">
        <v>4</v>
      </c>
      <c r="AI12" s="20"/>
      <c r="AJ12" s="20" t="s">
        <v>13</v>
      </c>
      <c r="AK12" s="64"/>
    </row>
    <row r="13" spans="1:37" ht="18" customHeight="1" thickBot="1">
      <c r="A13" s="34">
        <f>A8-A3</f>
        <v>150.51599999999939</v>
      </c>
      <c r="B13" s="35">
        <f>B8-B3</f>
        <v>14</v>
      </c>
      <c r="C13" s="35">
        <f>C8-C3</f>
        <v>122.14000000000003</v>
      </c>
      <c r="D13" s="35">
        <f>D8-D3</f>
        <v>-2</v>
      </c>
      <c r="E13" s="36">
        <f>E8-E3</f>
        <v>0</v>
      </c>
      <c r="F13" s="262"/>
      <c r="G13" s="43">
        <v>213.42</v>
      </c>
      <c r="H13" s="44">
        <v>32.93</v>
      </c>
      <c r="I13" s="44">
        <v>163.07</v>
      </c>
      <c r="J13" s="44"/>
      <c r="K13" s="44"/>
      <c r="L13" s="44"/>
      <c r="M13" s="44"/>
      <c r="N13" s="44">
        <v>8.42</v>
      </c>
      <c r="O13" s="44"/>
      <c r="P13" s="44">
        <v>10</v>
      </c>
      <c r="Q13" s="44">
        <v>61.53</v>
      </c>
      <c r="R13" s="44"/>
      <c r="S13" s="44"/>
      <c r="T13" s="44">
        <v>59.98</v>
      </c>
      <c r="U13" s="44">
        <v>2</v>
      </c>
      <c r="V13" s="44"/>
      <c r="W13" s="44">
        <f>100+124.9+85.9</f>
        <v>310.8</v>
      </c>
      <c r="X13" s="44">
        <v>900</v>
      </c>
      <c r="Y13" s="44">
        <v>53.98</v>
      </c>
      <c r="Z13" s="44"/>
      <c r="AA13" s="44"/>
      <c r="AB13" s="44"/>
      <c r="AC13" s="44">
        <v>10</v>
      </c>
      <c r="AD13" s="44">
        <v>29.75</v>
      </c>
      <c r="AE13" s="44">
        <f>1.38+22.5+24.61+8.03</f>
        <v>56.519999999999996</v>
      </c>
      <c r="AF13" s="44">
        <v>90.09</v>
      </c>
      <c r="AG13" s="44"/>
      <c r="AH13" s="44">
        <v>29.28</v>
      </c>
      <c r="AI13" s="44"/>
      <c r="AJ13" s="44">
        <v>110</v>
      </c>
      <c r="AK13" s="64"/>
    </row>
    <row r="14" spans="1:37" ht="18" customHeight="1" thickBot="1">
      <c r="A14" s="246" t="s">
        <v>5</v>
      </c>
      <c r="B14" s="247"/>
      <c r="C14" s="264"/>
      <c r="D14" s="257" t="s">
        <v>6</v>
      </c>
      <c r="E14" s="258"/>
      <c r="F14" s="262"/>
      <c r="G14" s="22"/>
      <c r="H14" s="23" t="s">
        <v>4</v>
      </c>
      <c r="I14" s="23" t="s">
        <v>4</v>
      </c>
      <c r="J14" s="23"/>
      <c r="K14" s="23"/>
      <c r="L14" s="23"/>
      <c r="M14" s="23"/>
      <c r="N14" s="23"/>
      <c r="O14" s="23"/>
      <c r="P14" s="23"/>
      <c r="Q14" s="23" t="s">
        <v>13</v>
      </c>
      <c r="R14" s="23"/>
      <c r="S14" s="23"/>
      <c r="T14" s="23"/>
      <c r="U14" s="23"/>
      <c r="V14" s="23"/>
      <c r="W14" s="23" t="s">
        <v>4</v>
      </c>
      <c r="X14" s="23" t="s">
        <v>4</v>
      </c>
      <c r="Y14" s="23" t="s">
        <v>2</v>
      </c>
      <c r="Z14" s="23"/>
      <c r="AA14" s="23"/>
      <c r="AB14" s="23"/>
      <c r="AC14" s="23"/>
      <c r="AD14" s="23" t="s">
        <v>4</v>
      </c>
      <c r="AE14" s="23" t="s">
        <v>2</v>
      </c>
      <c r="AF14" s="23" t="s">
        <v>4</v>
      </c>
      <c r="AG14" s="23"/>
      <c r="AH14" s="23"/>
      <c r="AI14" s="23"/>
      <c r="AJ14" s="23" t="s">
        <v>13</v>
      </c>
      <c r="AK14" s="64"/>
    </row>
    <row r="15" spans="1:37" ht="18" customHeight="1" thickBot="1">
      <c r="A15" s="265">
        <f>SUM(A13:C13)</f>
        <v>286.65599999999944</v>
      </c>
      <c r="B15" s="266"/>
      <c r="C15" s="267"/>
      <c r="D15" s="259">
        <f>SUM(D13:E13)</f>
        <v>-2</v>
      </c>
      <c r="E15" s="260"/>
      <c r="F15" s="262"/>
      <c r="G15" s="43"/>
      <c r="H15" s="44">
        <v>57.26</v>
      </c>
      <c r="I15" s="44">
        <v>110.42</v>
      </c>
      <c r="J15" s="44"/>
      <c r="K15" s="44"/>
      <c r="L15" s="44"/>
      <c r="M15" s="44"/>
      <c r="N15" s="44"/>
      <c r="O15" s="44"/>
      <c r="P15" s="44"/>
      <c r="Q15" s="44">
        <v>64.62</v>
      </c>
      <c r="R15" s="44"/>
      <c r="S15" s="44"/>
      <c r="T15" s="44"/>
      <c r="U15" s="44"/>
      <c r="V15" s="44"/>
      <c r="W15" s="44">
        <v>100.04</v>
      </c>
      <c r="X15" s="44">
        <v>350</v>
      </c>
      <c r="Y15" s="44">
        <v>5</v>
      </c>
      <c r="Z15" s="44"/>
      <c r="AA15" s="44"/>
      <c r="AB15" s="44"/>
      <c r="AC15" s="44"/>
      <c r="AD15" s="44">
        <v>150.41999999999999</v>
      </c>
      <c r="AE15" s="44">
        <f>20+9+32</f>
        <v>61</v>
      </c>
      <c r="AF15" s="44">
        <v>108</v>
      </c>
      <c r="AG15" s="44"/>
      <c r="AH15" s="44"/>
      <c r="AI15" s="44"/>
      <c r="AJ15" s="44">
        <f>25.06</f>
        <v>25.06</v>
      </c>
      <c r="AK15" s="64"/>
    </row>
    <row r="16" spans="1:37" ht="18" customHeight="1">
      <c r="F16" s="262"/>
      <c r="G16" s="22"/>
      <c r="H16" s="23" t="s">
        <v>4</v>
      </c>
      <c r="I16" s="23" t="s">
        <v>2</v>
      </c>
      <c r="J16" s="23"/>
      <c r="K16" s="23"/>
      <c r="L16" s="23"/>
      <c r="M16" s="23"/>
      <c r="N16" s="23"/>
      <c r="O16" s="23"/>
      <c r="P16" s="23"/>
      <c r="Q16" s="23" t="s">
        <v>13</v>
      </c>
      <c r="R16" s="23"/>
      <c r="S16" s="23"/>
      <c r="T16" s="23"/>
      <c r="U16" s="23"/>
      <c r="V16" s="23"/>
      <c r="W16" s="23" t="s">
        <v>4</v>
      </c>
      <c r="X16" s="23"/>
      <c r="Y16" s="23"/>
      <c r="Z16" s="23"/>
      <c r="AA16" s="23"/>
      <c r="AB16" s="23"/>
      <c r="AC16" s="23"/>
      <c r="AD16" s="23" t="s">
        <v>4</v>
      </c>
      <c r="AE16" s="23"/>
      <c r="AF16" s="23"/>
      <c r="AG16" s="23"/>
      <c r="AH16" s="23"/>
      <c r="AI16" s="23"/>
      <c r="AJ16" s="23" t="s">
        <v>13</v>
      </c>
      <c r="AK16" s="64"/>
    </row>
    <row r="17" spans="2:37" ht="18" customHeight="1">
      <c r="F17" s="262"/>
      <c r="G17" s="43"/>
      <c r="H17" s="44">
        <v>34.200000000000003</v>
      </c>
      <c r="I17" s="44">
        <v>100</v>
      </c>
      <c r="J17" s="44"/>
      <c r="K17" s="44"/>
      <c r="L17" s="44"/>
      <c r="M17" s="44"/>
      <c r="N17" s="44"/>
      <c r="O17" s="44"/>
      <c r="P17" s="44"/>
      <c r="Q17" s="44">
        <v>44.97</v>
      </c>
      <c r="R17" s="44"/>
      <c r="S17" s="44"/>
      <c r="T17" s="44"/>
      <c r="U17" s="44"/>
      <c r="V17" s="44"/>
      <c r="W17" s="44">
        <v>26.5</v>
      </c>
      <c r="X17" s="44"/>
      <c r="Y17" s="44"/>
      <c r="Z17" s="44"/>
      <c r="AA17" s="44"/>
      <c r="AB17" s="44"/>
      <c r="AC17" s="44"/>
      <c r="AD17" s="44">
        <v>30</v>
      </c>
      <c r="AE17" s="44"/>
      <c r="AF17" s="44"/>
      <c r="AG17" s="44"/>
      <c r="AH17" s="44"/>
      <c r="AI17" s="44"/>
      <c r="AJ17" s="44">
        <v>5.7</v>
      </c>
      <c r="AK17" s="64"/>
    </row>
    <row r="18" spans="2:37" ht="18" customHeight="1">
      <c r="F18" s="262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 t="s">
        <v>13</v>
      </c>
      <c r="R18" s="23"/>
      <c r="S18" s="23"/>
      <c r="T18" s="23"/>
      <c r="U18" s="23"/>
      <c r="V18" s="23"/>
      <c r="W18" s="23" t="s">
        <v>4</v>
      </c>
      <c r="X18" s="23"/>
      <c r="Y18" s="23"/>
      <c r="Z18" s="23"/>
      <c r="AA18" s="23"/>
      <c r="AB18" s="23"/>
      <c r="AC18" s="23"/>
      <c r="AD18" s="23" t="s">
        <v>4</v>
      </c>
      <c r="AE18" s="23"/>
      <c r="AF18" s="23"/>
      <c r="AG18" s="23"/>
      <c r="AH18" s="23"/>
      <c r="AI18" s="23"/>
      <c r="AJ18" s="23" t="s">
        <v>4</v>
      </c>
      <c r="AK18" s="64"/>
    </row>
    <row r="19" spans="2:37" ht="18" customHeight="1">
      <c r="F19" s="262"/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4">
        <f>2.19+6.69+10.6</f>
        <v>19.48</v>
      </c>
      <c r="R19" s="44"/>
      <c r="S19" s="44"/>
      <c r="T19" s="44"/>
      <c r="U19" s="44"/>
      <c r="V19" s="44"/>
      <c r="W19" s="44">
        <v>189.654</v>
      </c>
      <c r="X19" s="44"/>
      <c r="Y19" s="44"/>
      <c r="Z19" s="44"/>
      <c r="AA19" s="44"/>
      <c r="AB19" s="44"/>
      <c r="AC19" s="44"/>
      <c r="AD19" s="44">
        <v>200</v>
      </c>
      <c r="AE19" s="44"/>
      <c r="AF19" s="44"/>
      <c r="AG19" s="44"/>
      <c r="AH19" s="44"/>
      <c r="AI19" s="44"/>
      <c r="AJ19" s="44">
        <v>70.25</v>
      </c>
      <c r="AK19" s="64"/>
    </row>
    <row r="20" spans="2:37" ht="18" customHeight="1">
      <c r="F20" s="262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 t="s">
        <v>4</v>
      </c>
      <c r="X20" s="23"/>
      <c r="Y20" s="23"/>
      <c r="Z20" s="23"/>
      <c r="AA20" s="23"/>
      <c r="AB20" s="23"/>
      <c r="AC20" s="23"/>
      <c r="AD20" s="23" t="s">
        <v>4</v>
      </c>
      <c r="AE20" s="23"/>
      <c r="AF20" s="23"/>
      <c r="AG20" s="23"/>
      <c r="AH20" s="23"/>
      <c r="AI20" s="23"/>
      <c r="AJ20" s="23"/>
      <c r="AK20" s="64"/>
    </row>
    <row r="21" spans="2:37" ht="18" customHeight="1" thickBot="1">
      <c r="F21" s="263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>
        <v>4</v>
      </c>
      <c r="X21" s="51"/>
      <c r="Y21" s="51"/>
      <c r="Z21" s="51"/>
      <c r="AA21" s="51"/>
      <c r="AB21" s="51"/>
      <c r="AC21" s="51"/>
      <c r="AD21" s="51">
        <v>144</v>
      </c>
      <c r="AE21" s="51"/>
      <c r="AF21" s="51"/>
      <c r="AG21" s="51"/>
      <c r="AH21" s="51"/>
      <c r="AI21" s="51"/>
      <c r="AJ21" s="51"/>
      <c r="AK21" s="64"/>
    </row>
    <row r="22" spans="2:37" ht="18" customHeight="1">
      <c r="F22" s="254" t="s">
        <v>10</v>
      </c>
      <c r="G22" s="25">
        <f>IF($G$2=$A$2,A3+$G$3,A3)+IF($G$4=$A$2,$G$5,0)+IF($G$6=$A$2,$G$7,0)+IF($G$8=$A$2,$G$9,0)+IF($G$10=$A$2,$G$11,0)-IF($G$12=$A$2,$G$13,0)-IF($G$14=$A$2,$G$15,0)-IF($G$16=$A$2,$G$17,0)-IF($G$18=$A$2,$G$19,0)-IF($G$20=$A$2,$G$21,0)</f>
        <v>959.63</v>
      </c>
      <c r="H22" s="25">
        <f t="shared" ref="H22:AE22" si="0">IF(H2=$A$2,G22+H3,G22)+IF(H4=$A$2,H5,0)+IF(H6=$A$2,H7,0)+IF(H8=$A$2,H9,0)+IF(H10=$A$2,H11,0)-IF(H12=$A$2,H13,0)-IF(H14=$A$2,H15,0)-IF(H16=$A$2,H17,0)-IF(H18=$A$2,H19,0)-IF(H20=$A$2,H21,0)</f>
        <v>3998.2400000000002</v>
      </c>
      <c r="I22" s="25">
        <f t="shared" si="0"/>
        <v>3824.7499999999995</v>
      </c>
      <c r="J22" s="25">
        <f t="shared" si="0"/>
        <v>3824.7499999999995</v>
      </c>
      <c r="K22" s="25">
        <f t="shared" si="0"/>
        <v>3824.7499999999995</v>
      </c>
      <c r="L22" s="25">
        <f t="shared" si="0"/>
        <v>3824.7499999999995</v>
      </c>
      <c r="M22" s="26">
        <f t="shared" si="0"/>
        <v>3824.7499999999995</v>
      </c>
      <c r="N22" s="26">
        <f t="shared" si="0"/>
        <v>3816.3299999999995</v>
      </c>
      <c r="O22" s="26">
        <f t="shared" si="0"/>
        <v>3816.3299999999995</v>
      </c>
      <c r="P22" s="26">
        <f t="shared" si="0"/>
        <v>3816.3299999999995</v>
      </c>
      <c r="Q22" s="26">
        <f t="shared" si="0"/>
        <v>3816.3299999999995</v>
      </c>
      <c r="R22" s="26">
        <f t="shared" si="0"/>
        <v>3816.3299999999995</v>
      </c>
      <c r="S22" s="26">
        <f t="shared" si="0"/>
        <v>3816.3299999999995</v>
      </c>
      <c r="T22" s="26">
        <f t="shared" si="0"/>
        <v>3756.3499999999995</v>
      </c>
      <c r="U22" s="26">
        <f t="shared" si="0"/>
        <v>3756.3499999999995</v>
      </c>
      <c r="V22" s="26">
        <f t="shared" si="0"/>
        <v>3756.3499999999995</v>
      </c>
      <c r="W22" s="26">
        <f t="shared" si="0"/>
        <v>3125.3559999999993</v>
      </c>
      <c r="X22" s="26">
        <f t="shared" si="0"/>
        <v>1875.3559999999993</v>
      </c>
      <c r="Y22" s="26">
        <f t="shared" si="0"/>
        <v>1875.3559999999993</v>
      </c>
      <c r="Z22" s="26">
        <f t="shared" si="0"/>
        <v>1875.3559999999993</v>
      </c>
      <c r="AA22" s="26">
        <f t="shared" si="0"/>
        <v>1875.3559999999993</v>
      </c>
      <c r="AB22" s="26">
        <f t="shared" si="0"/>
        <v>1875.3559999999993</v>
      </c>
      <c r="AC22" s="26">
        <f t="shared" si="0"/>
        <v>2175.3559999999993</v>
      </c>
      <c r="AD22" s="26">
        <f t="shared" si="0"/>
        <v>1621.1859999999992</v>
      </c>
      <c r="AE22" s="26">
        <f t="shared" si="0"/>
        <v>1621.1859999999992</v>
      </c>
      <c r="AF22" s="26">
        <f t="shared" ref="AF22" si="1">IF(AF2=$A$2,AE22+AF3,AE22)+IF(AF4=$A$2,AF5,0)+IF(AF6=$A$2,AF7,0)+IF(AF8=$A$2,AF9,0)+IF(AF10=$A$2,AF11,0)-IF(AF12=$A$2,AF13,0)-IF(AF14=$A$2,AF15,0)-IF(AF16=$A$2,AF17,0)-IF(AF18=$A$2,AF19,0)-IF(AF20=$A$2,AF21,0)</f>
        <v>1423.0959999999993</v>
      </c>
      <c r="AG22" s="26">
        <f t="shared" ref="AG22" si="2">IF(AG2=$A$2,AF22+AG3,AF22)+IF(AG4=$A$2,AG5,0)+IF(AG6=$A$2,AG7,0)+IF(AG8=$A$2,AG9,0)+IF(AG10=$A$2,AG11,0)-IF(AG12=$A$2,AG13,0)-IF(AG14=$A$2,AG15,0)-IF(AG16=$A$2,AG17,0)-IF(AG18=$A$2,AG19,0)-IF(AG20=$A$2,AG21,0)</f>
        <v>1423.0959999999993</v>
      </c>
      <c r="AH22" s="26">
        <f t="shared" ref="AH22" si="3">IF(AH2=$A$2,AG22+AH3,AG22)+IF(AH4=$A$2,AH5,0)+IF(AH6=$A$2,AH7,0)+IF(AH8=$A$2,AH9,0)+IF(AH10=$A$2,AH11,0)-IF(AH12=$A$2,AH13,0)-IF(AH14=$A$2,AH15,0)-IF(AH16=$A$2,AH17,0)-IF(AH18=$A$2,AH19,0)-IF(AH20=$A$2,AH21,0)</f>
        <v>1393.8159999999993</v>
      </c>
      <c r="AI22" s="26">
        <f t="shared" ref="AI22" si="4">IF(AI2=$A$2,AH22+AI3,AH22)+IF(AI4=$A$2,AI5,0)+IF(AI6=$A$2,AI7,0)+IF(AI8=$A$2,AI9,0)+IF(AI10=$A$2,AI11,0)-IF(AI12=$A$2,AI13,0)-IF(AI14=$A$2,AI15,0)-IF(AI16=$A$2,AI17,0)-IF(AI18=$A$2,AI19,0)-IF(AI20=$A$2,AI21,0)</f>
        <v>1393.8159999999993</v>
      </c>
      <c r="AJ22" s="26">
        <f t="shared" ref="AJ22" si="5">IF(AJ2=$A$2,AI22+AJ3,AI22)+IF(AJ4=$A$2,AJ5,0)+IF(AJ6=$A$2,AJ7,0)+IF(AJ8=$A$2,AJ9,0)+IF(AJ10=$A$2,AJ11,0)-IF(AJ12=$A$2,AJ13,0)-IF(AJ14=$A$2,AJ15,0)-IF(AJ16=$A$2,AJ17,0)-IF(AJ18=$A$2,AJ19,0)-IF(AJ20=$A$2,AJ21,0)</f>
        <v>1323.5659999999993</v>
      </c>
    </row>
    <row r="23" spans="2:37" ht="18" customHeight="1">
      <c r="F23" s="255"/>
      <c r="G23" s="28">
        <f>IF(G$2=$B$2,B3+G$3,B3)+IF(G$4=$B$2,G$5,0)+IF(G$6=$B$2,G$7,0)+IF(G$8=$B$2,G$9,0)+IF(G$10=$B$2,G$11,0)-IF(G$12=$B$2,G$13,0)-IF(G$14=$B$2,G$15,0)-IF(G$16=$B$2,G$17,0)-IF(G$18=$B$2,G$19,0)-IF(G$20=$B$2,G$21,0)</f>
        <v>456</v>
      </c>
      <c r="H23" s="29">
        <f>IF(H$2=$B$2,G23+H$3,G23)+IF(H$4=$B$2,H$5,0)+IF(H$6=$B$2,H$7,0)+IF(H$8=$B$2,H$9,0)+IF(H$10=$B$2,H$11,0)-IF(H$12=$B$2,H$13,0)-IF(H$14=$B$2,H$15,0)-IF(H$16=$B$2,H$17,0)-IF(H$18=$B$2,H$19,0)-IF(H$20=$B$2,H$21,0)</f>
        <v>456</v>
      </c>
      <c r="I23" s="29">
        <f>IF(I$2=$B$2,H23+I$3,H23)+IF(I$4=$B$2,I$5,0)+IF(I$6=$B$2,I$7,0)+IF(I$8=$B$2,I$9,0)+IF(I$10=$B$2,I$11,0)-IF(I$12=$B$2,I$13,0)-IF(I$14=$B$2,I$15,0)-IF(I$16=$B$2,I$17,0)-IF(I$18=$B$2,I$19,0)-IF(I$20=$B$2,I$21,0)</f>
        <v>356</v>
      </c>
      <c r="J23" s="29">
        <f>IF(J$2=$B$2,I23+J$3,I23)+IF(J$4=$B$2,J$5,0)+IF(J$6=$B$2,J$7,0)+IF(J$8=$B$2,J$9,0)+IF(J$10=$B$2,J$11,0)-IF(J$12=$B$2,J$13,0)-IF(J$14=$B$2,J$15,0)-IF(J$16=$B$2,J$17,0)-IF(J$18=$B$2,J$19,0)-IF(J$20=$B$2,J$21,0)</f>
        <v>356</v>
      </c>
      <c r="K23" s="29">
        <f t="shared" ref="K23:N23" si="6">IF(K$2=$B$2,J23+K$3,J23)+IF(K$4=$B$2,K$5,0)+IF(K$6=$B$2,K$7,0)+IF(K$8=$B$2,K$9,0)+IF(K$10=$B$2,K$11,0)-IF(K$12=$B$2,K$13,0)-IF(K$14=$B$2,K$15,0)-IF(K$16=$B$2,K$17,0)-IF(K$18=$B$2,K$19,0)-IF(K$20=$B$2,K$21,0)</f>
        <v>356</v>
      </c>
      <c r="L23" s="29">
        <f t="shared" si="6"/>
        <v>356</v>
      </c>
      <c r="M23" s="29">
        <f t="shared" si="6"/>
        <v>356</v>
      </c>
      <c r="N23" s="29">
        <f t="shared" si="6"/>
        <v>356</v>
      </c>
      <c r="O23" s="29">
        <f t="shared" ref="O23" si="7">IF(O$2=$B$2,N23+O$3,N23)+IF(O$4=$B$2,O$5,0)+IF(O$6=$B$2,O$7,0)+IF(O$8=$B$2,O$9,0)+IF(O$10=$B$2,O$11,0)-IF(O$12=$B$2,O$13,0)-IF(O$14=$B$2,O$15,0)-IF(O$16=$B$2,O$17,0)-IF(O$18=$B$2,O$19,0)-IF(O$20=$B$2,O$21,0)</f>
        <v>356</v>
      </c>
      <c r="P23" s="29">
        <f t="shared" ref="P23" si="8">IF(P$2=$B$2,O23+P$3,O23)+IF(P$4=$B$2,P$5,0)+IF(P$6=$B$2,P$7,0)+IF(P$8=$B$2,P$9,0)+IF(P$10=$B$2,P$11,0)-IF(P$12=$B$2,P$13,0)-IF(P$14=$B$2,P$15,0)-IF(P$16=$B$2,P$17,0)-IF(P$18=$B$2,P$19,0)-IF(P$20=$B$2,P$21,0)</f>
        <v>346</v>
      </c>
      <c r="Q23" s="29">
        <f t="shared" ref="Q23" si="9">IF(Q$2=$B$2,P23+Q$3,P23)+IF(Q$4=$B$2,Q$5,0)+IF(Q$6=$B$2,Q$7,0)+IF(Q$8=$B$2,Q$9,0)+IF(Q$10=$B$2,Q$11,0)-IF(Q$12=$B$2,Q$13,0)-IF(Q$14=$B$2,Q$15,0)-IF(Q$16=$B$2,Q$17,0)-IF(Q$18=$B$2,Q$19,0)-IF(Q$20=$B$2,Q$21,0)</f>
        <v>346</v>
      </c>
      <c r="R23" s="29">
        <f t="shared" ref="R23" si="10">IF(R$2=$B$2,Q23+R$3,Q23)+IF(R$4=$B$2,R$5,0)+IF(R$6=$B$2,R$7,0)+IF(R$8=$B$2,R$9,0)+IF(R$10=$B$2,R$11,0)-IF(R$12=$B$2,R$13,0)-IF(R$14=$B$2,R$15,0)-IF(R$16=$B$2,R$17,0)-IF(R$18=$B$2,R$19,0)-IF(R$20=$B$2,R$21,0)</f>
        <v>346</v>
      </c>
      <c r="S23" s="29">
        <f t="shared" ref="S23" si="11">IF(S$2=$B$2,R23+S$3,R23)+IF(S$4=$B$2,S$5,0)+IF(S$6=$B$2,S$7,0)+IF(S$8=$B$2,S$9,0)+IF(S$10=$B$2,S$11,0)-IF(S$12=$B$2,S$13,0)-IF(S$14=$B$2,S$15,0)-IF(S$16=$B$2,S$17,0)-IF(S$18=$B$2,S$19,0)-IF(S$20=$B$2,S$21,0)</f>
        <v>346</v>
      </c>
      <c r="T23" s="29">
        <f t="shared" ref="T23" si="12">IF(T$2=$B$2,S23+T$3,S23)+IF(T$4=$B$2,T$5,0)+IF(T$6=$B$2,T$7,0)+IF(T$8=$B$2,T$9,0)+IF(T$10=$B$2,T$11,0)-IF(T$12=$B$2,T$13,0)-IF(T$14=$B$2,T$15,0)-IF(T$16=$B$2,T$17,0)-IF(T$18=$B$2,T$19,0)-IF(T$20=$B$2,T$21,0)</f>
        <v>346</v>
      </c>
      <c r="U23" s="29">
        <f t="shared" ref="U23" si="13">IF(U$2=$B$2,T23+U$3,T23)+IF(U$4=$B$2,U$5,0)+IF(U$6=$B$2,U$7,0)+IF(U$8=$B$2,U$9,0)+IF(U$10=$B$2,U$11,0)-IF(U$12=$B$2,U$13,0)-IF(U$14=$B$2,U$15,0)-IF(U$16=$B$2,U$17,0)-IF(U$18=$B$2,U$19,0)-IF(U$20=$B$2,U$21,0)</f>
        <v>346</v>
      </c>
      <c r="V23" s="29">
        <f t="shared" ref="V23" si="14">IF(V$2=$B$2,U23+V$3,U23)+IF(V$4=$B$2,V$5,0)+IF(V$6=$B$2,V$7,0)+IF(V$8=$B$2,V$9,0)+IF(V$10=$B$2,V$11,0)-IF(V$12=$B$2,V$13,0)-IF(V$14=$B$2,V$15,0)-IF(V$16=$B$2,V$17,0)-IF(V$18=$B$2,V$19,0)-IF(V$20=$B$2,V$21,0)</f>
        <v>346</v>
      </c>
      <c r="W23" s="29">
        <f t="shared" ref="W23" si="15">IF(W$2=$B$2,V23+W$3,V23)+IF(W$4=$B$2,W$5,0)+IF(W$6=$B$2,W$7,0)+IF(W$8=$B$2,W$9,0)+IF(W$10=$B$2,W$11,0)-IF(W$12=$B$2,W$13,0)-IF(W$14=$B$2,W$15,0)-IF(W$16=$B$2,W$17,0)-IF(W$18=$B$2,W$19,0)-IF(W$20=$B$2,W$21,0)</f>
        <v>346</v>
      </c>
      <c r="X23" s="29">
        <f t="shared" ref="X23:Y23" si="16">IF(X$2=$B$2,W23+X$3,W23)+IF(X$4=$B$2,X$5,0)+IF(X$6=$B$2,X$7,0)+IF(X$8=$B$2,X$9,0)+IF(X$10=$B$2,X$11,0)-IF(X$12=$B$2,X$13,0)-IF(X$14=$B$2,X$15,0)-IF(X$16=$B$2,X$17,0)-IF(X$18=$B$2,X$19,0)-IF(X$20=$B$2,X$21,0)</f>
        <v>346</v>
      </c>
      <c r="Y23" s="29">
        <f t="shared" si="16"/>
        <v>341</v>
      </c>
      <c r="Z23" s="29">
        <f t="shared" ref="Z23" si="17">IF(Z$2=$B$2,Y23+Z$3,Y23)+IF(Z$4=$B$2,Z$5,0)+IF(Z$6=$B$2,Z$7,0)+IF(Z$8=$B$2,Z$9,0)+IF(Z$10=$B$2,Z$11,0)-IF(Z$12=$B$2,Z$13,0)-IF(Z$14=$B$2,Z$15,0)-IF(Z$16=$B$2,Z$17,0)-IF(Z$18=$B$2,Z$19,0)-IF(Z$20=$B$2,Z$21,0)</f>
        <v>341</v>
      </c>
      <c r="AA23" s="29">
        <f t="shared" ref="AA23" si="18">IF(AA$2=$B$2,Z23+AA$3,Z23)+IF(AA$4=$B$2,AA$5,0)+IF(AA$6=$B$2,AA$7,0)+IF(AA$8=$B$2,AA$9,0)+IF(AA$10=$B$2,AA$11,0)-IF(AA$12=$B$2,AA$13,0)-IF(AA$14=$B$2,AA$15,0)-IF(AA$16=$B$2,AA$17,0)-IF(AA$18=$B$2,AA$19,0)-IF(AA$20=$B$2,AA$21,0)</f>
        <v>341</v>
      </c>
      <c r="AB23" s="29">
        <f t="shared" ref="AB23:AE23" si="19">IF(AB$2=$B$2,AA23+AB$3,AA23)+IF(AB$4=$B$2,AB$5,0)+IF(AB$6=$B$2,AB$7,0)+IF(AB$8=$B$2,AB$9,0)+IF(AB$10=$B$2,AB$11,0)-IF(AB$12=$B$2,AB$13,0)-IF(AB$14=$B$2,AB$15,0)-IF(AB$16=$B$2,AB$17,0)-IF(AB$18=$B$2,AB$19,0)-IF(AB$20=$B$2,AB$21,0)</f>
        <v>341</v>
      </c>
      <c r="AC23" s="29">
        <f t="shared" si="19"/>
        <v>331</v>
      </c>
      <c r="AD23" s="29">
        <f t="shared" si="19"/>
        <v>531</v>
      </c>
      <c r="AE23" s="29">
        <f t="shared" si="19"/>
        <v>470</v>
      </c>
      <c r="AF23" s="29">
        <f t="shared" ref="AF23" si="20">IF(AF$2=$B$2,AE23+AF$3,AE23)+IF(AF$4=$B$2,AF$5,0)+IF(AF$6=$B$2,AF$7,0)+IF(AF$8=$B$2,AF$9,0)+IF(AF$10=$B$2,AF$11,0)-IF(AF$12=$B$2,AF$13,0)-IF(AF$14=$B$2,AF$15,0)-IF(AF$16=$B$2,AF$17,0)-IF(AF$18=$B$2,AF$19,0)-IF(AF$20=$B$2,AF$21,0)</f>
        <v>470</v>
      </c>
      <c r="AG23" s="29">
        <f t="shared" ref="AG23" si="21">IF(AG$2=$B$2,AF23+AG$3,AF23)+IF(AG$4=$B$2,AG$5,0)+IF(AG$6=$B$2,AG$7,0)+IF(AG$8=$B$2,AG$9,0)+IF(AG$10=$B$2,AG$11,0)-IF(AG$12=$B$2,AG$13,0)-IF(AG$14=$B$2,AG$15,0)-IF(AG$16=$B$2,AG$17,0)-IF(AG$18=$B$2,AG$19,0)-IF(AG$20=$B$2,AG$21,0)</f>
        <v>470</v>
      </c>
      <c r="AH23" s="29">
        <f t="shared" ref="AH23" si="22">IF(AH$2=$B$2,AG23+AH$3,AG23)+IF(AH$4=$B$2,AH$5,0)+IF(AH$6=$B$2,AH$7,0)+IF(AH$8=$B$2,AH$9,0)+IF(AH$10=$B$2,AH$11,0)-IF(AH$12=$B$2,AH$13,0)-IF(AH$14=$B$2,AH$15,0)-IF(AH$16=$B$2,AH$17,0)-IF(AH$18=$B$2,AH$19,0)-IF(AH$20=$B$2,AH$21,0)</f>
        <v>470</v>
      </c>
      <c r="AI23" s="29">
        <f t="shared" ref="AI23" si="23">IF(AI$2=$B$2,AH23+AI$3,AH23)+IF(AI$4=$B$2,AI$5,0)+IF(AI$6=$B$2,AI$7,0)+IF(AI$8=$B$2,AI$9,0)+IF(AI$10=$B$2,AI$11,0)-IF(AI$12=$B$2,AI$13,0)-IF(AI$14=$B$2,AI$15,0)-IF(AI$16=$B$2,AI$17,0)-IF(AI$18=$B$2,AI$19,0)-IF(AI$20=$B$2,AI$21,0)</f>
        <v>470</v>
      </c>
      <c r="AJ23" s="29">
        <f t="shared" ref="AJ23" si="24">IF(AJ$2=$B$2,AI23+AJ$3,AI23)+IF(AJ$4=$B$2,AJ$5,0)+IF(AJ$6=$B$2,AJ$7,0)+IF(AJ$8=$B$2,AJ$9,0)+IF(AJ$10=$B$2,AJ$11,0)-IF(AJ$12=$B$2,AJ$13,0)-IF(AJ$14=$B$2,AJ$15,0)-IF(AJ$16=$B$2,AJ$17,0)-IF(AJ$18=$B$2,AJ$19,0)-IF(AJ$20=$B$2,AJ$21,0)</f>
        <v>470</v>
      </c>
    </row>
    <row r="24" spans="2:37" ht="18" customHeight="1">
      <c r="F24" s="255"/>
      <c r="G24" s="28">
        <f>IF(G$2=$C$2,C3+G$3,C3)+IF(G$4=$C$2,G$5,0)+IF(G$6=$C$2,G$7,0)+IF(G$8=$C$2,G$9,0)+IF(G$10=$C$2,G$11,0)-IF(G$12=$C$2,G$13,0)-IF(G$14=$C$2,G$15,0)-IF(G$16=$C$2,G$17,0)-IF(G$18=$C$2,G$19,0)-IF(G$20=$C$2,G$21,0)</f>
        <v>0</v>
      </c>
      <c r="H24" s="28">
        <f>IF(H$2=$C$2,G24+H$3,G24)+IF(H$4=$C$2,H$5,0)+IF(H$6=$C$2,H$7,0)+IF(H$8=$C$2,H$9,0)+IF(H$10=$C$2,H$11,0)-IF(H$12=$C$2,H$13,0)-IF(H$14=$C$2,H$15,0)-IF(H$16=$C$2,H$17,0)-IF(H$18=$C$2,H$19,0)-IF(H$20=$C$2,H$21,0)</f>
        <v>0</v>
      </c>
      <c r="I24" s="28">
        <f>IF(I$2=$C$2,H24+I$3,H24)+IF(I$4=$C$2,I$5,0)+IF(I$6=$C$2,I$7,0)+IF(I$8=$C$2,I$9,0)+IF(I$10=$C$2,I$11,0)-IF(I$12=$C$2,I$13,0)-IF(I$14=$C$2,I$15,0)-IF(I$16=$C$2,I$17,0)-IF(I$18=$C$2,I$19,0)-IF(I$20=$C$2,I$21,0)</f>
        <v>0</v>
      </c>
      <c r="J24" s="28">
        <f>IF(J$2=$C$2,I24+J$3,I24)+IF(J$4=$C$2,J$5,0)+IF(J$6=$C$2,J$7,0)+IF(J$8=$C$2,J$9,0)+IF(J$10=$C$2,J$11,0)-IF(J$12=$C$2,J$13,0)-IF(J$14=$C$2,J$15,0)-IF(J$16=$C$2,J$17,0)-IF(J$18=$C$2,J$19,0)-IF(J$20=$C$2,J$21,0)</f>
        <v>0</v>
      </c>
      <c r="K24" s="28">
        <f t="shared" ref="K24:N24" si="25">IF(K$2=$C$2,J24+K$3,J24)+IF(K$4=$C$2,K$5,0)+IF(K$6=$C$2,K$7,0)+IF(K$8=$C$2,K$9,0)+IF(K$10=$C$2,K$11,0)-IF(K$12=$C$2,K$13,0)-IF(K$14=$C$2,K$15,0)-IF(K$16=$C$2,K$17,0)-IF(K$18=$C$2,K$19,0)-IF(K$20=$C$2,K$21,0)</f>
        <v>414</v>
      </c>
      <c r="L24" s="28">
        <f t="shared" si="25"/>
        <v>414</v>
      </c>
      <c r="M24" s="29">
        <f t="shared" si="25"/>
        <v>414</v>
      </c>
      <c r="N24" s="29">
        <f t="shared" si="25"/>
        <v>414</v>
      </c>
      <c r="O24" s="29">
        <f t="shared" ref="O24" si="26">IF(O$2=$C$2,N24+O$3,N24)+IF(O$4=$C$2,O$5,0)+IF(O$6=$C$2,O$7,0)+IF(O$8=$C$2,O$9,0)+IF(O$10=$C$2,O$11,0)-IF(O$12=$C$2,O$13,0)-IF(O$14=$C$2,O$15,0)-IF(O$16=$C$2,O$17,0)-IF(O$18=$C$2,O$19,0)-IF(O$20=$C$2,O$21,0)</f>
        <v>414</v>
      </c>
      <c r="P24" s="29">
        <f t="shared" ref="P24" si="27">IF(P$2=$C$2,O24+P$3,O24)+IF(P$4=$C$2,P$5,0)+IF(P$6=$C$2,P$7,0)+IF(P$8=$C$2,P$9,0)+IF(P$10=$C$2,P$11,0)-IF(P$12=$C$2,P$13,0)-IF(P$14=$C$2,P$15,0)-IF(P$16=$C$2,P$17,0)-IF(P$18=$C$2,P$19,0)-IF(P$20=$C$2,P$21,0)</f>
        <v>414</v>
      </c>
      <c r="Q24" s="29">
        <f t="shared" ref="Q24" si="28">IF(Q$2=$C$2,P24+Q$3,P24)+IF(Q$4=$C$2,Q$5,0)+IF(Q$6=$C$2,Q$7,0)+IF(Q$8=$C$2,Q$9,0)+IF(Q$10=$C$2,Q$11,0)-IF(Q$12=$C$2,Q$13,0)-IF(Q$14=$C$2,Q$15,0)-IF(Q$16=$C$2,Q$17,0)-IF(Q$18=$C$2,Q$19,0)-IF(Q$20=$C$2,Q$21,0)</f>
        <v>223.40000000000003</v>
      </c>
      <c r="R24" s="29">
        <f t="shared" ref="R24" si="29">IF(R$2=$C$2,Q24+R$3,Q24)+IF(R$4=$C$2,R$5,0)+IF(R$6=$C$2,R$7,0)+IF(R$8=$C$2,R$9,0)+IF(R$10=$C$2,R$11,0)-IF(R$12=$C$2,R$13,0)-IF(R$14=$C$2,R$15,0)-IF(R$16=$C$2,R$17,0)-IF(R$18=$C$2,R$19,0)-IF(R$20=$C$2,R$21,0)</f>
        <v>223.40000000000003</v>
      </c>
      <c r="S24" s="29">
        <f t="shared" ref="S24" si="30">IF(S$2=$C$2,R24+S$3,R24)+IF(S$4=$C$2,S$5,0)+IF(S$6=$C$2,S$7,0)+IF(S$8=$C$2,S$9,0)+IF(S$10=$C$2,S$11,0)-IF(S$12=$C$2,S$13,0)-IF(S$14=$C$2,S$15,0)-IF(S$16=$C$2,S$17,0)-IF(S$18=$C$2,S$19,0)-IF(S$20=$C$2,S$21,0)</f>
        <v>223.40000000000003</v>
      </c>
      <c r="T24" s="29">
        <f t="shared" ref="T24" si="31">IF(T$2=$C$2,S24+T$3,S24)+IF(T$4=$C$2,T$5,0)+IF(T$6=$C$2,T$7,0)+IF(T$8=$C$2,T$9,0)+IF(T$10=$C$2,T$11,0)-IF(T$12=$C$2,T$13,0)-IF(T$14=$C$2,T$15,0)-IF(T$16=$C$2,T$17,0)-IF(T$18=$C$2,T$19,0)-IF(T$20=$C$2,T$21,0)</f>
        <v>223.40000000000003</v>
      </c>
      <c r="U24" s="29">
        <f t="shared" ref="U24" si="32">IF(U$2=$C$2,T24+U$3,T24)+IF(U$4=$C$2,U$5,0)+IF(U$6=$C$2,U$7,0)+IF(U$8=$C$2,U$9,0)+IF(U$10=$C$2,U$11,0)-IF(U$12=$C$2,U$13,0)-IF(U$14=$C$2,U$15,0)-IF(U$16=$C$2,U$17,0)-IF(U$18=$C$2,U$19,0)-IF(U$20=$C$2,U$21,0)</f>
        <v>223.40000000000003</v>
      </c>
      <c r="V24" s="29">
        <f t="shared" ref="V24" si="33">IF(V$2=$C$2,U24+V$3,U24)+IF(V$4=$C$2,V$5,0)+IF(V$6=$C$2,V$7,0)+IF(V$8=$C$2,V$9,0)+IF(V$10=$C$2,V$11,0)-IF(V$12=$C$2,V$13,0)-IF(V$14=$C$2,V$15,0)-IF(V$16=$C$2,V$17,0)-IF(V$18=$C$2,V$19,0)-IF(V$20=$C$2,V$21,0)</f>
        <v>223.40000000000003</v>
      </c>
      <c r="W24" s="29">
        <f t="shared" ref="W24" si="34">IF(W$2=$C$2,V24+W$3,V24)+IF(W$4=$C$2,W$5,0)+IF(W$6=$C$2,W$7,0)+IF(W$8=$C$2,W$9,0)+IF(W$10=$C$2,W$11,0)-IF(W$12=$C$2,W$13,0)-IF(W$14=$C$2,W$15,0)-IF(W$16=$C$2,W$17,0)-IF(W$18=$C$2,W$19,0)-IF(W$20=$C$2,W$21,0)</f>
        <v>223.40000000000003</v>
      </c>
      <c r="X24" s="29">
        <f t="shared" ref="X24:Y24" si="35">IF(X$2=$C$2,W24+X$3,W24)+IF(X$4=$C$2,X$5,0)+IF(X$6=$C$2,X$7,0)+IF(X$8=$C$2,X$9,0)+IF(X$10=$C$2,X$11,0)-IF(X$12=$C$2,X$13,0)-IF(X$14=$C$2,X$15,0)-IF(X$16=$C$2,X$17,0)-IF(X$18=$C$2,X$19,0)-IF(X$20=$C$2,X$21,0)</f>
        <v>223.40000000000003</v>
      </c>
      <c r="Y24" s="29">
        <f t="shared" si="35"/>
        <v>169.42000000000004</v>
      </c>
      <c r="Z24" s="29">
        <f t="shared" ref="Z24" si="36">IF(Z$2=$C$2,Y24+Z$3,Y24)+IF(Z$4=$C$2,Z$5,0)+IF(Z$6=$C$2,Z$7,0)+IF(Z$8=$C$2,Z$9,0)+IF(Z$10=$C$2,Z$11,0)-IF(Z$12=$C$2,Z$13,0)-IF(Z$14=$C$2,Z$15,0)-IF(Z$16=$C$2,Z$17,0)-IF(Z$18=$C$2,Z$19,0)-IF(Z$20=$C$2,Z$21,0)</f>
        <v>169.42000000000004</v>
      </c>
      <c r="AA24" s="29">
        <f t="shared" ref="AA24" si="37">IF(AA$2=$C$2,Z24+AA$3,Z24)+IF(AA$4=$C$2,AA$5,0)+IF(AA$6=$C$2,AA$7,0)+IF(AA$8=$C$2,AA$9,0)+IF(AA$10=$C$2,AA$11,0)-IF(AA$12=$C$2,AA$13,0)-IF(AA$14=$C$2,AA$15,0)-IF(AA$16=$C$2,AA$17,0)-IF(AA$18=$C$2,AA$19,0)-IF(AA$20=$C$2,AA$21,0)</f>
        <v>169.42000000000004</v>
      </c>
      <c r="AB24" s="29">
        <f t="shared" ref="AB24:AE24" si="38">IF(AB$2=$C$2,AA24+AB$3,AA24)+IF(AB$4=$C$2,AB$5,0)+IF(AB$6=$C$2,AB$7,0)+IF(AB$8=$C$2,AB$9,0)+IF(AB$10=$C$2,AB$11,0)-IF(AB$12=$C$2,AB$13,0)-IF(AB$14=$C$2,AB$15,0)-IF(AB$16=$C$2,AB$17,0)-IF(AB$18=$C$2,AB$19,0)-IF(AB$20=$C$2,AB$21,0)</f>
        <v>169.42000000000004</v>
      </c>
      <c r="AC24" s="29">
        <f t="shared" si="38"/>
        <v>169.42000000000004</v>
      </c>
      <c r="AD24" s="29">
        <f t="shared" si="38"/>
        <v>169.42000000000004</v>
      </c>
      <c r="AE24" s="29">
        <f t="shared" si="38"/>
        <v>112.90000000000005</v>
      </c>
      <c r="AF24" s="29">
        <f t="shared" ref="AF24" si="39">IF(AF$2=$C$2,AE24+AF$3,AE24)+IF(AF$4=$C$2,AF$5,0)+IF(AF$6=$C$2,AF$7,0)+IF(AF$8=$C$2,AF$9,0)+IF(AF$10=$C$2,AF$11,0)-IF(AF$12=$C$2,AF$13,0)-IF(AF$14=$C$2,AF$15,0)-IF(AF$16=$C$2,AF$17,0)-IF(AF$18=$C$2,AF$19,0)-IF(AF$20=$C$2,AF$21,0)</f>
        <v>112.90000000000005</v>
      </c>
      <c r="AG24" s="29">
        <f t="shared" ref="AG24" si="40">IF(AG$2=$C$2,AF24+AG$3,AF24)+IF(AG$4=$C$2,AG$5,0)+IF(AG$6=$C$2,AG$7,0)+IF(AG$8=$C$2,AG$9,0)+IF(AG$10=$C$2,AG$11,0)-IF(AG$12=$C$2,AG$13,0)-IF(AG$14=$C$2,AG$15,0)-IF(AG$16=$C$2,AG$17,0)-IF(AG$18=$C$2,AG$19,0)-IF(AG$20=$C$2,AG$21,0)</f>
        <v>112.90000000000005</v>
      </c>
      <c r="AH24" s="29">
        <f t="shared" ref="AH24" si="41">IF(AH$2=$C$2,AG24+AH$3,AG24)+IF(AH$4=$C$2,AH$5,0)+IF(AH$6=$C$2,AH$7,0)+IF(AH$8=$C$2,AH$9,0)+IF(AH$10=$C$2,AH$11,0)-IF(AH$12=$C$2,AH$13,0)-IF(AH$14=$C$2,AH$15,0)-IF(AH$16=$C$2,AH$17,0)-IF(AH$18=$C$2,AH$19,0)-IF(AH$20=$C$2,AH$21,0)</f>
        <v>112.90000000000005</v>
      </c>
      <c r="AI24" s="29">
        <f t="shared" ref="AI24" si="42">IF(AI$2=$C$2,AH24+AI$3,AH24)+IF(AI$4=$C$2,AI$5,0)+IF(AI$6=$C$2,AI$7,0)+IF(AI$8=$C$2,AI$9,0)+IF(AI$10=$C$2,AI$11,0)-IF(AI$12=$C$2,AI$13,0)-IF(AI$14=$C$2,AI$15,0)-IF(AI$16=$C$2,AI$17,0)-IF(AI$18=$C$2,AI$19,0)-IF(AI$20=$C$2,AI$21,0)</f>
        <v>262.90000000000003</v>
      </c>
      <c r="AJ24" s="29">
        <f t="shared" ref="AJ24" si="43">IF(AJ$2=$C$2,AI24+AJ$3,AI24)+IF(AJ$4=$C$2,AJ$5,0)+IF(AJ$6=$C$2,AJ$7,0)+IF(AJ$8=$C$2,AJ$9,0)+IF(AJ$10=$C$2,AJ$11,0)-IF(AJ$12=$C$2,AJ$13,0)-IF(AJ$14=$C$2,AJ$15,0)-IF(AJ$16=$C$2,AJ$17,0)-IF(AJ$18=$C$2,AJ$19,0)-IF(AJ$20=$C$2,AJ$21,0)</f>
        <v>122.14000000000003</v>
      </c>
    </row>
    <row r="25" spans="2:37" ht="18" customHeight="1">
      <c r="F25" s="255"/>
      <c r="G25" s="28">
        <f>IF(G$2=$D$2,D3+G$3,D3)+IF(G$4=$D$2,G$5,0)+IF(G$6=$D$2,G$7,0)+IF(G$8=$D$2,G$9,0)+IF(G$10=$D$2,G$11,0)-IF(G$12=$D$2,G$13,0)-IF(G$14=$D$2,G$15,0)-IF(G$16=$D$2,G$17,0)-IF(G$18=$D$2,G$19,0)-IF(G$20=$D$2,G$21,0)</f>
        <v>3488.16</v>
      </c>
      <c r="H25" s="28">
        <f>IF(H$2=$D$2,G25+H$3,G25)+IF(H$4=$D$2,H$5,0)+IF(H$6=$D$2,H$7,0)+IF(H$8=$D$2,H$9,0)+IF(H$10=$D$2,H$11,0)-IF(H$12=$D$2,H$13,0)-IF(H$14=$D$2,H$15,0)-IF(H$16=$D$2,H$17,0)-IF(H$18=$D$2,H$19,0)-IF(H$20=$D$2,H$21,0)</f>
        <v>3488.16</v>
      </c>
      <c r="I25" s="28">
        <f>IF(I$2=$D$2,H25+I$3,H25)+IF(I$4=$D$2,I$5,0)+IF(I$6=$D$2,I$7,0)+IF(I$8=$D$2,I$9,0)+IF(I$10=$D$2,I$11,0)-IF(I$12=$D$2,I$13,0)-IF(I$14=$D$2,I$15,0)-IF(I$16=$D$2,I$17,0)-IF(I$18=$D$2,I$19,0)-IF(I$20=$D$2,I$21,0)</f>
        <v>3488.16</v>
      </c>
      <c r="J25" s="28">
        <f>IF(J$2=$D$2,I25+J$3,I25)+IF(J$4=$D$2,J$5,0)+IF(J$6=$D$2,J$7,0)+IF(J$8=$D$2,J$9,0)+IF(J$10=$D$2,J$11,0)-IF(J$12=$D$2,J$13,0)-IF(J$14=$D$2,J$15,0)-IF(J$16=$D$2,J$17,0)-IF(J$18=$D$2,J$19,0)-IF(J$20=$D$2,J$21,0)</f>
        <v>3488.16</v>
      </c>
      <c r="K25" s="28">
        <f t="shared" ref="K25:N25" si="44">IF(K$2=$D$2,J25+K$3,J25)+IF(K$4=$D$2,K$5,0)+IF(K$6=$D$2,K$7,0)+IF(K$8=$D$2,K$9,0)+IF(K$10=$D$2,K$11,0)-IF(K$12=$D$2,K$13,0)-IF(K$14=$D$2,K$15,0)-IF(K$16=$D$2,K$17,0)-IF(K$18=$D$2,K$19,0)-IF(K$20=$D$2,K$21,0)</f>
        <v>3488.16</v>
      </c>
      <c r="L25" s="28">
        <f t="shared" si="44"/>
        <v>3488.16</v>
      </c>
      <c r="M25" s="29">
        <f t="shared" si="44"/>
        <v>3488.16</v>
      </c>
      <c r="N25" s="29">
        <f t="shared" si="44"/>
        <v>3488.16</v>
      </c>
      <c r="O25" s="29">
        <f t="shared" ref="O25" si="45">IF(O$2=$D$2,N25+O$3,N25)+IF(O$4=$D$2,O$5,0)+IF(O$6=$D$2,O$7,0)+IF(O$8=$D$2,O$9,0)+IF(O$10=$D$2,O$11,0)-IF(O$12=$D$2,O$13,0)-IF(O$14=$D$2,O$15,0)-IF(O$16=$D$2,O$17,0)-IF(O$18=$D$2,O$19,0)-IF(O$20=$D$2,O$21,0)</f>
        <v>3488.16</v>
      </c>
      <c r="P25" s="29">
        <f t="shared" ref="P25" si="46">IF(P$2=$D$2,O25+P$3,O25)+IF(P$4=$D$2,P$5,0)+IF(P$6=$D$2,P$7,0)+IF(P$8=$D$2,P$9,0)+IF(P$10=$D$2,P$11,0)-IF(P$12=$D$2,P$13,0)-IF(P$14=$D$2,P$15,0)-IF(P$16=$D$2,P$17,0)-IF(P$18=$D$2,P$19,0)-IF(P$20=$D$2,P$21,0)</f>
        <v>3488.16</v>
      </c>
      <c r="Q25" s="29">
        <f t="shared" ref="Q25" si="47">IF(Q$2=$D$2,P25+Q$3,P25)+IF(Q$4=$D$2,Q$5,0)+IF(Q$6=$D$2,Q$7,0)+IF(Q$8=$D$2,Q$9,0)+IF(Q$10=$D$2,Q$11,0)-IF(Q$12=$D$2,Q$13,0)-IF(Q$14=$D$2,Q$15,0)-IF(Q$16=$D$2,Q$17,0)-IF(Q$18=$D$2,Q$19,0)-IF(Q$20=$D$2,Q$21,0)</f>
        <v>3488.16</v>
      </c>
      <c r="R25" s="29">
        <f t="shared" ref="R25" si="48">IF(R$2=$D$2,Q25+R$3,Q25)+IF(R$4=$D$2,R$5,0)+IF(R$6=$D$2,R$7,0)+IF(R$8=$D$2,R$9,0)+IF(R$10=$D$2,R$11,0)-IF(R$12=$D$2,R$13,0)-IF(R$14=$D$2,R$15,0)-IF(R$16=$D$2,R$17,0)-IF(R$18=$D$2,R$19,0)-IF(R$20=$D$2,R$21,0)</f>
        <v>3488.16</v>
      </c>
      <c r="S25" s="29">
        <f t="shared" ref="S25" si="49">IF(S$2=$D$2,R25+S$3,R25)+IF(S$4=$D$2,S$5,0)+IF(S$6=$D$2,S$7,0)+IF(S$8=$D$2,S$9,0)+IF(S$10=$D$2,S$11,0)-IF(S$12=$D$2,S$13,0)-IF(S$14=$D$2,S$15,0)-IF(S$16=$D$2,S$17,0)-IF(S$18=$D$2,S$19,0)-IF(S$20=$D$2,S$21,0)</f>
        <v>3488.16</v>
      </c>
      <c r="T25" s="29">
        <f t="shared" ref="T25" si="50">IF(T$2=$D$2,S25+T$3,S25)+IF(T$4=$D$2,T$5,0)+IF(T$6=$D$2,T$7,0)+IF(T$8=$D$2,T$9,0)+IF(T$10=$D$2,T$11,0)-IF(T$12=$D$2,T$13,0)-IF(T$14=$D$2,T$15,0)-IF(T$16=$D$2,T$17,0)-IF(T$18=$D$2,T$19,0)-IF(T$20=$D$2,T$21,0)</f>
        <v>3488.16</v>
      </c>
      <c r="U25" s="29">
        <f t="shared" ref="U25" si="51">IF(U$2=$D$2,T25+U$3,T25)+IF(U$4=$D$2,U$5,0)+IF(U$6=$D$2,U$7,0)+IF(U$8=$D$2,U$9,0)+IF(U$10=$D$2,U$11,0)-IF(U$12=$D$2,U$13,0)-IF(U$14=$D$2,U$15,0)-IF(U$16=$D$2,U$17,0)-IF(U$18=$D$2,U$19,0)-IF(U$20=$D$2,U$21,0)</f>
        <v>3486.16</v>
      </c>
      <c r="V25" s="29">
        <f t="shared" ref="V25" si="52">IF(V$2=$D$2,U25+V$3,U25)+IF(V$4=$D$2,V$5,0)+IF(V$6=$D$2,V$7,0)+IF(V$8=$D$2,V$9,0)+IF(V$10=$D$2,V$11,0)-IF(V$12=$D$2,V$13,0)-IF(V$14=$D$2,V$15,0)-IF(V$16=$D$2,V$17,0)-IF(V$18=$D$2,V$19,0)-IF(V$20=$D$2,V$21,0)</f>
        <v>3486.16</v>
      </c>
      <c r="W25" s="29">
        <f t="shared" ref="W25" si="53">IF(W$2=$D$2,V25+W$3,V25)+IF(W$4=$D$2,W$5,0)+IF(W$6=$D$2,W$7,0)+IF(W$8=$D$2,W$9,0)+IF(W$10=$D$2,W$11,0)-IF(W$12=$D$2,W$13,0)-IF(W$14=$D$2,W$15,0)-IF(W$16=$D$2,W$17,0)-IF(W$18=$D$2,W$19,0)-IF(W$20=$D$2,W$21,0)</f>
        <v>3486.16</v>
      </c>
      <c r="X25" s="29">
        <f t="shared" ref="X25:Y25" si="54">IF(X$2=$D$2,W25+X$3,W25)+IF(X$4=$D$2,X$5,0)+IF(X$6=$D$2,X$7,0)+IF(X$8=$D$2,X$9,0)+IF(X$10=$D$2,X$11,0)-IF(X$12=$D$2,X$13,0)-IF(X$14=$D$2,X$15,0)-IF(X$16=$D$2,X$17,0)-IF(X$18=$D$2,X$19,0)-IF(X$20=$D$2,X$21,0)</f>
        <v>3486.16</v>
      </c>
      <c r="Y25" s="29">
        <f t="shared" si="54"/>
        <v>3486.16</v>
      </c>
      <c r="Z25" s="29">
        <f t="shared" ref="Z25" si="55">IF(Z$2=$D$2,Y25+Z$3,Y25)+IF(Z$4=$D$2,Z$5,0)+IF(Z$6=$D$2,Z$7,0)+IF(Z$8=$D$2,Z$9,0)+IF(Z$10=$D$2,Z$11,0)-IF(Z$12=$D$2,Z$13,0)-IF(Z$14=$D$2,Z$15,0)-IF(Z$16=$D$2,Z$17,0)-IF(Z$18=$D$2,Z$19,0)-IF(Z$20=$D$2,Z$21,0)</f>
        <v>3486.16</v>
      </c>
      <c r="AA25" s="29">
        <f t="shared" ref="AA25" si="56">IF(AA$2=$D$2,Z25+AA$3,Z25)+IF(AA$4=$D$2,AA$5,0)+IF(AA$6=$D$2,AA$7,0)+IF(AA$8=$D$2,AA$9,0)+IF(AA$10=$D$2,AA$11,0)-IF(AA$12=$D$2,AA$13,0)-IF(AA$14=$D$2,AA$15,0)-IF(AA$16=$D$2,AA$17,0)-IF(AA$18=$D$2,AA$19,0)-IF(AA$20=$D$2,AA$21,0)</f>
        <v>3486.16</v>
      </c>
      <c r="AB25" s="29">
        <f t="shared" ref="AB25:AE25" si="57">IF(AB$2=$D$2,AA25+AB$3,AA25)+IF(AB$4=$D$2,AB$5,0)+IF(AB$6=$D$2,AB$7,0)+IF(AB$8=$D$2,AB$9,0)+IF(AB$10=$D$2,AB$11,0)-IF(AB$12=$D$2,AB$13,0)-IF(AB$14=$D$2,AB$15,0)-IF(AB$16=$D$2,AB$17,0)-IF(AB$18=$D$2,AB$19,0)-IF(AB$20=$D$2,AB$21,0)</f>
        <v>3486.16</v>
      </c>
      <c r="AC25" s="29">
        <f t="shared" si="57"/>
        <v>3486.16</v>
      </c>
      <c r="AD25" s="29">
        <f t="shared" si="57"/>
        <v>3486.16</v>
      </c>
      <c r="AE25" s="29">
        <f t="shared" si="57"/>
        <v>3486.16</v>
      </c>
      <c r="AF25" s="29">
        <f t="shared" ref="AF25" si="58">IF(AF$2=$D$2,AE25+AF$3,AE25)+IF(AF$4=$D$2,AF$5,0)+IF(AF$6=$D$2,AF$7,0)+IF(AF$8=$D$2,AF$9,0)+IF(AF$10=$D$2,AF$11,0)-IF(AF$12=$D$2,AF$13,0)-IF(AF$14=$D$2,AF$15,0)-IF(AF$16=$D$2,AF$17,0)-IF(AF$18=$D$2,AF$19,0)-IF(AF$20=$D$2,AF$21,0)</f>
        <v>3486.16</v>
      </c>
      <c r="AG25" s="29">
        <f t="shared" ref="AG25" si="59">IF(AG$2=$D$2,AF25+AG$3,AF25)+IF(AG$4=$D$2,AG$5,0)+IF(AG$6=$D$2,AG$7,0)+IF(AG$8=$D$2,AG$9,0)+IF(AG$10=$D$2,AG$11,0)-IF(AG$12=$D$2,AG$13,0)-IF(AG$14=$D$2,AG$15,0)-IF(AG$16=$D$2,AG$17,0)-IF(AG$18=$D$2,AG$19,0)-IF(AG$20=$D$2,AG$21,0)</f>
        <v>3486.16</v>
      </c>
      <c r="AH25" s="29">
        <f t="shared" ref="AH25" si="60">IF(AH$2=$D$2,AG25+AH$3,AG25)+IF(AH$4=$D$2,AH$5,0)+IF(AH$6=$D$2,AH$7,0)+IF(AH$8=$D$2,AH$9,0)+IF(AH$10=$D$2,AH$11,0)-IF(AH$12=$D$2,AH$13,0)-IF(AH$14=$D$2,AH$15,0)-IF(AH$16=$D$2,AH$17,0)-IF(AH$18=$D$2,AH$19,0)-IF(AH$20=$D$2,AH$21,0)</f>
        <v>3486.16</v>
      </c>
      <c r="AI25" s="29">
        <f t="shared" ref="AI25" si="61">IF(AI$2=$D$2,AH25+AI$3,AH25)+IF(AI$4=$D$2,AI$5,0)+IF(AI$6=$D$2,AI$7,0)+IF(AI$8=$D$2,AI$9,0)+IF(AI$10=$D$2,AI$11,0)-IF(AI$12=$D$2,AI$13,0)-IF(AI$14=$D$2,AI$15,0)-IF(AI$16=$D$2,AI$17,0)-IF(AI$18=$D$2,AI$19,0)-IF(AI$20=$D$2,AI$21,0)</f>
        <v>3486.16</v>
      </c>
      <c r="AJ25" s="29">
        <f t="shared" ref="AJ25" si="62">IF(AJ$2=$D$2,AI25+AJ$3,AI25)+IF(AJ$4=$D$2,AJ$5,0)+IF(AJ$6=$D$2,AJ$7,0)+IF(AJ$8=$D$2,AJ$9,0)+IF(AJ$10=$D$2,AJ$11,0)-IF(AJ$12=$D$2,AJ$13,0)-IF(AJ$14=$D$2,AJ$15,0)-IF(AJ$16=$D$2,AJ$17,0)-IF(AJ$18=$D$2,AJ$19,0)-IF(AJ$20=$D$2,AJ$21,0)</f>
        <v>3486.16</v>
      </c>
    </row>
    <row r="26" spans="2:37" ht="18" customHeight="1" thickBot="1">
      <c r="F26" s="256"/>
      <c r="G26" s="31">
        <f>IF(G$2=$E$2,E3+G$3,E3)+IF(G$4=$E$2,G$5,0)+IF(G$6=$E$2,G$7,0)+IF(G$8=$E$2,G$9,0)+IF(G$10=$E$2,G$11,0)-IF(G$12=$E$2,G$13,0)-IF(G$14=$E$2,G$15,0)-IF(G$16=$E$2,G$17,0)-IF(G$18=$E$2,G$19,0)-IF(G$20=$E$2,G$21,0)</f>
        <v>5600</v>
      </c>
      <c r="H26" s="31">
        <f>IF(H$2=$E$2,G26+H$3,G26)+IF(H$4=$E$2,H$5,0)+IF(H$6=$E$2,H$7,0)+IF(H$8=$E$2,H$9,0)+IF(H$10=$E$2,H$11,0)-IF(H$12=$E$2,H$13,0)-IF(H$14=$E$2,H$15,0)-IF(H$16=$E$2,H$17,0)-IF(H$18=$E$2,H$19,0)-IF(H$20=$E$2,H$21,0)</f>
        <v>5600</v>
      </c>
      <c r="I26" s="31">
        <f>IF(I$2=$E$2,H26+I$3,H26)+IF(I$4=$E$2,I$5,0)+IF(I$6=$E$2,I$7,0)+IF(I$8=$E$2,I$9,0)+IF(I$10=$E$2,I$11,0)-IF(I$12=$E$2,I$13,0)-IF(I$14=$E$2,I$15,0)-IF(I$16=$E$2,I$17,0)-IF(I$18=$E$2,I$19,0)-IF(I$20=$E$2,I$21,0)</f>
        <v>5600</v>
      </c>
      <c r="J26" s="31">
        <f>IF(J$2=$E$2,I26+J$3,I26)+IF(J$4=$E$2,J$5,0)+IF(J$6=$E$2,J$7,0)+IF(J$8=$E$2,J$9,0)+IF(J$10=$E$2,J$11,0)-IF(J$12=$E$2,J$13,0)-IF(J$14=$E$2,J$15,0)-IF(J$16=$E$2,J$17,0)-IF(J$18=$E$2,J$19,0)-IF(J$20=$E$2,J$21,0)</f>
        <v>5600</v>
      </c>
      <c r="K26" s="31">
        <f t="shared" ref="K26:N26" si="63">IF(K$2=$E$2,J26+K$3,J26)+IF(K$4=$E$2,K$5,0)+IF(K$6=$E$2,K$7,0)+IF(K$8=$E$2,K$9,0)+IF(K$10=$E$2,K$11,0)-IF(K$12=$E$2,K$13,0)-IF(K$14=$E$2,K$15,0)-IF(K$16=$E$2,K$17,0)-IF(K$18=$E$2,K$19,0)-IF(K$20=$E$2,K$21,0)</f>
        <v>5600</v>
      </c>
      <c r="L26" s="31">
        <f t="shared" si="63"/>
        <v>5600</v>
      </c>
      <c r="M26" s="32">
        <f t="shared" si="63"/>
        <v>5600</v>
      </c>
      <c r="N26" s="32">
        <f t="shared" si="63"/>
        <v>5600</v>
      </c>
      <c r="O26" s="32">
        <f t="shared" ref="O26" si="64">IF(O$2=$E$2,N26+O$3,N26)+IF(O$4=$E$2,O$5,0)+IF(O$6=$E$2,O$7,0)+IF(O$8=$E$2,O$9,0)+IF(O$10=$E$2,O$11,0)-IF(O$12=$E$2,O$13,0)-IF(O$14=$E$2,O$15,0)-IF(O$16=$E$2,O$17,0)-IF(O$18=$E$2,O$19,0)-IF(O$20=$E$2,O$21,0)</f>
        <v>5600</v>
      </c>
      <c r="P26" s="32">
        <f t="shared" ref="P26" si="65">IF(P$2=$E$2,O26+P$3,O26)+IF(P$4=$E$2,P$5,0)+IF(P$6=$E$2,P$7,0)+IF(P$8=$E$2,P$9,0)+IF(P$10=$E$2,P$11,0)-IF(P$12=$E$2,P$13,0)-IF(P$14=$E$2,P$15,0)-IF(P$16=$E$2,P$17,0)-IF(P$18=$E$2,P$19,0)-IF(P$20=$E$2,P$21,0)</f>
        <v>5600</v>
      </c>
      <c r="Q26" s="32">
        <f t="shared" ref="Q26" si="66">IF(Q$2=$E$2,P26+Q$3,P26)+IF(Q$4=$E$2,Q$5,0)+IF(Q$6=$E$2,Q$7,0)+IF(Q$8=$E$2,Q$9,0)+IF(Q$10=$E$2,Q$11,0)-IF(Q$12=$E$2,Q$13,0)-IF(Q$14=$E$2,Q$15,0)-IF(Q$16=$E$2,Q$17,0)-IF(Q$18=$E$2,Q$19,0)-IF(Q$20=$E$2,Q$21,0)</f>
        <v>5600</v>
      </c>
      <c r="R26" s="32">
        <f t="shared" ref="R26" si="67">IF(R$2=$E$2,Q26+R$3,Q26)+IF(R$4=$E$2,R$5,0)+IF(R$6=$E$2,R$7,0)+IF(R$8=$E$2,R$9,0)+IF(R$10=$E$2,R$11,0)-IF(R$12=$E$2,R$13,0)-IF(R$14=$E$2,R$15,0)-IF(R$16=$E$2,R$17,0)-IF(R$18=$E$2,R$19,0)-IF(R$20=$E$2,R$21,0)</f>
        <v>5600</v>
      </c>
      <c r="S26" s="32">
        <f t="shared" ref="S26" si="68">IF(S$2=$E$2,R26+S$3,R26)+IF(S$4=$E$2,S$5,0)+IF(S$6=$E$2,S$7,0)+IF(S$8=$E$2,S$9,0)+IF(S$10=$E$2,S$11,0)-IF(S$12=$E$2,S$13,0)-IF(S$14=$E$2,S$15,0)-IF(S$16=$E$2,S$17,0)-IF(S$18=$E$2,S$19,0)-IF(S$20=$E$2,S$21,0)</f>
        <v>5600</v>
      </c>
      <c r="T26" s="32">
        <f t="shared" ref="T26" si="69">IF(T$2=$E$2,S26+T$3,S26)+IF(T$4=$E$2,T$5,0)+IF(T$6=$E$2,T$7,0)+IF(T$8=$E$2,T$9,0)+IF(T$10=$E$2,T$11,0)-IF(T$12=$E$2,T$13,0)-IF(T$14=$E$2,T$15,0)-IF(T$16=$E$2,T$17,0)-IF(T$18=$E$2,T$19,0)-IF(T$20=$E$2,T$21,0)</f>
        <v>5600</v>
      </c>
      <c r="U26" s="32">
        <f t="shared" ref="U26" si="70">IF(U$2=$E$2,T26+U$3,T26)+IF(U$4=$E$2,U$5,0)+IF(U$6=$E$2,U$7,0)+IF(U$8=$E$2,U$9,0)+IF(U$10=$E$2,U$11,0)-IF(U$12=$E$2,U$13,0)-IF(U$14=$E$2,U$15,0)-IF(U$16=$E$2,U$17,0)-IF(U$18=$E$2,U$19,0)-IF(U$20=$E$2,U$21,0)</f>
        <v>5600</v>
      </c>
      <c r="V26" s="32">
        <f t="shared" ref="V26" si="71">IF(V$2=$E$2,U26+V$3,U26)+IF(V$4=$E$2,V$5,0)+IF(V$6=$E$2,V$7,0)+IF(V$8=$E$2,V$9,0)+IF(V$10=$E$2,V$11,0)-IF(V$12=$E$2,V$13,0)-IF(V$14=$E$2,V$15,0)-IF(V$16=$E$2,V$17,0)-IF(V$18=$E$2,V$19,0)-IF(V$20=$E$2,V$21,0)</f>
        <v>5600</v>
      </c>
      <c r="W26" s="32">
        <f t="shared" ref="W26" si="72">IF(W$2=$E$2,V26+W$3,V26)+IF(W$4=$E$2,W$5,0)+IF(W$6=$E$2,W$7,0)+IF(W$8=$E$2,W$9,0)+IF(W$10=$E$2,W$11,0)-IF(W$12=$E$2,W$13,0)-IF(W$14=$E$2,W$15,0)-IF(W$16=$E$2,W$17,0)-IF(W$18=$E$2,W$19,0)-IF(W$20=$E$2,W$21,0)</f>
        <v>5600</v>
      </c>
      <c r="X26" s="32">
        <f t="shared" ref="X26:Y26" si="73">IF(X$2=$E$2,W26+X$3,W26)+IF(X$4=$E$2,X$5,0)+IF(X$6=$E$2,X$7,0)+IF(X$8=$E$2,X$9,0)+IF(X$10=$E$2,X$11,0)-IF(X$12=$E$2,X$13,0)-IF(X$14=$E$2,X$15,0)-IF(X$16=$E$2,X$17,0)-IF(X$18=$E$2,X$19,0)-IF(X$20=$E$2,X$21,0)</f>
        <v>5600</v>
      </c>
      <c r="Y26" s="32">
        <f t="shared" si="73"/>
        <v>5600</v>
      </c>
      <c r="Z26" s="32">
        <f t="shared" ref="Z26" si="74">IF(Z$2=$E$2,Y26+Z$3,Y26)+IF(Z$4=$E$2,Z$5,0)+IF(Z$6=$E$2,Z$7,0)+IF(Z$8=$E$2,Z$9,0)+IF(Z$10=$E$2,Z$11,0)-IF(Z$12=$E$2,Z$13,0)-IF(Z$14=$E$2,Z$15,0)-IF(Z$16=$E$2,Z$17,0)-IF(Z$18=$E$2,Z$19,0)-IF(Z$20=$E$2,Z$21,0)</f>
        <v>5600</v>
      </c>
      <c r="AA26" s="32">
        <f t="shared" ref="AA26" si="75">IF(AA$2=$E$2,Z26+AA$3,Z26)+IF(AA$4=$E$2,AA$5,0)+IF(AA$6=$E$2,AA$7,0)+IF(AA$8=$E$2,AA$9,0)+IF(AA$10=$E$2,AA$11,0)-IF(AA$12=$E$2,AA$13,0)-IF(AA$14=$E$2,AA$15,0)-IF(AA$16=$E$2,AA$17,0)-IF(AA$18=$E$2,AA$19,0)-IF(AA$20=$E$2,AA$21,0)</f>
        <v>5600</v>
      </c>
      <c r="AB26" s="32">
        <f t="shared" ref="AB26:AE26" si="76">IF(AB$2=$E$2,AA26+AB$3,AA26)+IF(AB$4=$E$2,AB$5,0)+IF(AB$6=$E$2,AB$7,0)+IF(AB$8=$E$2,AB$9,0)+IF(AB$10=$E$2,AB$11,0)-IF(AB$12=$E$2,AB$13,0)-IF(AB$14=$E$2,AB$15,0)-IF(AB$16=$E$2,AB$17,0)-IF(AB$18=$E$2,AB$19,0)-IF(AB$20=$E$2,AB$21,0)</f>
        <v>5600</v>
      </c>
      <c r="AC26" s="32">
        <f t="shared" si="76"/>
        <v>5600</v>
      </c>
      <c r="AD26" s="32">
        <f t="shared" si="76"/>
        <v>5600</v>
      </c>
      <c r="AE26" s="32">
        <f t="shared" si="76"/>
        <v>5600</v>
      </c>
      <c r="AF26" s="32">
        <f t="shared" ref="AF26" si="77">IF(AF$2=$E$2,AE26+AF$3,AE26)+IF(AF$4=$E$2,AF$5,0)+IF(AF$6=$E$2,AF$7,0)+IF(AF$8=$E$2,AF$9,0)+IF(AF$10=$E$2,AF$11,0)-IF(AF$12=$E$2,AF$13,0)-IF(AF$14=$E$2,AF$15,0)-IF(AF$16=$E$2,AF$17,0)-IF(AF$18=$E$2,AF$19,0)-IF(AF$20=$E$2,AF$21,0)</f>
        <v>5600</v>
      </c>
      <c r="AG26" s="32">
        <f t="shared" ref="AG26" si="78">IF(AG$2=$E$2,AF26+AG$3,AF26)+IF(AG$4=$E$2,AG$5,0)+IF(AG$6=$E$2,AG$7,0)+IF(AG$8=$E$2,AG$9,0)+IF(AG$10=$E$2,AG$11,0)-IF(AG$12=$E$2,AG$13,0)-IF(AG$14=$E$2,AG$15,0)-IF(AG$16=$E$2,AG$17,0)-IF(AG$18=$E$2,AG$19,0)-IF(AG$20=$E$2,AG$21,0)</f>
        <v>5600</v>
      </c>
      <c r="AH26" s="32">
        <f t="shared" ref="AH26" si="79">IF(AH$2=$E$2,AG26+AH$3,AG26)+IF(AH$4=$E$2,AH$5,0)+IF(AH$6=$E$2,AH$7,0)+IF(AH$8=$E$2,AH$9,0)+IF(AH$10=$E$2,AH$11,0)-IF(AH$12=$E$2,AH$13,0)-IF(AH$14=$E$2,AH$15,0)-IF(AH$16=$E$2,AH$17,0)-IF(AH$18=$E$2,AH$19,0)-IF(AH$20=$E$2,AH$21,0)</f>
        <v>5600</v>
      </c>
      <c r="AI26" s="32">
        <f t="shared" ref="AI26" si="80">IF(AI$2=$E$2,AH26+AI$3,AH26)+IF(AI$4=$E$2,AI$5,0)+IF(AI$6=$E$2,AI$7,0)+IF(AI$8=$E$2,AI$9,0)+IF(AI$10=$E$2,AI$11,0)-IF(AI$12=$E$2,AI$13,0)-IF(AI$14=$E$2,AI$15,0)-IF(AI$16=$E$2,AI$17,0)-IF(AI$18=$E$2,AI$19,0)-IF(AI$20=$E$2,AI$21,0)</f>
        <v>5600</v>
      </c>
      <c r="AJ26" s="32">
        <f t="shared" ref="AJ26" si="81">IF(AJ$2=$E$2,AI26+AJ$3,AI26)+IF(AJ$4=$E$2,AJ$5,0)+IF(AJ$6=$E$2,AJ$7,0)+IF(AJ$8=$E$2,AJ$9,0)+IF(AJ$10=$E$2,AJ$11,0)-IF(AJ$12=$E$2,AJ$13,0)-IF(AJ$14=$E$2,AJ$15,0)-IF(AJ$16=$E$2,AJ$17,0)-IF(AJ$18=$E$2,AJ$19,0)-IF(AJ$20=$E$2,AJ$21,0)</f>
        <v>5600</v>
      </c>
    </row>
    <row r="28" spans="2:37" ht="18" customHeight="1" thickBot="1"/>
    <row r="29" spans="2:37" ht="18" customHeight="1" thickBot="1">
      <c r="B29" s="55" t="s">
        <v>8</v>
      </c>
      <c r="C29" s="5" t="s">
        <v>17</v>
      </c>
      <c r="D29" s="55" t="s">
        <v>9</v>
      </c>
      <c r="E29" s="5" t="s">
        <v>17</v>
      </c>
    </row>
    <row r="30" spans="2:37" ht="18" customHeight="1">
      <c r="B30" s="70" t="s">
        <v>14</v>
      </c>
      <c r="C30" s="71">
        <f>X13</f>
        <v>900</v>
      </c>
      <c r="D30" s="70" t="s">
        <v>25</v>
      </c>
      <c r="E30" s="71">
        <f>H3+AC3+AI3</f>
        <v>3613</v>
      </c>
      <c r="I30" s="13"/>
    </row>
    <row r="31" spans="2:37" ht="18" customHeight="1">
      <c r="B31" s="57" t="s">
        <v>15</v>
      </c>
      <c r="C31" s="59">
        <f>H13+H15+H17+T13+AD13</f>
        <v>214.12</v>
      </c>
      <c r="D31" s="57" t="s">
        <v>26</v>
      </c>
      <c r="E31" s="59">
        <f>K3</f>
        <v>414</v>
      </c>
    </row>
    <row r="32" spans="2:37" ht="18" customHeight="1">
      <c r="B32" s="57" t="s">
        <v>16</v>
      </c>
      <c r="C32" s="59">
        <f>P13+W15+W21+AC13+AD15</f>
        <v>274.45999999999998</v>
      </c>
      <c r="D32" s="57" t="s">
        <v>27</v>
      </c>
      <c r="E32" s="59"/>
    </row>
    <row r="33" spans="2:5" ht="18" customHeight="1">
      <c r="B33" s="57" t="s">
        <v>33</v>
      </c>
      <c r="C33" s="59">
        <f>I13+I15+N13+Q13+Q15+W19+W17+AE13+AF13+AJ13+AJ15+AH13+AJ19</f>
        <v>1005.414</v>
      </c>
      <c r="D33" s="57" t="s">
        <v>19</v>
      </c>
      <c r="E33" s="59"/>
    </row>
    <row r="34" spans="2:5" ht="18" customHeight="1">
      <c r="B34" s="57" t="s">
        <v>36</v>
      </c>
      <c r="C34" s="59">
        <f>Q19+AJ17</f>
        <v>25.18</v>
      </c>
      <c r="D34" s="57"/>
      <c r="E34" s="59"/>
    </row>
    <row r="35" spans="2:5" ht="18" customHeight="1" thickBot="1">
      <c r="B35" s="57" t="s">
        <v>20</v>
      </c>
      <c r="C35" s="59">
        <f>Q17</f>
        <v>44.97</v>
      </c>
      <c r="D35" s="285">
        <f>SUM(E30:E33)</f>
        <v>4027</v>
      </c>
      <c r="E35" s="286"/>
    </row>
    <row r="36" spans="2:5" ht="18" customHeight="1" thickBot="1">
      <c r="B36" s="57" t="s">
        <v>18</v>
      </c>
      <c r="C36" s="59">
        <f>X15</f>
        <v>350</v>
      </c>
      <c r="D36" s="283">
        <f>D35-B38</f>
        <v>340.63600000000042</v>
      </c>
      <c r="E36" s="284"/>
    </row>
    <row r="37" spans="2:5" ht="18" customHeight="1" thickBot="1">
      <c r="B37" s="58" t="s">
        <v>35</v>
      </c>
      <c r="C37" s="60">
        <f>G13+W13+AD17+AD21+AE15+Y15+AF15</f>
        <v>872.22</v>
      </c>
      <c r="D37" s="288">
        <f>D36</f>
        <v>340.63600000000042</v>
      </c>
      <c r="E37" s="289"/>
    </row>
    <row r="38" spans="2:5" ht="18" customHeight="1" thickBot="1">
      <c r="B38" s="236">
        <f>SUM(C30:C37)</f>
        <v>3686.3639999999996</v>
      </c>
      <c r="C38" s="287"/>
      <c r="D38" s="234" t="s">
        <v>59</v>
      </c>
      <c r="E38" s="235"/>
    </row>
    <row r="51" spans="1:3" ht="18" customHeight="1" thickBot="1"/>
    <row r="52" spans="1:3" ht="18" customHeight="1">
      <c r="A52" s="67"/>
      <c r="B52" s="72" t="s">
        <v>22</v>
      </c>
      <c r="C52" s="68"/>
    </row>
    <row r="53" spans="1:3" ht="18" customHeight="1">
      <c r="A53" s="73" t="s">
        <v>28</v>
      </c>
      <c r="B53" s="74">
        <v>1500</v>
      </c>
      <c r="C53" s="75"/>
    </row>
    <row r="54" spans="1:3" ht="18" customHeight="1">
      <c r="A54" s="73" t="s">
        <v>24</v>
      </c>
      <c r="B54" s="78"/>
      <c r="C54" s="75" t="s">
        <v>31</v>
      </c>
    </row>
    <row r="55" spans="1:3" ht="18" customHeight="1">
      <c r="A55" s="73"/>
      <c r="B55" s="78">
        <v>100</v>
      </c>
      <c r="C55" s="75" t="s">
        <v>30</v>
      </c>
    </row>
    <row r="56" spans="1:3" ht="18" customHeight="1">
      <c r="A56" s="73"/>
      <c r="B56" s="78">
        <v>144</v>
      </c>
      <c r="C56" s="75" t="s">
        <v>31</v>
      </c>
    </row>
    <row r="57" spans="1:3" ht="18" customHeight="1">
      <c r="A57" s="73"/>
      <c r="B57" s="78">
        <v>79</v>
      </c>
      <c r="C57" s="75"/>
    </row>
    <row r="58" spans="1:3" ht="18" customHeight="1">
      <c r="A58" s="73"/>
      <c r="B58" s="78">
        <v>199</v>
      </c>
      <c r="C58" s="75"/>
    </row>
    <row r="59" spans="1:3" ht="18" customHeight="1">
      <c r="A59" s="73"/>
      <c r="B59" s="80">
        <v>600</v>
      </c>
      <c r="C59" s="75"/>
    </row>
    <row r="60" spans="1:3" ht="18" customHeight="1" thickBot="1">
      <c r="A60" s="69" t="s">
        <v>29</v>
      </c>
      <c r="B60" s="76">
        <f>B53-B54-B55-B57-B56-B58+B59</f>
        <v>1578</v>
      </c>
      <c r="C60" s="77" t="s">
        <v>32</v>
      </c>
    </row>
    <row r="62" spans="1:3" ht="18" customHeight="1">
      <c r="B62" s="79">
        <v>400</v>
      </c>
      <c r="C62" s="79" t="s">
        <v>34</v>
      </c>
    </row>
  </sheetData>
  <mergeCells count="23">
    <mergeCell ref="D37:E37"/>
    <mergeCell ref="A11:E11"/>
    <mergeCell ref="F12:F21"/>
    <mergeCell ref="A14:C14"/>
    <mergeCell ref="D14:E14"/>
    <mergeCell ref="A15:C15"/>
    <mergeCell ref="D15:E15"/>
    <mergeCell ref="D38:E38"/>
    <mergeCell ref="D36:E36"/>
    <mergeCell ref="A1:E1"/>
    <mergeCell ref="F2:F11"/>
    <mergeCell ref="A4:C4"/>
    <mergeCell ref="D4:E4"/>
    <mergeCell ref="A5:C5"/>
    <mergeCell ref="D5:E5"/>
    <mergeCell ref="A6:E6"/>
    <mergeCell ref="A9:C9"/>
    <mergeCell ref="D9:E9"/>
    <mergeCell ref="A10:C10"/>
    <mergeCell ref="F22:F26"/>
    <mergeCell ref="D35:E35"/>
    <mergeCell ref="B38:C38"/>
    <mergeCell ref="D10:E10"/>
  </mergeCells>
  <conditionalFormatting sqref="A13:E13 A15:E15">
    <cfRule type="cellIs" dxfId="30" priority="1" operator="lessThan">
      <formula>0</formula>
    </cfRule>
    <cfRule type="cellIs" dxfId="29" priority="2" operator="greaterThan">
      <formula>0</formula>
    </cfRule>
  </conditionalFormatting>
  <dataValidations count="6">
    <dataValidation type="list" allowBlank="1" showInputMessage="1" showErrorMessage="1" sqref="G4:AJ4 G20:AJ20 G18:AJ18 G16:AJ16 G14:AJ14 G12:AJ12 G10:AJ10 G8:AJ8 G6:AJ6 G2:AJ2" xr:uid="{AD716875-0362-47DF-86E0-E8EA5161AECE}">
      <formula1>$A$2:$E$2</formula1>
    </dataValidation>
    <dataValidation type="list" allowBlank="1" showInputMessage="1" showErrorMessage="1" sqref="E8" xr:uid="{EB720E4B-3B2B-4EFD-9EA4-BA70C9928562}">
      <formula1>$G$26:$AJ$26</formula1>
    </dataValidation>
    <dataValidation type="list" allowBlank="1" showInputMessage="1" showErrorMessage="1" sqref="D8" xr:uid="{1B95B1E7-7B05-4647-A898-3048411B723E}">
      <formula1>$G$25:$AJ$25</formula1>
    </dataValidation>
    <dataValidation type="list" allowBlank="1" showInputMessage="1" showErrorMessage="1" sqref="C8" xr:uid="{2E894AB8-28D9-4D09-BCAC-B2275211BED0}">
      <formula1>$G$24:$AJ$24</formula1>
    </dataValidation>
    <dataValidation type="list" allowBlank="1" showInputMessage="1" showErrorMessage="1" sqref="B8" xr:uid="{67350DB3-D2E7-4FEE-9BFC-419C701A59FD}">
      <formula1>$G$23:$AJ$23</formula1>
    </dataValidation>
    <dataValidation type="list" allowBlank="1" showInputMessage="1" showErrorMessage="1" sqref="A8" xr:uid="{F9B52D41-8C39-460D-A0B0-D2AB1593FFEC}">
      <formula1>$G$22:$AJ$22</formula1>
    </dataValidation>
  </dataValidation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4CE7-A64B-4363-B3EC-2F7D453E1852}">
  <sheetPr codeName="Sheet3">
    <tabColor rgb="FF00B050"/>
  </sheetPr>
  <dimension ref="A1:AL65"/>
  <sheetViews>
    <sheetView tabSelected="1" topLeftCell="A7" zoomScaleNormal="100" workbookViewId="0">
      <pane xSplit="5" topLeftCell="F1" activePane="topRight" state="frozen"/>
      <selection pane="topRight" activeCell="I25" sqref="I25"/>
    </sheetView>
  </sheetViews>
  <sheetFormatPr defaultColWidth="15.77734375" defaultRowHeight="18" customHeight="1"/>
  <cols>
    <col min="1" max="5" width="15.77734375" style="1"/>
    <col min="6" max="6" width="15.77734375" style="1" customWidth="1"/>
    <col min="7" max="37" width="10.77734375" style="1" customWidth="1"/>
    <col min="38" max="16384" width="15.77734375" style="1"/>
  </cols>
  <sheetData>
    <row r="1" spans="1:38" ht="18" customHeight="1" thickBot="1">
      <c r="A1" s="270" t="s">
        <v>37</v>
      </c>
      <c r="B1" s="271"/>
      <c r="C1" s="271"/>
      <c r="D1" s="271"/>
      <c r="E1" s="272"/>
      <c r="F1" s="2" t="s">
        <v>7</v>
      </c>
      <c r="G1" s="87">
        <v>1</v>
      </c>
      <c r="H1" s="62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61">
        <v>8</v>
      </c>
      <c r="O1" s="62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61">
        <v>15</v>
      </c>
      <c r="V1" s="62">
        <v>16</v>
      </c>
      <c r="W1" s="4">
        <v>17</v>
      </c>
      <c r="X1" s="4">
        <v>18</v>
      </c>
      <c r="Y1" s="4">
        <v>19</v>
      </c>
      <c r="Z1" s="4">
        <v>20</v>
      </c>
      <c r="AA1" s="4">
        <v>21</v>
      </c>
      <c r="AB1" s="61">
        <v>22</v>
      </c>
      <c r="AC1" s="62">
        <v>23</v>
      </c>
      <c r="AD1" s="4">
        <v>24</v>
      </c>
      <c r="AE1" s="4">
        <v>25</v>
      </c>
      <c r="AF1" s="4">
        <v>26</v>
      </c>
      <c r="AG1" s="4">
        <v>27</v>
      </c>
      <c r="AH1" s="4">
        <v>28</v>
      </c>
      <c r="AI1" s="61">
        <v>29</v>
      </c>
      <c r="AJ1" s="62">
        <v>30</v>
      </c>
      <c r="AK1" s="5">
        <v>31</v>
      </c>
    </row>
    <row r="2" spans="1:38" ht="18" customHeight="1">
      <c r="A2" s="6" t="s">
        <v>4</v>
      </c>
      <c r="B2" s="7" t="s">
        <v>2</v>
      </c>
      <c r="C2" s="7" t="s">
        <v>13</v>
      </c>
      <c r="D2" s="7" t="s">
        <v>3</v>
      </c>
      <c r="E2" s="8" t="s">
        <v>1</v>
      </c>
      <c r="F2" s="238" t="s">
        <v>9</v>
      </c>
      <c r="G2" s="19"/>
      <c r="H2" s="20"/>
      <c r="I2" s="20"/>
      <c r="J2" s="20"/>
      <c r="K2" s="20" t="s">
        <v>4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 t="s">
        <v>4</v>
      </c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1"/>
      <c r="AL2" s="64"/>
    </row>
    <row r="3" spans="1:38" s="13" customFormat="1" ht="18" customHeight="1" thickBot="1">
      <c r="A3" s="9">
        <v>2871.82</v>
      </c>
      <c r="B3" s="10">
        <f>148+115</f>
        <v>263</v>
      </c>
      <c r="C3" s="10">
        <f>2.9+119.24</f>
        <v>122.14</v>
      </c>
      <c r="D3" s="10">
        <v>3886.16</v>
      </c>
      <c r="E3" s="11">
        <v>5600</v>
      </c>
      <c r="F3" s="239"/>
      <c r="G3" s="18"/>
      <c r="H3" s="12"/>
      <c r="I3" s="12"/>
      <c r="J3" s="12"/>
      <c r="K3" s="12">
        <v>3180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>
        <v>600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7"/>
      <c r="AL3" s="64"/>
    </row>
    <row r="4" spans="1:38" ht="18" customHeight="1" thickBot="1">
      <c r="A4" s="277" t="s">
        <v>5</v>
      </c>
      <c r="B4" s="278"/>
      <c r="C4" s="279"/>
      <c r="D4" s="273" t="s">
        <v>6</v>
      </c>
      <c r="E4" s="274"/>
      <c r="F4" s="239"/>
      <c r="G4" s="22"/>
      <c r="H4" s="23"/>
      <c r="I4" s="23"/>
      <c r="J4" s="23"/>
      <c r="K4" s="23" t="s">
        <v>13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4"/>
      <c r="AL4" s="64"/>
    </row>
    <row r="5" spans="1:38" ht="18" customHeight="1" thickBot="1">
      <c r="A5" s="280">
        <f>SUM(A3:C3)</f>
        <v>3256.96</v>
      </c>
      <c r="B5" s="281"/>
      <c r="C5" s="282"/>
      <c r="D5" s="275">
        <f>SUM(D3:E3)</f>
        <v>9486.16</v>
      </c>
      <c r="E5" s="276"/>
      <c r="F5" s="239"/>
      <c r="G5" s="18"/>
      <c r="H5" s="12"/>
      <c r="I5" s="12"/>
      <c r="J5" s="12"/>
      <c r="K5" s="12">
        <v>378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7"/>
      <c r="AL5" s="64"/>
    </row>
    <row r="6" spans="1:38" ht="18" customHeight="1" thickBot="1">
      <c r="A6" s="241" t="s">
        <v>38</v>
      </c>
      <c r="B6" s="242"/>
      <c r="C6" s="242"/>
      <c r="D6" s="242"/>
      <c r="E6" s="243"/>
      <c r="F6" s="239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4"/>
      <c r="AL6" s="64"/>
    </row>
    <row r="7" spans="1:38" ht="18" customHeight="1">
      <c r="A7" s="37" t="s">
        <v>4</v>
      </c>
      <c r="B7" s="38" t="s">
        <v>2</v>
      </c>
      <c r="C7" s="38" t="s">
        <v>13</v>
      </c>
      <c r="D7" s="38" t="s">
        <v>3</v>
      </c>
      <c r="E7" s="39" t="s">
        <v>1</v>
      </c>
      <c r="F7" s="239"/>
      <c r="G7" s="46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52"/>
      <c r="AL7" s="64"/>
    </row>
    <row r="8" spans="1:38" ht="18" customHeight="1" thickBot="1">
      <c r="A8" s="40">
        <v>2176.8700000000008</v>
      </c>
      <c r="B8" s="41">
        <v>105.30000000000001</v>
      </c>
      <c r="C8" s="41">
        <v>10.169999999999987</v>
      </c>
      <c r="D8" s="41">
        <v>2953.5099999999998</v>
      </c>
      <c r="E8" s="42">
        <v>5600</v>
      </c>
      <c r="F8" s="239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64"/>
    </row>
    <row r="9" spans="1:38" ht="18" customHeight="1" thickBot="1">
      <c r="A9" s="241" t="s">
        <v>5</v>
      </c>
      <c r="B9" s="242"/>
      <c r="C9" s="249"/>
      <c r="D9" s="253" t="s">
        <v>6</v>
      </c>
      <c r="E9" s="243"/>
      <c r="F9" s="239"/>
      <c r="G9" s="46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52"/>
      <c r="AL9" s="64"/>
    </row>
    <row r="10" spans="1:38" ht="18" customHeight="1" thickBot="1">
      <c r="A10" s="250">
        <f>SUM(A8:C8)</f>
        <v>2292.3400000000011</v>
      </c>
      <c r="B10" s="251"/>
      <c r="C10" s="252"/>
      <c r="D10" s="244">
        <f>SUM(D8:E8)</f>
        <v>8553.51</v>
      </c>
      <c r="E10" s="245"/>
      <c r="F10" s="239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  <c r="AL10" s="64"/>
    </row>
    <row r="11" spans="1:38" ht="18" customHeight="1" thickBot="1">
      <c r="A11" s="246" t="s">
        <v>12</v>
      </c>
      <c r="B11" s="247"/>
      <c r="C11" s="247"/>
      <c r="D11" s="247"/>
      <c r="E11" s="248"/>
      <c r="F11" s="240"/>
      <c r="G11" s="48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53"/>
      <c r="AL11" s="64"/>
    </row>
    <row r="12" spans="1:38" ht="18" customHeight="1">
      <c r="A12" s="14" t="s">
        <v>4</v>
      </c>
      <c r="B12" s="15" t="s">
        <v>2</v>
      </c>
      <c r="C12" s="15" t="s">
        <v>13</v>
      </c>
      <c r="D12" s="15" t="s">
        <v>3</v>
      </c>
      <c r="E12" s="16" t="s">
        <v>1</v>
      </c>
      <c r="F12" s="261" t="s">
        <v>8</v>
      </c>
      <c r="G12" s="19" t="s">
        <v>3</v>
      </c>
      <c r="H12" s="20" t="s">
        <v>2</v>
      </c>
      <c r="I12" s="20" t="s">
        <v>4</v>
      </c>
      <c r="J12" s="20" t="s">
        <v>13</v>
      </c>
      <c r="K12" s="20" t="s">
        <v>4</v>
      </c>
      <c r="L12" s="20" t="s">
        <v>2</v>
      </c>
      <c r="M12" s="20" t="s">
        <v>13</v>
      </c>
      <c r="N12" s="20" t="s">
        <v>4</v>
      </c>
      <c r="O12" s="20"/>
      <c r="P12" s="20" t="s">
        <v>13</v>
      </c>
      <c r="Q12" s="20"/>
      <c r="R12" s="20" t="s">
        <v>4</v>
      </c>
      <c r="S12" s="20" t="s">
        <v>2</v>
      </c>
      <c r="T12" s="20" t="s">
        <v>4</v>
      </c>
      <c r="U12" s="20" t="s">
        <v>13</v>
      </c>
      <c r="V12" s="20" t="s">
        <v>3</v>
      </c>
      <c r="W12" s="20" t="s">
        <v>4</v>
      </c>
      <c r="X12" s="20" t="s">
        <v>4</v>
      </c>
      <c r="Y12" s="23" t="s">
        <v>4</v>
      </c>
      <c r="Z12" s="20" t="s">
        <v>2</v>
      </c>
      <c r="AA12" s="20"/>
      <c r="AB12" s="20" t="s">
        <v>4</v>
      </c>
      <c r="AC12" s="20"/>
      <c r="AD12" s="20" t="s">
        <v>4</v>
      </c>
      <c r="AE12" s="20" t="s">
        <v>4</v>
      </c>
      <c r="AF12" s="20" t="s">
        <v>4</v>
      </c>
      <c r="AG12" s="20" t="s">
        <v>4</v>
      </c>
      <c r="AH12" s="20"/>
      <c r="AI12" s="20" t="s">
        <v>13</v>
      </c>
      <c r="AJ12" s="20" t="s">
        <v>2</v>
      </c>
      <c r="AK12" s="21"/>
      <c r="AL12" s="64"/>
    </row>
    <row r="13" spans="1:38" ht="18" customHeight="1" thickBot="1">
      <c r="A13" s="34">
        <f>A8-A3</f>
        <v>-694.94999999999936</v>
      </c>
      <c r="B13" s="35">
        <f>B8-B3</f>
        <v>-157.69999999999999</v>
      </c>
      <c r="C13" s="35">
        <f>C8-C3</f>
        <v>-111.97000000000001</v>
      </c>
      <c r="D13" s="35">
        <f>D8-D3</f>
        <v>-932.65000000000009</v>
      </c>
      <c r="E13" s="36">
        <f>E8-E3</f>
        <v>0</v>
      </c>
      <c r="F13" s="262"/>
      <c r="G13" s="43">
        <v>283.14999999999998</v>
      </c>
      <c r="H13" s="44">
        <v>5</v>
      </c>
      <c r="I13" s="44">
        <v>100.16</v>
      </c>
      <c r="J13" s="44">
        <v>28.09</v>
      </c>
      <c r="K13" s="44">
        <v>5.09</v>
      </c>
      <c r="L13" s="44">
        <v>5</v>
      </c>
      <c r="M13" s="44">
        <v>11.45</v>
      </c>
      <c r="N13" s="44">
        <v>34.450000000000003</v>
      </c>
      <c r="O13" s="44"/>
      <c r="P13" s="44">
        <v>4.22</v>
      </c>
      <c r="Q13" s="44"/>
      <c r="R13" s="44">
        <v>68</v>
      </c>
      <c r="S13" s="44">
        <v>10</v>
      </c>
      <c r="T13" s="44">
        <v>7.48</v>
      </c>
      <c r="U13" s="44">
        <v>135.96</v>
      </c>
      <c r="V13" s="44">
        <v>2</v>
      </c>
      <c r="W13" s="44">
        <v>78.33</v>
      </c>
      <c r="X13" s="44">
        <v>820</v>
      </c>
      <c r="Y13" s="44">
        <v>29.75</v>
      </c>
      <c r="Z13" s="44">
        <v>71.2</v>
      </c>
      <c r="AA13" s="44"/>
      <c r="AB13" s="44">
        <v>1100</v>
      </c>
      <c r="AC13" s="44"/>
      <c r="AD13" s="44">
        <v>29.75</v>
      </c>
      <c r="AE13" s="44">
        <v>53.47</v>
      </c>
      <c r="AF13" s="44">
        <v>80.150000000000006</v>
      </c>
      <c r="AG13" s="44">
        <v>22.48</v>
      </c>
      <c r="AH13" s="44"/>
      <c r="AI13" s="44">
        <v>15</v>
      </c>
      <c r="AJ13" s="44">
        <v>20</v>
      </c>
      <c r="AK13" s="45"/>
      <c r="AL13" s="64"/>
    </row>
    <row r="14" spans="1:38" ht="18" customHeight="1" thickBot="1">
      <c r="A14" s="246" t="s">
        <v>5</v>
      </c>
      <c r="B14" s="247"/>
      <c r="C14" s="264"/>
      <c r="D14" s="257" t="s">
        <v>6</v>
      </c>
      <c r="E14" s="258"/>
      <c r="F14" s="262"/>
      <c r="G14" s="22" t="s">
        <v>3</v>
      </c>
      <c r="H14" s="23"/>
      <c r="I14" s="23" t="s">
        <v>2</v>
      </c>
      <c r="J14" s="23"/>
      <c r="K14" s="23" t="s">
        <v>2</v>
      </c>
      <c r="L14" s="23"/>
      <c r="M14" s="23"/>
      <c r="N14" s="23" t="s">
        <v>4</v>
      </c>
      <c r="O14" s="23"/>
      <c r="P14" s="23" t="s">
        <v>13</v>
      </c>
      <c r="Q14" s="23"/>
      <c r="R14" s="23" t="s">
        <v>2</v>
      </c>
      <c r="S14" s="23" t="s">
        <v>4</v>
      </c>
      <c r="T14" s="23"/>
      <c r="U14" s="23" t="s">
        <v>13</v>
      </c>
      <c r="V14" s="23"/>
      <c r="W14" s="23"/>
      <c r="X14" s="23" t="s">
        <v>4</v>
      </c>
      <c r="Y14" s="23"/>
      <c r="Z14" s="23" t="s">
        <v>4</v>
      </c>
      <c r="AA14" s="23"/>
      <c r="AB14" s="23" t="s">
        <v>2</v>
      </c>
      <c r="AC14" s="23"/>
      <c r="AD14" s="23" t="s">
        <v>4</v>
      </c>
      <c r="AE14" s="23"/>
      <c r="AF14" s="23" t="s">
        <v>4</v>
      </c>
      <c r="AG14" s="23"/>
      <c r="AH14" s="23"/>
      <c r="AI14" s="23" t="s">
        <v>13</v>
      </c>
      <c r="AJ14" s="23"/>
      <c r="AK14" s="24"/>
      <c r="AL14" s="64"/>
    </row>
    <row r="15" spans="1:38" ht="18" customHeight="1" thickBot="1">
      <c r="A15" s="265">
        <f>SUM(A13:C13)</f>
        <v>-964.61999999999944</v>
      </c>
      <c r="B15" s="266"/>
      <c r="C15" s="267"/>
      <c r="D15" s="259">
        <f>SUM(D13:E13)</f>
        <v>-932.65000000000009</v>
      </c>
      <c r="E15" s="260"/>
      <c r="F15" s="262"/>
      <c r="G15" s="43">
        <v>647.5</v>
      </c>
      <c r="H15" s="44"/>
      <c r="I15" s="44">
        <v>10</v>
      </c>
      <c r="J15" s="44"/>
      <c r="K15" s="44">
        <v>23.5</v>
      </c>
      <c r="L15" s="44"/>
      <c r="M15" s="44"/>
      <c r="N15" s="44">
        <v>63.65</v>
      </c>
      <c r="O15" s="44"/>
      <c r="P15" s="44">
        <v>75.849999999999994</v>
      </c>
      <c r="Q15" s="44"/>
      <c r="R15" s="44">
        <v>3</v>
      </c>
      <c r="S15" s="44">
        <v>100.54</v>
      </c>
      <c r="T15" s="44"/>
      <c r="U15" s="44">
        <v>135.26</v>
      </c>
      <c r="V15" s="44"/>
      <c r="W15" s="44"/>
      <c r="X15" s="44">
        <v>400</v>
      </c>
      <c r="Y15" s="44"/>
      <c r="Z15" s="44">
        <v>3.59</v>
      </c>
      <c r="AA15" s="44"/>
      <c r="AB15" s="44">
        <v>10</v>
      </c>
      <c r="AC15" s="44"/>
      <c r="AD15" s="44">
        <v>6.84</v>
      </c>
      <c r="AE15" s="44"/>
      <c r="AF15" s="44">
        <v>500</v>
      </c>
      <c r="AG15" s="44"/>
      <c r="AH15" s="44"/>
      <c r="AI15" s="44">
        <v>50</v>
      </c>
      <c r="AJ15" s="44"/>
      <c r="AK15" s="45"/>
      <c r="AL15" s="64"/>
    </row>
    <row r="16" spans="1:38" ht="18" customHeight="1">
      <c r="F16" s="262"/>
      <c r="G16" s="22" t="s">
        <v>4</v>
      </c>
      <c r="H16" s="23"/>
      <c r="I16" s="23"/>
      <c r="J16" s="23"/>
      <c r="K16" s="23"/>
      <c r="L16" s="23"/>
      <c r="M16" s="23"/>
      <c r="N16" s="23" t="s">
        <v>4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 t="s">
        <v>4</v>
      </c>
      <c r="AA16" s="23"/>
      <c r="AB16" s="23" t="s">
        <v>4</v>
      </c>
      <c r="AC16" s="23"/>
      <c r="AD16" s="23"/>
      <c r="AE16" s="23"/>
      <c r="AF16" s="23"/>
      <c r="AG16" s="23"/>
      <c r="AH16" s="23"/>
      <c r="AI16" s="23" t="s">
        <v>4</v>
      </c>
      <c r="AJ16" s="23"/>
      <c r="AK16" s="24"/>
      <c r="AL16" s="64"/>
    </row>
    <row r="17" spans="2:38" ht="18" customHeight="1">
      <c r="F17" s="262"/>
      <c r="G17" s="43">
        <v>283</v>
      </c>
      <c r="H17" s="44"/>
      <c r="I17" s="44"/>
      <c r="J17" s="44"/>
      <c r="K17" s="44"/>
      <c r="L17" s="44"/>
      <c r="M17" s="44"/>
      <c r="N17" s="44">
        <v>84.07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>
        <v>52</v>
      </c>
      <c r="AA17" s="44"/>
      <c r="AB17" s="44">
        <v>128.30000000000001</v>
      </c>
      <c r="AC17" s="44"/>
      <c r="AD17" s="44"/>
      <c r="AE17" s="44"/>
      <c r="AF17" s="44"/>
      <c r="AG17" s="44"/>
      <c r="AH17" s="44"/>
      <c r="AI17" s="44">
        <v>106.15</v>
      </c>
      <c r="AJ17" s="44"/>
      <c r="AK17" s="45"/>
      <c r="AL17" s="64"/>
    </row>
    <row r="18" spans="2:38" ht="18" customHeight="1">
      <c r="F18" s="262"/>
      <c r="G18" s="22" t="s">
        <v>4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 t="s">
        <v>4</v>
      </c>
      <c r="AJ18" s="23"/>
      <c r="AK18" s="24"/>
      <c r="AL18" s="64"/>
    </row>
    <row r="19" spans="2:38" ht="18" customHeight="1">
      <c r="F19" s="262"/>
      <c r="G19" s="43">
        <v>310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>
        <f>(110-106.15)*2</f>
        <v>7.6999999999999886</v>
      </c>
      <c r="AJ19" s="44"/>
      <c r="AK19" s="45"/>
      <c r="AL19" s="64"/>
    </row>
    <row r="20" spans="2:38" ht="18" customHeight="1">
      <c r="F20" s="262"/>
      <c r="G20" s="22" t="s">
        <v>13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64"/>
    </row>
    <row r="21" spans="2:38" ht="18" customHeight="1" thickBot="1">
      <c r="F21" s="263"/>
      <c r="G21" s="50">
        <v>34.14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4"/>
      <c r="AL21" s="64"/>
    </row>
    <row r="22" spans="2:38" ht="18" customHeight="1">
      <c r="F22" s="254" t="s">
        <v>10</v>
      </c>
      <c r="G22" s="25">
        <f>IF($G$2=$A$2,A3+$G$3,A3)+IF($G$4=$A$2,$G$5,0)+IF($G$6=$A$2,$G$7,0)+IF($G$8=$A$2,$G$9,0)+IF($G$10=$A$2,$G$11,0)-IF($G$12=$A$2,$G$13,0)-IF($G$14=$A$2,$G$15,0)-IF($G$16=$A$2,$G$17,0)-IF($G$18=$A$2,$G$19,0)-IF($G$20=$A$2,$G$21,0)</f>
        <v>2278.8200000000002</v>
      </c>
      <c r="H22" s="25">
        <f t="shared" ref="H22" si="0">IF(H2=$A$2,G22+H3,G22)+IF(H4=$A$2,H5,0)+IF(H6=$A$2,H7,0)+IF(H8=$A$2,H9,0)+IF(H10=$A$2,H11,0)-IF(H12=$A$2,H13,0)-IF(H14=$A$2,H15,0)-IF(H16=$A$2,H17,0)-IF(H18=$A$2,H19,0)-IF(H20=$A$2,H21,0)</f>
        <v>2278.8200000000002</v>
      </c>
      <c r="I22" s="25">
        <f t="shared" ref="I22" si="1">IF(I2=$A$2,H22+I3,H22)+IF(I4=$A$2,I5,0)+IF(I6=$A$2,I7,0)+IF(I8=$A$2,I9,0)+IF(I10=$A$2,I11,0)-IF(I12=$A$2,I13,0)-IF(I14=$A$2,I15,0)-IF(I16=$A$2,I17,0)-IF(I18=$A$2,I19,0)-IF(I20=$A$2,I21,0)</f>
        <v>2178.6600000000003</v>
      </c>
      <c r="J22" s="25">
        <f t="shared" ref="J22:K22" si="2">IF(J2=$A$2,I22+J3,I22)+IF(J4=$A$2,J5,0)+IF(J6=$A$2,J7,0)+IF(J8=$A$2,J9,0)+IF(J10=$A$2,J11,0)-IF(J12=$A$2,J13,0)-IF(J14=$A$2,J15,0)-IF(J16=$A$2,J17,0)-IF(J18=$A$2,J19,0)-IF(J20=$A$2,J21,0)</f>
        <v>2178.6600000000003</v>
      </c>
      <c r="K22" s="25">
        <f t="shared" si="2"/>
        <v>5353.57</v>
      </c>
      <c r="L22" s="25">
        <f t="shared" ref="L22" si="3">IF(L2=$A$2,K22+L3,K22)+IF(L4=$A$2,L5,0)+IF(L6=$A$2,L7,0)+IF(L8=$A$2,L9,0)+IF(L10=$A$2,L11,0)-IF(L12=$A$2,L13,0)-IF(L14=$A$2,L15,0)-IF(L16=$A$2,L17,0)-IF(L18=$A$2,L19,0)-IF(L20=$A$2,L21,0)</f>
        <v>5353.57</v>
      </c>
      <c r="M22" s="26">
        <f t="shared" ref="M22" si="4">IF(M2=$A$2,L22+M3,L22)+IF(M4=$A$2,M5,0)+IF(M6=$A$2,M7,0)+IF(M8=$A$2,M9,0)+IF(M10=$A$2,M11,0)-IF(M12=$A$2,M13,0)-IF(M14=$A$2,M15,0)-IF(M16=$A$2,M17,0)-IF(M18=$A$2,M19,0)-IF(M20=$A$2,M21,0)</f>
        <v>5353.57</v>
      </c>
      <c r="N22" s="26">
        <f t="shared" ref="N22" si="5">IF(N2=$A$2,M22+N3,M22)+IF(N4=$A$2,N5,0)+IF(N6=$A$2,N7,0)+IF(N8=$A$2,N9,0)+IF(N10=$A$2,N11,0)-IF(N12=$A$2,N13,0)-IF(N14=$A$2,N15,0)-IF(N16=$A$2,N17,0)-IF(N18=$A$2,N19,0)-IF(N20=$A$2,N21,0)</f>
        <v>5171.4000000000005</v>
      </c>
      <c r="O22" s="26">
        <f t="shared" ref="O22" si="6">IF(O2=$A$2,N22+O3,N22)+IF(O4=$A$2,O5,0)+IF(O6=$A$2,O7,0)+IF(O8=$A$2,O9,0)+IF(O10=$A$2,O11,0)-IF(O12=$A$2,O13,0)-IF(O14=$A$2,O15,0)-IF(O16=$A$2,O17,0)-IF(O18=$A$2,O19,0)-IF(O20=$A$2,O21,0)</f>
        <v>5171.4000000000005</v>
      </c>
      <c r="P22" s="26">
        <f t="shared" ref="P22" si="7">IF(P2=$A$2,O22+P3,O22)+IF(P4=$A$2,P5,0)+IF(P6=$A$2,P7,0)+IF(P8=$A$2,P9,0)+IF(P10=$A$2,P11,0)-IF(P12=$A$2,P13,0)-IF(P14=$A$2,P15,0)-IF(P16=$A$2,P17,0)-IF(P18=$A$2,P19,0)-IF(P20=$A$2,P21,0)</f>
        <v>5171.4000000000005</v>
      </c>
      <c r="Q22" s="26">
        <f t="shared" ref="Q22" si="8">IF(Q2=$A$2,P22+Q3,P22)+IF(Q4=$A$2,Q5,0)+IF(Q6=$A$2,Q7,0)+IF(Q8=$A$2,Q9,0)+IF(Q10=$A$2,Q11,0)-IF(Q12=$A$2,Q13,0)-IF(Q14=$A$2,Q15,0)-IF(Q16=$A$2,Q17,0)-IF(Q18=$A$2,Q19,0)-IF(Q20=$A$2,Q21,0)</f>
        <v>5171.4000000000005</v>
      </c>
      <c r="R22" s="26">
        <f t="shared" ref="R22" si="9">IF(R2=$A$2,Q22+R3,Q22)+IF(R4=$A$2,R5,0)+IF(R6=$A$2,R7,0)+IF(R8=$A$2,R9,0)+IF(R10=$A$2,R11,0)-IF(R12=$A$2,R13,0)-IF(R14=$A$2,R15,0)-IF(R16=$A$2,R17,0)-IF(R18=$A$2,R19,0)-IF(R20=$A$2,R21,0)</f>
        <v>5103.4000000000005</v>
      </c>
      <c r="S22" s="26">
        <f t="shared" ref="S22" si="10">IF(S2=$A$2,R22+S3,R22)+IF(S4=$A$2,S5,0)+IF(S6=$A$2,S7,0)+IF(S8=$A$2,S9,0)+IF(S10=$A$2,S11,0)-IF(S12=$A$2,S13,0)-IF(S14=$A$2,S15,0)-IF(S16=$A$2,S17,0)-IF(S18=$A$2,S19,0)-IF(S20=$A$2,S21,0)</f>
        <v>5002.8600000000006</v>
      </c>
      <c r="T22" s="26">
        <f t="shared" ref="T22" si="11">IF(T2=$A$2,S22+T3,S22)+IF(T4=$A$2,T5,0)+IF(T6=$A$2,T7,0)+IF(T8=$A$2,T9,0)+IF(T10=$A$2,T11,0)-IF(T12=$A$2,T13,0)-IF(T14=$A$2,T15,0)-IF(T16=$A$2,T17,0)-IF(T18=$A$2,T19,0)-IF(T20=$A$2,T21,0)</f>
        <v>4995.380000000001</v>
      </c>
      <c r="U22" s="26">
        <f t="shared" ref="U22" si="12">IF(U2=$A$2,T22+U3,T22)+IF(U4=$A$2,U5,0)+IF(U6=$A$2,U7,0)+IF(U8=$A$2,U9,0)+IF(U10=$A$2,U11,0)-IF(U12=$A$2,U13,0)-IF(U14=$A$2,U15,0)-IF(U16=$A$2,U17,0)-IF(U18=$A$2,U19,0)-IF(U20=$A$2,U21,0)</f>
        <v>4995.380000000001</v>
      </c>
      <c r="V22" s="26">
        <f t="shared" ref="V22" si="13">IF(V2=$A$2,U22+V3,U22)+IF(V4=$A$2,V5,0)+IF(V6=$A$2,V7,0)+IF(V8=$A$2,V9,0)+IF(V10=$A$2,V11,0)-IF(V12=$A$2,V13,0)-IF(V14=$A$2,V15,0)-IF(V16=$A$2,V17,0)-IF(V18=$A$2,V19,0)-IF(V20=$A$2,V21,0)</f>
        <v>4995.380000000001</v>
      </c>
      <c r="W22" s="26">
        <f t="shared" ref="W22" si="14">IF(W2=$A$2,V22+W3,V22)+IF(W4=$A$2,W5,0)+IF(W6=$A$2,W7,0)+IF(W8=$A$2,W9,0)+IF(W10=$A$2,W11,0)-IF(W12=$A$2,W13,0)-IF(W14=$A$2,W15,0)-IF(W16=$A$2,W17,0)-IF(W18=$A$2,W19,0)-IF(W20=$A$2,W21,0)</f>
        <v>4917.0500000000011</v>
      </c>
      <c r="X22" s="26">
        <f t="shared" ref="X22:Z22" si="15">IF(X2=$A$2,W22+X3,W22)+IF(X4=$A$2,X5,0)+IF(X6=$A$2,X7,0)+IF(X8=$A$2,X9,0)+IF(X10=$A$2,X11,0)-IF(X12=$A$2,X13,0)-IF(X14=$A$2,X15,0)-IF(X16=$A$2,X17,0)-IF(X18=$A$2,X19,0)-IF(X20=$A$2,X21,0)</f>
        <v>3697.0500000000011</v>
      </c>
      <c r="Y22" s="26">
        <f t="shared" si="15"/>
        <v>3667.3000000000011</v>
      </c>
      <c r="Z22" s="26">
        <f t="shared" si="15"/>
        <v>4211.7100000000009</v>
      </c>
      <c r="AA22" s="26">
        <f t="shared" ref="AA22" si="16">IF(AA2=$A$2,Z22+AA3,Z22)+IF(AA4=$A$2,AA5,0)+IF(AA6=$A$2,AA7,0)+IF(AA8=$A$2,AA9,0)+IF(AA10=$A$2,AA11,0)-IF(AA12=$A$2,AA13,0)-IF(AA14=$A$2,AA15,0)-IF(AA16=$A$2,AA17,0)-IF(AA18=$A$2,AA19,0)-IF(AA20=$A$2,AA21,0)</f>
        <v>4211.7100000000009</v>
      </c>
      <c r="AB22" s="26">
        <f t="shared" ref="AB22" si="17">IF(AB2=$A$2,AA22+AB3,AA22)+IF(AB4=$A$2,AB5,0)+IF(AB6=$A$2,AB7,0)+IF(AB8=$A$2,AB9,0)+IF(AB10=$A$2,AB11,0)-IF(AB12=$A$2,AB13,0)-IF(AB14=$A$2,AB15,0)-IF(AB16=$A$2,AB17,0)-IF(AB18=$A$2,AB19,0)-IF(AB20=$A$2,AB21,0)</f>
        <v>2983.4100000000008</v>
      </c>
      <c r="AC22" s="26">
        <f t="shared" ref="AC22" si="18">IF(AC2=$A$2,AB22+AC3,AB22)+IF(AC4=$A$2,AC5,0)+IF(AC6=$A$2,AC7,0)+IF(AC8=$A$2,AC9,0)+IF(AC10=$A$2,AC11,0)-IF(AC12=$A$2,AC13,0)-IF(AC14=$A$2,AC15,0)-IF(AC16=$A$2,AC17,0)-IF(AC18=$A$2,AC19,0)-IF(AC20=$A$2,AC21,0)</f>
        <v>2983.4100000000008</v>
      </c>
      <c r="AD22" s="26">
        <f t="shared" ref="AD22" si="19">IF(AD2=$A$2,AC22+AD3,AC22)+IF(AD4=$A$2,AD5,0)+IF(AD6=$A$2,AD7,0)+IF(AD8=$A$2,AD9,0)+IF(AD10=$A$2,AD11,0)-IF(AD12=$A$2,AD13,0)-IF(AD14=$A$2,AD15,0)-IF(AD16=$A$2,AD17,0)-IF(AD18=$A$2,AD19,0)-IF(AD20=$A$2,AD21,0)</f>
        <v>2946.8200000000006</v>
      </c>
      <c r="AE22" s="26">
        <f t="shared" ref="AE22:AG22" si="20">IF(AE2=$A$2,AD22+AE3,AD22)+IF(AE4=$A$2,AE5,0)+IF(AE6=$A$2,AE7,0)+IF(AE8=$A$2,AE9,0)+IF(AE10=$A$2,AE11,0)-IF(AE12=$A$2,AE13,0)-IF(AE14=$A$2,AE15,0)-IF(AE16=$A$2,AE17,0)-IF(AE18=$A$2,AE19,0)-IF(AE20=$A$2,AE21,0)</f>
        <v>2893.3500000000008</v>
      </c>
      <c r="AF22" s="26">
        <f t="shared" si="20"/>
        <v>2313.2000000000007</v>
      </c>
      <c r="AG22" s="26">
        <f t="shared" si="20"/>
        <v>2290.7200000000007</v>
      </c>
      <c r="AH22" s="26">
        <f t="shared" ref="AH22" si="21">IF(AH2=$A$2,AG22+AH3,AG22)+IF(AH4=$A$2,AH5,0)+IF(AH6=$A$2,AH7,0)+IF(AH8=$A$2,AH9,0)+IF(AH10=$A$2,AH11,0)-IF(AH12=$A$2,AH13,0)-IF(AH14=$A$2,AH15,0)-IF(AH16=$A$2,AH17,0)-IF(AH18=$A$2,AH19,0)-IF(AH20=$A$2,AH21,0)</f>
        <v>2290.7200000000007</v>
      </c>
      <c r="AI22" s="26">
        <f t="shared" ref="AI22" si="22">IF(AI2=$A$2,AH22+AI3,AH22)+IF(AI4=$A$2,AI5,0)+IF(AI6=$A$2,AI7,0)+IF(AI8=$A$2,AI9,0)+IF(AI10=$A$2,AI11,0)-IF(AI12=$A$2,AI13,0)-IF(AI14=$A$2,AI15,0)-IF(AI16=$A$2,AI17,0)-IF(AI18=$A$2,AI19,0)-IF(AI20=$A$2,AI21,0)</f>
        <v>2176.8700000000008</v>
      </c>
      <c r="AJ22" s="26">
        <f t="shared" ref="AJ22:AK22" si="23">IF(AJ2=$A$2,AI22+AJ3,AI22)+IF(AJ4=$A$2,AJ5,0)+IF(AJ6=$A$2,AJ7,0)+IF(AJ8=$A$2,AJ9,0)+IF(AJ10=$A$2,AJ11,0)-IF(AJ12=$A$2,AJ13,0)-IF(AJ14=$A$2,AJ15,0)-IF(AJ16=$A$2,AJ17,0)-IF(AJ18=$A$2,AJ19,0)-IF(AJ20=$A$2,AJ21,0)</f>
        <v>2176.8700000000008</v>
      </c>
      <c r="AK22" s="26">
        <f t="shared" si="23"/>
        <v>2176.8700000000008</v>
      </c>
    </row>
    <row r="23" spans="2:38" ht="18" customHeight="1">
      <c r="F23" s="255"/>
      <c r="G23" s="28">
        <f>IF(G$2=$B$2,B3+G$3,B3)+IF(G$4=$B$2,G$5,0)+IF(G$6=$B$2,G$7,0)+IF(G$8=$B$2,G$9,0)+IF(G$10=$B$2,G$11,0)-IF(G$12=$B$2,G$13,0)-IF(G$14=$B$2,G$15,0)-IF(G$16=$B$2,G$17,0)-IF(G$18=$B$2,G$19,0)-IF(G$20=$B$2,G$21,0)</f>
        <v>263</v>
      </c>
      <c r="H23" s="29">
        <f>IF(H$2=$B$2,G23+H$3,G23)+IF(H$4=$B$2,H$5,0)+IF(H$6=$B$2,H$7,0)+IF(H$8=$B$2,H$9,0)+IF(H$10=$B$2,H$11,0)-IF(H$12=$B$2,H$13,0)-IF(H$14=$B$2,H$15,0)-IF(H$16=$B$2,H$17,0)-IF(H$18=$B$2,H$19,0)-IF(H$20=$B$2,H$21,0)</f>
        <v>258</v>
      </c>
      <c r="I23" s="29">
        <f t="shared" ref="I23:K23" si="24">IF(I$2=$B$2,H23+I$3,H23)+IF(I$4=$B$2,I$5,0)+IF(I$6=$B$2,I$7,0)+IF(I$8=$B$2,I$9,0)+IF(I$10=$B$2,I$11,0)-IF(I$12=$B$2,I$13,0)-IF(I$14=$B$2,I$15,0)-IF(I$16=$B$2,I$17,0)-IF(I$18=$B$2,I$19,0)-IF(I$20=$B$2,I$21,0)</f>
        <v>248</v>
      </c>
      <c r="J23" s="29">
        <f t="shared" si="24"/>
        <v>248</v>
      </c>
      <c r="K23" s="29">
        <f t="shared" si="24"/>
        <v>224.5</v>
      </c>
      <c r="L23" s="29">
        <f t="shared" ref="L23" si="25">IF(L$2=$B$2,K23+L$3,K23)+IF(L$4=$B$2,L$5,0)+IF(L$6=$B$2,L$7,0)+IF(L$8=$B$2,L$9,0)+IF(L$10=$B$2,L$11,0)-IF(L$12=$B$2,L$13,0)-IF(L$14=$B$2,L$15,0)-IF(L$16=$B$2,L$17,0)-IF(L$18=$B$2,L$19,0)-IF(L$20=$B$2,L$21,0)</f>
        <v>219.5</v>
      </c>
      <c r="M23" s="29">
        <f t="shared" ref="M23" si="26">IF(M$2=$B$2,L23+M$3,L23)+IF(M$4=$B$2,M$5,0)+IF(M$6=$B$2,M$7,0)+IF(M$8=$B$2,M$9,0)+IF(M$10=$B$2,M$11,0)-IF(M$12=$B$2,M$13,0)-IF(M$14=$B$2,M$15,0)-IF(M$16=$B$2,M$17,0)-IF(M$18=$B$2,M$19,0)-IF(M$20=$B$2,M$21,0)</f>
        <v>219.5</v>
      </c>
      <c r="N23" s="29">
        <f t="shared" ref="N23" si="27">IF(N$2=$B$2,M23+N$3,M23)+IF(N$4=$B$2,N$5,0)+IF(N$6=$B$2,N$7,0)+IF(N$8=$B$2,N$9,0)+IF(N$10=$B$2,N$11,0)-IF(N$12=$B$2,N$13,0)-IF(N$14=$B$2,N$15,0)-IF(N$16=$B$2,N$17,0)-IF(N$18=$B$2,N$19,0)-IF(N$20=$B$2,N$21,0)</f>
        <v>219.5</v>
      </c>
      <c r="O23" s="29">
        <f t="shared" ref="O23" si="28">IF(O$2=$B$2,N23+O$3,N23)+IF(O$4=$B$2,O$5,0)+IF(O$6=$B$2,O$7,0)+IF(O$8=$B$2,O$9,0)+IF(O$10=$B$2,O$11,0)-IF(O$12=$B$2,O$13,0)-IF(O$14=$B$2,O$15,0)-IF(O$16=$B$2,O$17,0)-IF(O$18=$B$2,O$19,0)-IF(O$20=$B$2,O$21,0)</f>
        <v>219.5</v>
      </c>
      <c r="P23" s="29">
        <f t="shared" ref="P23" si="29">IF(P$2=$B$2,O23+P$3,O23)+IF(P$4=$B$2,P$5,0)+IF(P$6=$B$2,P$7,0)+IF(P$8=$B$2,P$9,0)+IF(P$10=$B$2,P$11,0)-IF(P$12=$B$2,P$13,0)-IF(P$14=$B$2,P$15,0)-IF(P$16=$B$2,P$17,0)-IF(P$18=$B$2,P$19,0)-IF(P$20=$B$2,P$21,0)</f>
        <v>219.5</v>
      </c>
      <c r="Q23" s="29">
        <f t="shared" ref="Q23" si="30">IF(Q$2=$B$2,P23+Q$3,P23)+IF(Q$4=$B$2,Q$5,0)+IF(Q$6=$B$2,Q$7,0)+IF(Q$8=$B$2,Q$9,0)+IF(Q$10=$B$2,Q$11,0)-IF(Q$12=$B$2,Q$13,0)-IF(Q$14=$B$2,Q$15,0)-IF(Q$16=$B$2,Q$17,0)-IF(Q$18=$B$2,Q$19,0)-IF(Q$20=$B$2,Q$21,0)</f>
        <v>219.5</v>
      </c>
      <c r="R23" s="29">
        <f t="shared" ref="R23" si="31">IF(R$2=$B$2,Q23+R$3,Q23)+IF(R$4=$B$2,R$5,0)+IF(R$6=$B$2,R$7,0)+IF(R$8=$B$2,R$9,0)+IF(R$10=$B$2,R$11,0)-IF(R$12=$B$2,R$13,0)-IF(R$14=$B$2,R$15,0)-IF(R$16=$B$2,R$17,0)-IF(R$18=$B$2,R$19,0)-IF(R$20=$B$2,R$21,0)</f>
        <v>216.5</v>
      </c>
      <c r="S23" s="29">
        <f t="shared" ref="S23" si="32">IF(S$2=$B$2,R23+S$3,R23)+IF(S$4=$B$2,S$5,0)+IF(S$6=$B$2,S$7,0)+IF(S$8=$B$2,S$9,0)+IF(S$10=$B$2,S$11,0)-IF(S$12=$B$2,S$13,0)-IF(S$14=$B$2,S$15,0)-IF(S$16=$B$2,S$17,0)-IF(S$18=$B$2,S$19,0)-IF(S$20=$B$2,S$21,0)</f>
        <v>206.5</v>
      </c>
      <c r="T23" s="29">
        <f t="shared" ref="T23" si="33">IF(T$2=$B$2,S23+T$3,S23)+IF(T$4=$B$2,T$5,0)+IF(T$6=$B$2,T$7,0)+IF(T$8=$B$2,T$9,0)+IF(T$10=$B$2,T$11,0)-IF(T$12=$B$2,T$13,0)-IF(T$14=$B$2,T$15,0)-IF(T$16=$B$2,T$17,0)-IF(T$18=$B$2,T$19,0)-IF(T$20=$B$2,T$21,0)</f>
        <v>206.5</v>
      </c>
      <c r="U23" s="29">
        <f t="shared" ref="U23" si="34">IF(U$2=$B$2,T23+U$3,T23)+IF(U$4=$B$2,U$5,0)+IF(U$6=$B$2,U$7,0)+IF(U$8=$B$2,U$9,0)+IF(U$10=$B$2,U$11,0)-IF(U$12=$B$2,U$13,0)-IF(U$14=$B$2,U$15,0)-IF(U$16=$B$2,U$17,0)-IF(U$18=$B$2,U$19,0)-IF(U$20=$B$2,U$21,0)</f>
        <v>206.5</v>
      </c>
      <c r="V23" s="29">
        <f t="shared" ref="V23" si="35">IF(V$2=$B$2,U23+V$3,U23)+IF(V$4=$B$2,V$5,0)+IF(V$6=$B$2,V$7,0)+IF(V$8=$B$2,V$9,0)+IF(V$10=$B$2,V$11,0)-IF(V$12=$B$2,V$13,0)-IF(V$14=$B$2,V$15,0)-IF(V$16=$B$2,V$17,0)-IF(V$18=$B$2,V$19,0)-IF(V$20=$B$2,V$21,0)</f>
        <v>206.5</v>
      </c>
      <c r="W23" s="29">
        <f t="shared" ref="W23" si="36">IF(W$2=$B$2,V23+W$3,V23)+IF(W$4=$B$2,W$5,0)+IF(W$6=$B$2,W$7,0)+IF(W$8=$B$2,W$9,0)+IF(W$10=$B$2,W$11,0)-IF(W$12=$B$2,W$13,0)-IF(W$14=$B$2,W$15,0)-IF(W$16=$B$2,W$17,0)-IF(W$18=$B$2,W$19,0)-IF(W$20=$B$2,W$21,0)</f>
        <v>206.5</v>
      </c>
      <c r="X23" s="29">
        <f t="shared" ref="X23:Z23" si="37">IF(X$2=$B$2,W23+X$3,W23)+IF(X$4=$B$2,X$5,0)+IF(X$6=$B$2,X$7,0)+IF(X$8=$B$2,X$9,0)+IF(X$10=$B$2,X$11,0)-IF(X$12=$B$2,X$13,0)-IF(X$14=$B$2,X$15,0)-IF(X$16=$B$2,X$17,0)-IF(X$18=$B$2,X$19,0)-IF(X$20=$B$2,X$21,0)</f>
        <v>206.5</v>
      </c>
      <c r="Y23" s="29">
        <f t="shared" si="37"/>
        <v>206.5</v>
      </c>
      <c r="Z23" s="29">
        <f t="shared" si="37"/>
        <v>135.30000000000001</v>
      </c>
      <c r="AA23" s="29">
        <f t="shared" ref="AA23" si="38">IF(AA$2=$B$2,Z23+AA$3,Z23)+IF(AA$4=$B$2,AA$5,0)+IF(AA$6=$B$2,AA$7,0)+IF(AA$8=$B$2,AA$9,0)+IF(AA$10=$B$2,AA$11,0)-IF(AA$12=$B$2,AA$13,0)-IF(AA$14=$B$2,AA$15,0)-IF(AA$16=$B$2,AA$17,0)-IF(AA$18=$B$2,AA$19,0)-IF(AA$20=$B$2,AA$21,0)</f>
        <v>135.30000000000001</v>
      </c>
      <c r="AB23" s="29">
        <f t="shared" ref="AB23" si="39">IF(AB$2=$B$2,AA23+AB$3,AA23)+IF(AB$4=$B$2,AB$5,0)+IF(AB$6=$B$2,AB$7,0)+IF(AB$8=$B$2,AB$9,0)+IF(AB$10=$B$2,AB$11,0)-IF(AB$12=$B$2,AB$13,0)-IF(AB$14=$B$2,AB$15,0)-IF(AB$16=$B$2,AB$17,0)-IF(AB$18=$B$2,AB$19,0)-IF(AB$20=$B$2,AB$21,0)</f>
        <v>125.30000000000001</v>
      </c>
      <c r="AC23" s="29">
        <f t="shared" ref="AC23" si="40">IF(AC$2=$B$2,AB23+AC$3,AB23)+IF(AC$4=$B$2,AC$5,0)+IF(AC$6=$B$2,AC$7,0)+IF(AC$8=$B$2,AC$9,0)+IF(AC$10=$B$2,AC$11,0)-IF(AC$12=$B$2,AC$13,0)-IF(AC$14=$B$2,AC$15,0)-IF(AC$16=$B$2,AC$17,0)-IF(AC$18=$B$2,AC$19,0)-IF(AC$20=$B$2,AC$21,0)</f>
        <v>125.30000000000001</v>
      </c>
      <c r="AD23" s="29">
        <f t="shared" ref="AD23" si="41">IF(AD$2=$B$2,AC23+AD$3,AC23)+IF(AD$4=$B$2,AD$5,0)+IF(AD$6=$B$2,AD$7,0)+IF(AD$8=$B$2,AD$9,0)+IF(AD$10=$B$2,AD$11,0)-IF(AD$12=$B$2,AD$13,0)-IF(AD$14=$B$2,AD$15,0)-IF(AD$16=$B$2,AD$17,0)-IF(AD$18=$B$2,AD$19,0)-IF(AD$20=$B$2,AD$21,0)</f>
        <v>125.30000000000001</v>
      </c>
      <c r="AE23" s="29">
        <f t="shared" ref="AE23:AG23" si="42">IF(AE$2=$B$2,AD23+AE$3,AD23)+IF(AE$4=$B$2,AE$5,0)+IF(AE$6=$B$2,AE$7,0)+IF(AE$8=$B$2,AE$9,0)+IF(AE$10=$B$2,AE$11,0)-IF(AE$12=$B$2,AE$13,0)-IF(AE$14=$B$2,AE$15,0)-IF(AE$16=$B$2,AE$17,0)-IF(AE$18=$B$2,AE$19,0)-IF(AE$20=$B$2,AE$21,0)</f>
        <v>125.30000000000001</v>
      </c>
      <c r="AF23" s="29">
        <f t="shared" si="42"/>
        <v>125.30000000000001</v>
      </c>
      <c r="AG23" s="29">
        <f t="shared" si="42"/>
        <v>125.30000000000001</v>
      </c>
      <c r="AH23" s="29">
        <f t="shared" ref="AH23" si="43">IF(AH$2=$B$2,AG23+AH$3,AG23)+IF(AH$4=$B$2,AH$5,0)+IF(AH$6=$B$2,AH$7,0)+IF(AH$8=$B$2,AH$9,0)+IF(AH$10=$B$2,AH$11,0)-IF(AH$12=$B$2,AH$13,0)-IF(AH$14=$B$2,AH$15,0)-IF(AH$16=$B$2,AH$17,0)-IF(AH$18=$B$2,AH$19,0)-IF(AH$20=$B$2,AH$21,0)</f>
        <v>125.30000000000001</v>
      </c>
      <c r="AI23" s="29">
        <f t="shared" ref="AI23" si="44">IF(AI$2=$B$2,AH23+AI$3,AH23)+IF(AI$4=$B$2,AI$5,0)+IF(AI$6=$B$2,AI$7,0)+IF(AI$8=$B$2,AI$9,0)+IF(AI$10=$B$2,AI$11,0)-IF(AI$12=$B$2,AI$13,0)-IF(AI$14=$B$2,AI$15,0)-IF(AI$16=$B$2,AI$17,0)-IF(AI$18=$B$2,AI$19,0)-IF(AI$20=$B$2,AI$21,0)</f>
        <v>125.30000000000001</v>
      </c>
      <c r="AJ23" s="29">
        <f t="shared" ref="AJ23:AK23" si="45">IF(AJ$2=$B$2,AI23+AJ$3,AI23)+IF(AJ$4=$B$2,AJ$5,0)+IF(AJ$6=$B$2,AJ$7,0)+IF(AJ$8=$B$2,AJ$9,0)+IF(AJ$10=$B$2,AJ$11,0)-IF(AJ$12=$B$2,AJ$13,0)-IF(AJ$14=$B$2,AJ$15,0)-IF(AJ$16=$B$2,AJ$17,0)-IF(AJ$18=$B$2,AJ$19,0)-IF(AJ$20=$B$2,AJ$21,0)</f>
        <v>105.30000000000001</v>
      </c>
      <c r="AK23" s="29">
        <f t="shared" si="45"/>
        <v>105.30000000000001</v>
      </c>
    </row>
    <row r="24" spans="2:38" ht="18" customHeight="1">
      <c r="F24" s="255"/>
      <c r="G24" s="28">
        <f>IF(G$2=$C$2,C3+G$3,C3)+IF(G$4=$C$2,G$5,0)+IF(G$6=$C$2,G$7,0)+IF(G$8=$C$2,G$9,0)+IF(G$10=$C$2,G$11,0)-IF(G$12=$C$2,G$13,0)-IF(G$14=$C$2,G$15,0)-IF(G$16=$C$2,G$17,0)-IF(G$18=$C$2,G$19,0)-IF(G$20=$C$2,G$21,0)</f>
        <v>88</v>
      </c>
      <c r="H24" s="28">
        <f>IF(H$2=$C$2,G24+H$3,G24)+IF(H$4=$C$2,H$5,0)+IF(H$6=$C$2,H$7,0)+IF(H$8=$C$2,H$9,0)+IF(H$10=$C$2,H$11,0)-IF(H$12=$C$2,H$13,0)-IF(H$14=$C$2,H$15,0)-IF(H$16=$C$2,H$17,0)-IF(H$18=$C$2,H$19,0)-IF(H$20=$C$2,H$21,0)</f>
        <v>88</v>
      </c>
      <c r="I24" s="28">
        <f t="shared" ref="I24:K24" si="46">IF(I$2=$C$2,H24+I$3,H24)+IF(I$4=$C$2,I$5,0)+IF(I$6=$C$2,I$7,0)+IF(I$8=$C$2,I$9,0)+IF(I$10=$C$2,I$11,0)-IF(I$12=$C$2,I$13,0)-IF(I$14=$C$2,I$15,0)-IF(I$16=$C$2,I$17,0)-IF(I$18=$C$2,I$19,0)-IF(I$20=$C$2,I$21,0)</f>
        <v>88</v>
      </c>
      <c r="J24" s="28">
        <f t="shared" si="46"/>
        <v>59.91</v>
      </c>
      <c r="K24" s="28">
        <f t="shared" si="46"/>
        <v>437.90999999999997</v>
      </c>
      <c r="L24" s="28">
        <f t="shared" ref="L24" si="47">IF(L$2=$C$2,K24+L$3,K24)+IF(L$4=$C$2,L$5,0)+IF(L$6=$C$2,L$7,0)+IF(L$8=$C$2,L$9,0)+IF(L$10=$C$2,L$11,0)-IF(L$12=$C$2,L$13,0)-IF(L$14=$C$2,L$15,0)-IF(L$16=$C$2,L$17,0)-IF(L$18=$C$2,L$19,0)-IF(L$20=$C$2,L$21,0)</f>
        <v>437.90999999999997</v>
      </c>
      <c r="M24" s="29">
        <f t="shared" ref="M24" si="48">IF(M$2=$C$2,L24+M$3,L24)+IF(M$4=$C$2,M$5,0)+IF(M$6=$C$2,M$7,0)+IF(M$8=$C$2,M$9,0)+IF(M$10=$C$2,M$11,0)-IF(M$12=$C$2,M$13,0)-IF(M$14=$C$2,M$15,0)-IF(M$16=$C$2,M$17,0)-IF(M$18=$C$2,M$19,0)-IF(M$20=$C$2,M$21,0)</f>
        <v>426.46</v>
      </c>
      <c r="N24" s="29">
        <f t="shared" ref="N24" si="49">IF(N$2=$C$2,M24+N$3,M24)+IF(N$4=$C$2,N$5,0)+IF(N$6=$C$2,N$7,0)+IF(N$8=$C$2,N$9,0)+IF(N$10=$C$2,N$11,0)-IF(N$12=$C$2,N$13,0)-IF(N$14=$C$2,N$15,0)-IF(N$16=$C$2,N$17,0)-IF(N$18=$C$2,N$19,0)-IF(N$20=$C$2,N$21,0)</f>
        <v>426.46</v>
      </c>
      <c r="O24" s="29">
        <f t="shared" ref="O24" si="50">IF(O$2=$C$2,N24+O$3,N24)+IF(O$4=$C$2,O$5,0)+IF(O$6=$C$2,O$7,0)+IF(O$8=$C$2,O$9,0)+IF(O$10=$C$2,O$11,0)-IF(O$12=$C$2,O$13,0)-IF(O$14=$C$2,O$15,0)-IF(O$16=$C$2,O$17,0)-IF(O$18=$C$2,O$19,0)-IF(O$20=$C$2,O$21,0)</f>
        <v>426.46</v>
      </c>
      <c r="P24" s="29">
        <f t="shared" ref="P24" si="51">IF(P$2=$C$2,O24+P$3,O24)+IF(P$4=$C$2,P$5,0)+IF(P$6=$C$2,P$7,0)+IF(P$8=$C$2,P$9,0)+IF(P$10=$C$2,P$11,0)-IF(P$12=$C$2,P$13,0)-IF(P$14=$C$2,P$15,0)-IF(P$16=$C$2,P$17,0)-IF(P$18=$C$2,P$19,0)-IF(P$20=$C$2,P$21,0)</f>
        <v>346.39</v>
      </c>
      <c r="Q24" s="29">
        <f t="shared" ref="Q24" si="52">IF(Q$2=$C$2,P24+Q$3,P24)+IF(Q$4=$C$2,Q$5,0)+IF(Q$6=$C$2,Q$7,0)+IF(Q$8=$C$2,Q$9,0)+IF(Q$10=$C$2,Q$11,0)-IF(Q$12=$C$2,Q$13,0)-IF(Q$14=$C$2,Q$15,0)-IF(Q$16=$C$2,Q$17,0)-IF(Q$18=$C$2,Q$19,0)-IF(Q$20=$C$2,Q$21,0)</f>
        <v>346.39</v>
      </c>
      <c r="R24" s="29">
        <f t="shared" ref="R24" si="53">IF(R$2=$C$2,Q24+R$3,Q24)+IF(R$4=$C$2,R$5,0)+IF(R$6=$C$2,R$7,0)+IF(R$8=$C$2,R$9,0)+IF(R$10=$C$2,R$11,0)-IF(R$12=$C$2,R$13,0)-IF(R$14=$C$2,R$15,0)-IF(R$16=$C$2,R$17,0)-IF(R$18=$C$2,R$19,0)-IF(R$20=$C$2,R$21,0)</f>
        <v>346.39</v>
      </c>
      <c r="S24" s="29">
        <f t="shared" ref="S24" si="54">IF(S$2=$C$2,R24+S$3,R24)+IF(S$4=$C$2,S$5,0)+IF(S$6=$C$2,S$7,0)+IF(S$8=$C$2,S$9,0)+IF(S$10=$C$2,S$11,0)-IF(S$12=$C$2,S$13,0)-IF(S$14=$C$2,S$15,0)-IF(S$16=$C$2,S$17,0)-IF(S$18=$C$2,S$19,0)-IF(S$20=$C$2,S$21,0)</f>
        <v>346.39</v>
      </c>
      <c r="T24" s="29">
        <f t="shared" ref="T24" si="55">IF(T$2=$C$2,S24+T$3,S24)+IF(T$4=$C$2,T$5,0)+IF(T$6=$C$2,T$7,0)+IF(T$8=$C$2,T$9,0)+IF(T$10=$C$2,T$11,0)-IF(T$12=$C$2,T$13,0)-IF(T$14=$C$2,T$15,0)-IF(T$16=$C$2,T$17,0)-IF(T$18=$C$2,T$19,0)-IF(T$20=$C$2,T$21,0)</f>
        <v>346.39</v>
      </c>
      <c r="U24" s="29">
        <f t="shared" ref="U24" si="56">IF(U$2=$C$2,T24+U$3,T24)+IF(U$4=$C$2,U$5,0)+IF(U$6=$C$2,U$7,0)+IF(U$8=$C$2,U$9,0)+IF(U$10=$C$2,U$11,0)-IF(U$12=$C$2,U$13,0)-IF(U$14=$C$2,U$15,0)-IF(U$16=$C$2,U$17,0)-IF(U$18=$C$2,U$19,0)-IF(U$20=$C$2,U$21,0)</f>
        <v>75.169999999999987</v>
      </c>
      <c r="V24" s="29">
        <f t="shared" ref="V24" si="57">IF(V$2=$C$2,U24+V$3,U24)+IF(V$4=$C$2,V$5,0)+IF(V$6=$C$2,V$7,0)+IF(V$8=$C$2,V$9,0)+IF(V$10=$C$2,V$11,0)-IF(V$12=$C$2,V$13,0)-IF(V$14=$C$2,V$15,0)-IF(V$16=$C$2,V$17,0)-IF(V$18=$C$2,V$19,0)-IF(V$20=$C$2,V$21,0)</f>
        <v>75.169999999999987</v>
      </c>
      <c r="W24" s="29">
        <f t="shared" ref="W24" si="58">IF(W$2=$C$2,V24+W$3,V24)+IF(W$4=$C$2,W$5,0)+IF(W$6=$C$2,W$7,0)+IF(W$8=$C$2,W$9,0)+IF(W$10=$C$2,W$11,0)-IF(W$12=$C$2,W$13,0)-IF(W$14=$C$2,W$15,0)-IF(W$16=$C$2,W$17,0)-IF(W$18=$C$2,W$19,0)-IF(W$20=$C$2,W$21,0)</f>
        <v>75.169999999999987</v>
      </c>
      <c r="X24" s="29">
        <f t="shared" ref="X24:Z24" si="59">IF(X$2=$C$2,W24+X$3,W24)+IF(X$4=$C$2,X$5,0)+IF(X$6=$C$2,X$7,0)+IF(X$8=$C$2,X$9,0)+IF(X$10=$C$2,X$11,0)-IF(X$12=$C$2,X$13,0)-IF(X$14=$C$2,X$15,0)-IF(X$16=$C$2,X$17,0)-IF(X$18=$C$2,X$19,0)-IF(X$20=$C$2,X$21,0)</f>
        <v>75.169999999999987</v>
      </c>
      <c r="Y24" s="29">
        <f t="shared" si="59"/>
        <v>75.169999999999987</v>
      </c>
      <c r="Z24" s="29">
        <f t="shared" si="59"/>
        <v>75.169999999999987</v>
      </c>
      <c r="AA24" s="29">
        <f t="shared" ref="AA24" si="60">IF(AA$2=$C$2,Z24+AA$3,Z24)+IF(AA$4=$C$2,AA$5,0)+IF(AA$6=$C$2,AA$7,0)+IF(AA$8=$C$2,AA$9,0)+IF(AA$10=$C$2,AA$11,0)-IF(AA$12=$C$2,AA$13,0)-IF(AA$14=$C$2,AA$15,0)-IF(AA$16=$C$2,AA$17,0)-IF(AA$18=$C$2,AA$19,0)-IF(AA$20=$C$2,AA$21,0)</f>
        <v>75.169999999999987</v>
      </c>
      <c r="AB24" s="29">
        <f t="shared" ref="AB24" si="61">IF(AB$2=$C$2,AA24+AB$3,AA24)+IF(AB$4=$C$2,AB$5,0)+IF(AB$6=$C$2,AB$7,0)+IF(AB$8=$C$2,AB$9,0)+IF(AB$10=$C$2,AB$11,0)-IF(AB$12=$C$2,AB$13,0)-IF(AB$14=$C$2,AB$15,0)-IF(AB$16=$C$2,AB$17,0)-IF(AB$18=$C$2,AB$19,0)-IF(AB$20=$C$2,AB$21,0)</f>
        <v>75.169999999999987</v>
      </c>
      <c r="AC24" s="29">
        <f t="shared" ref="AC24" si="62">IF(AC$2=$C$2,AB24+AC$3,AB24)+IF(AC$4=$C$2,AC$5,0)+IF(AC$6=$C$2,AC$7,0)+IF(AC$8=$C$2,AC$9,0)+IF(AC$10=$C$2,AC$11,0)-IF(AC$12=$C$2,AC$13,0)-IF(AC$14=$C$2,AC$15,0)-IF(AC$16=$C$2,AC$17,0)-IF(AC$18=$C$2,AC$19,0)-IF(AC$20=$C$2,AC$21,0)</f>
        <v>75.169999999999987</v>
      </c>
      <c r="AD24" s="29">
        <f t="shared" ref="AD24" si="63">IF(AD$2=$C$2,AC24+AD$3,AC24)+IF(AD$4=$C$2,AD$5,0)+IF(AD$6=$C$2,AD$7,0)+IF(AD$8=$C$2,AD$9,0)+IF(AD$10=$C$2,AD$11,0)-IF(AD$12=$C$2,AD$13,0)-IF(AD$14=$C$2,AD$15,0)-IF(AD$16=$C$2,AD$17,0)-IF(AD$18=$C$2,AD$19,0)-IF(AD$20=$C$2,AD$21,0)</f>
        <v>75.169999999999987</v>
      </c>
      <c r="AE24" s="29">
        <f t="shared" ref="AE24:AG24" si="64">IF(AE$2=$C$2,AD24+AE$3,AD24)+IF(AE$4=$C$2,AE$5,0)+IF(AE$6=$C$2,AE$7,0)+IF(AE$8=$C$2,AE$9,0)+IF(AE$10=$C$2,AE$11,0)-IF(AE$12=$C$2,AE$13,0)-IF(AE$14=$C$2,AE$15,0)-IF(AE$16=$C$2,AE$17,0)-IF(AE$18=$C$2,AE$19,0)-IF(AE$20=$C$2,AE$21,0)</f>
        <v>75.169999999999987</v>
      </c>
      <c r="AF24" s="29">
        <f t="shared" si="64"/>
        <v>75.169999999999987</v>
      </c>
      <c r="AG24" s="29">
        <f t="shared" si="64"/>
        <v>75.169999999999987</v>
      </c>
      <c r="AH24" s="29">
        <f t="shared" ref="AH24" si="65">IF(AH$2=$C$2,AG24+AH$3,AG24)+IF(AH$4=$C$2,AH$5,0)+IF(AH$6=$C$2,AH$7,0)+IF(AH$8=$C$2,AH$9,0)+IF(AH$10=$C$2,AH$11,0)-IF(AH$12=$C$2,AH$13,0)-IF(AH$14=$C$2,AH$15,0)-IF(AH$16=$C$2,AH$17,0)-IF(AH$18=$C$2,AH$19,0)-IF(AH$20=$C$2,AH$21,0)</f>
        <v>75.169999999999987</v>
      </c>
      <c r="AI24" s="29">
        <f t="shared" ref="AI24" si="66">IF(AI$2=$C$2,AH24+AI$3,AH24)+IF(AI$4=$C$2,AI$5,0)+IF(AI$6=$C$2,AI$7,0)+IF(AI$8=$C$2,AI$9,0)+IF(AI$10=$C$2,AI$11,0)-IF(AI$12=$C$2,AI$13,0)-IF(AI$14=$C$2,AI$15,0)-IF(AI$16=$C$2,AI$17,0)-IF(AI$18=$C$2,AI$19,0)-IF(AI$20=$C$2,AI$21,0)</f>
        <v>10.169999999999987</v>
      </c>
      <c r="AJ24" s="29">
        <f t="shared" ref="AJ24:AK24" si="67">IF(AJ$2=$C$2,AI24+AJ$3,AI24)+IF(AJ$4=$C$2,AJ$5,0)+IF(AJ$6=$C$2,AJ$7,0)+IF(AJ$8=$C$2,AJ$9,0)+IF(AJ$10=$C$2,AJ$11,0)-IF(AJ$12=$C$2,AJ$13,0)-IF(AJ$14=$C$2,AJ$15,0)-IF(AJ$16=$C$2,AJ$17,0)-IF(AJ$18=$C$2,AJ$19,0)-IF(AJ$20=$C$2,AJ$21,0)</f>
        <v>10.169999999999987</v>
      </c>
      <c r="AK24" s="29">
        <f t="shared" si="67"/>
        <v>10.169999999999987</v>
      </c>
    </row>
    <row r="25" spans="2:38" ht="18" customHeight="1">
      <c r="F25" s="255"/>
      <c r="G25" s="28">
        <f>IF(G$2=$D$2,D3+G$3,D3)+IF(G$4=$D$2,G$5,0)+IF(G$6=$D$2,G$7,0)+IF(G$8=$D$2,G$9,0)+IF(G$10=$D$2,G$11,0)-IF(G$12=$D$2,G$13,0)-IF(G$14=$D$2,G$15,0)-IF(G$16=$D$2,G$17,0)-IF(G$18=$D$2,G$19,0)-IF(G$20=$D$2,G$21,0)</f>
        <v>2955.5099999999998</v>
      </c>
      <c r="H25" s="28">
        <f>IF(H$2=$D$2,G25+H$3,G25)+IF(H$4=$D$2,H$5,0)+IF(H$6=$D$2,H$7,0)+IF(H$8=$D$2,H$9,0)+IF(H$10=$D$2,H$11,0)-IF(H$12=$D$2,H$13,0)-IF(H$14=$D$2,H$15,0)-IF(H$16=$D$2,H$17,0)-IF(H$18=$D$2,H$19,0)-IF(H$20=$D$2,H$21,0)</f>
        <v>2955.5099999999998</v>
      </c>
      <c r="I25" s="28">
        <f t="shared" ref="I25:K25" si="68">IF(I$2=$D$2,H25+I$3,H25)+IF(I$4=$D$2,I$5,0)+IF(I$6=$D$2,I$7,0)+IF(I$8=$D$2,I$9,0)+IF(I$10=$D$2,I$11,0)-IF(I$12=$D$2,I$13,0)-IF(I$14=$D$2,I$15,0)-IF(I$16=$D$2,I$17,0)-IF(I$18=$D$2,I$19,0)-IF(I$20=$D$2,I$21,0)</f>
        <v>2955.5099999999998</v>
      </c>
      <c r="J25" s="28">
        <f t="shared" si="68"/>
        <v>2955.5099999999998</v>
      </c>
      <c r="K25" s="28">
        <f t="shared" si="68"/>
        <v>2955.5099999999998</v>
      </c>
      <c r="L25" s="28">
        <f t="shared" ref="L25" si="69">IF(L$2=$D$2,K25+L$3,K25)+IF(L$4=$D$2,L$5,0)+IF(L$6=$D$2,L$7,0)+IF(L$8=$D$2,L$9,0)+IF(L$10=$D$2,L$11,0)-IF(L$12=$D$2,L$13,0)-IF(L$14=$D$2,L$15,0)-IF(L$16=$D$2,L$17,0)-IF(L$18=$D$2,L$19,0)-IF(L$20=$D$2,L$21,0)</f>
        <v>2955.5099999999998</v>
      </c>
      <c r="M25" s="29">
        <f t="shared" ref="M25" si="70">IF(M$2=$D$2,L25+M$3,L25)+IF(M$4=$D$2,M$5,0)+IF(M$6=$D$2,M$7,0)+IF(M$8=$D$2,M$9,0)+IF(M$10=$D$2,M$11,0)-IF(M$12=$D$2,M$13,0)-IF(M$14=$D$2,M$15,0)-IF(M$16=$D$2,M$17,0)-IF(M$18=$D$2,M$19,0)-IF(M$20=$D$2,M$21,0)</f>
        <v>2955.5099999999998</v>
      </c>
      <c r="N25" s="29">
        <f t="shared" ref="N25" si="71">IF(N$2=$D$2,M25+N$3,M25)+IF(N$4=$D$2,N$5,0)+IF(N$6=$D$2,N$7,0)+IF(N$8=$D$2,N$9,0)+IF(N$10=$D$2,N$11,0)-IF(N$12=$D$2,N$13,0)-IF(N$14=$D$2,N$15,0)-IF(N$16=$D$2,N$17,0)-IF(N$18=$D$2,N$19,0)-IF(N$20=$D$2,N$21,0)</f>
        <v>2955.5099999999998</v>
      </c>
      <c r="O25" s="29">
        <f t="shared" ref="O25" si="72">IF(O$2=$D$2,N25+O$3,N25)+IF(O$4=$D$2,O$5,0)+IF(O$6=$D$2,O$7,0)+IF(O$8=$D$2,O$9,0)+IF(O$10=$D$2,O$11,0)-IF(O$12=$D$2,O$13,0)-IF(O$14=$D$2,O$15,0)-IF(O$16=$D$2,O$17,0)-IF(O$18=$D$2,O$19,0)-IF(O$20=$D$2,O$21,0)</f>
        <v>2955.5099999999998</v>
      </c>
      <c r="P25" s="29">
        <f t="shared" ref="P25" si="73">IF(P$2=$D$2,O25+P$3,O25)+IF(P$4=$D$2,P$5,0)+IF(P$6=$D$2,P$7,0)+IF(P$8=$D$2,P$9,0)+IF(P$10=$D$2,P$11,0)-IF(P$12=$D$2,P$13,0)-IF(P$14=$D$2,P$15,0)-IF(P$16=$D$2,P$17,0)-IF(P$18=$D$2,P$19,0)-IF(P$20=$D$2,P$21,0)</f>
        <v>2955.5099999999998</v>
      </c>
      <c r="Q25" s="29">
        <f t="shared" ref="Q25" si="74">IF(Q$2=$D$2,P25+Q$3,P25)+IF(Q$4=$D$2,Q$5,0)+IF(Q$6=$D$2,Q$7,0)+IF(Q$8=$D$2,Q$9,0)+IF(Q$10=$D$2,Q$11,0)-IF(Q$12=$D$2,Q$13,0)-IF(Q$14=$D$2,Q$15,0)-IF(Q$16=$D$2,Q$17,0)-IF(Q$18=$D$2,Q$19,0)-IF(Q$20=$D$2,Q$21,0)</f>
        <v>2955.5099999999998</v>
      </c>
      <c r="R25" s="29">
        <f t="shared" ref="R25" si="75">IF(R$2=$D$2,Q25+R$3,Q25)+IF(R$4=$D$2,R$5,0)+IF(R$6=$D$2,R$7,0)+IF(R$8=$D$2,R$9,0)+IF(R$10=$D$2,R$11,0)-IF(R$12=$D$2,R$13,0)-IF(R$14=$D$2,R$15,0)-IF(R$16=$D$2,R$17,0)-IF(R$18=$D$2,R$19,0)-IF(R$20=$D$2,R$21,0)</f>
        <v>2955.5099999999998</v>
      </c>
      <c r="S25" s="29">
        <f t="shared" ref="S25" si="76">IF(S$2=$D$2,R25+S$3,R25)+IF(S$4=$D$2,S$5,0)+IF(S$6=$D$2,S$7,0)+IF(S$8=$D$2,S$9,0)+IF(S$10=$D$2,S$11,0)-IF(S$12=$D$2,S$13,0)-IF(S$14=$D$2,S$15,0)-IF(S$16=$D$2,S$17,0)-IF(S$18=$D$2,S$19,0)-IF(S$20=$D$2,S$21,0)</f>
        <v>2955.5099999999998</v>
      </c>
      <c r="T25" s="29">
        <f t="shared" ref="T25" si="77">IF(T$2=$D$2,S25+T$3,S25)+IF(T$4=$D$2,T$5,0)+IF(T$6=$D$2,T$7,0)+IF(T$8=$D$2,T$9,0)+IF(T$10=$D$2,T$11,0)-IF(T$12=$D$2,T$13,0)-IF(T$14=$D$2,T$15,0)-IF(T$16=$D$2,T$17,0)-IF(T$18=$D$2,T$19,0)-IF(T$20=$D$2,T$21,0)</f>
        <v>2955.5099999999998</v>
      </c>
      <c r="U25" s="29">
        <f t="shared" ref="U25" si="78">IF(U$2=$D$2,T25+U$3,T25)+IF(U$4=$D$2,U$5,0)+IF(U$6=$D$2,U$7,0)+IF(U$8=$D$2,U$9,0)+IF(U$10=$D$2,U$11,0)-IF(U$12=$D$2,U$13,0)-IF(U$14=$D$2,U$15,0)-IF(U$16=$D$2,U$17,0)-IF(U$18=$D$2,U$19,0)-IF(U$20=$D$2,U$21,0)</f>
        <v>2955.5099999999998</v>
      </c>
      <c r="V25" s="29">
        <f t="shared" ref="V25" si="79">IF(V$2=$D$2,U25+V$3,U25)+IF(V$4=$D$2,V$5,0)+IF(V$6=$D$2,V$7,0)+IF(V$8=$D$2,V$9,0)+IF(V$10=$D$2,V$11,0)-IF(V$12=$D$2,V$13,0)-IF(V$14=$D$2,V$15,0)-IF(V$16=$D$2,V$17,0)-IF(V$18=$D$2,V$19,0)-IF(V$20=$D$2,V$21,0)</f>
        <v>2953.5099999999998</v>
      </c>
      <c r="W25" s="29">
        <f t="shared" ref="W25" si="80">IF(W$2=$D$2,V25+W$3,V25)+IF(W$4=$D$2,W$5,0)+IF(W$6=$D$2,W$7,0)+IF(W$8=$D$2,W$9,0)+IF(W$10=$D$2,W$11,0)-IF(W$12=$D$2,W$13,0)-IF(W$14=$D$2,W$15,0)-IF(W$16=$D$2,W$17,0)-IF(W$18=$D$2,W$19,0)-IF(W$20=$D$2,W$21,0)</f>
        <v>2953.5099999999998</v>
      </c>
      <c r="X25" s="29">
        <f t="shared" ref="X25:Z25" si="81">IF(X$2=$D$2,W25+X$3,W25)+IF(X$4=$D$2,X$5,0)+IF(X$6=$D$2,X$7,0)+IF(X$8=$D$2,X$9,0)+IF(X$10=$D$2,X$11,0)-IF(X$12=$D$2,X$13,0)-IF(X$14=$D$2,X$15,0)-IF(X$16=$D$2,X$17,0)-IF(X$18=$D$2,X$19,0)-IF(X$20=$D$2,X$21,0)</f>
        <v>2953.5099999999998</v>
      </c>
      <c r="Y25" s="29">
        <f t="shared" si="81"/>
        <v>2953.5099999999998</v>
      </c>
      <c r="Z25" s="29">
        <f t="shared" si="81"/>
        <v>2953.5099999999998</v>
      </c>
      <c r="AA25" s="29">
        <f t="shared" ref="AA25" si="82">IF(AA$2=$D$2,Z25+AA$3,Z25)+IF(AA$4=$D$2,AA$5,0)+IF(AA$6=$D$2,AA$7,0)+IF(AA$8=$D$2,AA$9,0)+IF(AA$10=$D$2,AA$11,0)-IF(AA$12=$D$2,AA$13,0)-IF(AA$14=$D$2,AA$15,0)-IF(AA$16=$D$2,AA$17,0)-IF(AA$18=$D$2,AA$19,0)-IF(AA$20=$D$2,AA$21,0)</f>
        <v>2953.5099999999998</v>
      </c>
      <c r="AB25" s="29">
        <f t="shared" ref="AB25" si="83">IF(AB$2=$D$2,AA25+AB$3,AA25)+IF(AB$4=$D$2,AB$5,0)+IF(AB$6=$D$2,AB$7,0)+IF(AB$8=$D$2,AB$9,0)+IF(AB$10=$D$2,AB$11,0)-IF(AB$12=$D$2,AB$13,0)-IF(AB$14=$D$2,AB$15,0)-IF(AB$16=$D$2,AB$17,0)-IF(AB$18=$D$2,AB$19,0)-IF(AB$20=$D$2,AB$21,0)</f>
        <v>2953.5099999999998</v>
      </c>
      <c r="AC25" s="29">
        <f t="shared" ref="AC25" si="84">IF(AC$2=$D$2,AB25+AC$3,AB25)+IF(AC$4=$D$2,AC$5,0)+IF(AC$6=$D$2,AC$7,0)+IF(AC$8=$D$2,AC$9,0)+IF(AC$10=$D$2,AC$11,0)-IF(AC$12=$D$2,AC$13,0)-IF(AC$14=$D$2,AC$15,0)-IF(AC$16=$D$2,AC$17,0)-IF(AC$18=$D$2,AC$19,0)-IF(AC$20=$D$2,AC$21,0)</f>
        <v>2953.5099999999998</v>
      </c>
      <c r="AD25" s="29">
        <f t="shared" ref="AD25" si="85">IF(AD$2=$D$2,AC25+AD$3,AC25)+IF(AD$4=$D$2,AD$5,0)+IF(AD$6=$D$2,AD$7,0)+IF(AD$8=$D$2,AD$9,0)+IF(AD$10=$D$2,AD$11,0)-IF(AD$12=$D$2,AD$13,0)-IF(AD$14=$D$2,AD$15,0)-IF(AD$16=$D$2,AD$17,0)-IF(AD$18=$D$2,AD$19,0)-IF(AD$20=$D$2,AD$21,0)</f>
        <v>2953.5099999999998</v>
      </c>
      <c r="AE25" s="29">
        <f t="shared" ref="AE25:AG25" si="86">IF(AE$2=$D$2,AD25+AE$3,AD25)+IF(AE$4=$D$2,AE$5,0)+IF(AE$6=$D$2,AE$7,0)+IF(AE$8=$D$2,AE$9,0)+IF(AE$10=$D$2,AE$11,0)-IF(AE$12=$D$2,AE$13,0)-IF(AE$14=$D$2,AE$15,0)-IF(AE$16=$D$2,AE$17,0)-IF(AE$18=$D$2,AE$19,0)-IF(AE$20=$D$2,AE$21,0)</f>
        <v>2953.5099999999998</v>
      </c>
      <c r="AF25" s="29">
        <f t="shared" si="86"/>
        <v>2953.5099999999998</v>
      </c>
      <c r="AG25" s="29">
        <f t="shared" si="86"/>
        <v>2953.5099999999998</v>
      </c>
      <c r="AH25" s="29">
        <f t="shared" ref="AH25" si="87">IF(AH$2=$D$2,AG25+AH$3,AG25)+IF(AH$4=$D$2,AH$5,0)+IF(AH$6=$D$2,AH$7,0)+IF(AH$8=$D$2,AH$9,0)+IF(AH$10=$D$2,AH$11,0)-IF(AH$12=$D$2,AH$13,0)-IF(AH$14=$D$2,AH$15,0)-IF(AH$16=$D$2,AH$17,0)-IF(AH$18=$D$2,AH$19,0)-IF(AH$20=$D$2,AH$21,0)</f>
        <v>2953.5099999999998</v>
      </c>
      <c r="AI25" s="29">
        <f t="shared" ref="AI25" si="88">IF(AI$2=$D$2,AH25+AI$3,AH25)+IF(AI$4=$D$2,AI$5,0)+IF(AI$6=$D$2,AI$7,0)+IF(AI$8=$D$2,AI$9,0)+IF(AI$10=$D$2,AI$11,0)-IF(AI$12=$D$2,AI$13,0)-IF(AI$14=$D$2,AI$15,0)-IF(AI$16=$D$2,AI$17,0)-IF(AI$18=$D$2,AI$19,0)-IF(AI$20=$D$2,AI$21,0)</f>
        <v>2953.5099999999998</v>
      </c>
      <c r="AJ25" s="29">
        <f t="shared" ref="AJ25:AK25" si="89">IF(AJ$2=$D$2,AI25+AJ$3,AI25)+IF(AJ$4=$D$2,AJ$5,0)+IF(AJ$6=$D$2,AJ$7,0)+IF(AJ$8=$D$2,AJ$9,0)+IF(AJ$10=$D$2,AJ$11,0)-IF(AJ$12=$D$2,AJ$13,0)-IF(AJ$14=$D$2,AJ$15,0)-IF(AJ$16=$D$2,AJ$17,0)-IF(AJ$18=$D$2,AJ$19,0)-IF(AJ$20=$D$2,AJ$21,0)</f>
        <v>2953.5099999999998</v>
      </c>
      <c r="AK25" s="29">
        <f t="shared" si="89"/>
        <v>2953.5099999999998</v>
      </c>
    </row>
    <row r="26" spans="2:38" ht="18" customHeight="1" thickBot="1">
      <c r="F26" s="256"/>
      <c r="G26" s="31">
        <f>IF(G$2=$E$2,E3+G$3,E3)+IF(G$4=$E$2,G$5,0)+IF(G$6=$E$2,G$7,0)+IF(G$8=$E$2,G$9,0)+IF(G$10=$E$2,G$11,0)-IF(G$12=$E$2,G$13,0)-IF(G$14=$E$2,G$15,0)-IF(G$16=$E$2,G$17,0)-IF(G$18=$E$2,G$19,0)-IF(G$20=$E$2,G$21,0)</f>
        <v>5600</v>
      </c>
      <c r="H26" s="31">
        <f>IF(H$2=$E$2,G26+H$3,G26)+IF(H$4=$E$2,H$5,0)+IF(H$6=$E$2,H$7,0)+IF(H$8=$E$2,H$9,0)+IF(H$10=$E$2,H$11,0)-IF(H$12=$E$2,H$13,0)-IF(H$14=$E$2,H$15,0)-IF(H$16=$E$2,H$17,0)-IF(H$18=$E$2,H$19,0)-IF(H$20=$E$2,H$21,0)</f>
        <v>5600</v>
      </c>
      <c r="I26" s="31">
        <f t="shared" ref="I26:K26" si="90">IF(I$2=$E$2,H26+I$3,H26)+IF(I$4=$E$2,I$5,0)+IF(I$6=$E$2,I$7,0)+IF(I$8=$E$2,I$9,0)+IF(I$10=$E$2,I$11,0)-IF(I$12=$E$2,I$13,0)-IF(I$14=$E$2,I$15,0)-IF(I$16=$E$2,I$17,0)-IF(I$18=$E$2,I$19,0)-IF(I$20=$E$2,I$21,0)</f>
        <v>5600</v>
      </c>
      <c r="J26" s="31">
        <f t="shared" si="90"/>
        <v>5600</v>
      </c>
      <c r="K26" s="31">
        <f t="shared" si="90"/>
        <v>5600</v>
      </c>
      <c r="L26" s="31">
        <f t="shared" ref="L26" si="91">IF(L$2=$E$2,K26+L$3,K26)+IF(L$4=$E$2,L$5,0)+IF(L$6=$E$2,L$7,0)+IF(L$8=$E$2,L$9,0)+IF(L$10=$E$2,L$11,0)-IF(L$12=$E$2,L$13,0)-IF(L$14=$E$2,L$15,0)-IF(L$16=$E$2,L$17,0)-IF(L$18=$E$2,L$19,0)-IF(L$20=$E$2,L$21,0)</f>
        <v>5600</v>
      </c>
      <c r="M26" s="32">
        <f t="shared" ref="M26" si="92">IF(M$2=$E$2,L26+M$3,L26)+IF(M$4=$E$2,M$5,0)+IF(M$6=$E$2,M$7,0)+IF(M$8=$E$2,M$9,0)+IF(M$10=$E$2,M$11,0)-IF(M$12=$E$2,M$13,0)-IF(M$14=$E$2,M$15,0)-IF(M$16=$E$2,M$17,0)-IF(M$18=$E$2,M$19,0)-IF(M$20=$E$2,M$21,0)</f>
        <v>5600</v>
      </c>
      <c r="N26" s="32">
        <f t="shared" ref="N26" si="93">IF(N$2=$E$2,M26+N$3,M26)+IF(N$4=$E$2,N$5,0)+IF(N$6=$E$2,N$7,0)+IF(N$8=$E$2,N$9,0)+IF(N$10=$E$2,N$11,0)-IF(N$12=$E$2,N$13,0)-IF(N$14=$E$2,N$15,0)-IF(N$16=$E$2,N$17,0)-IF(N$18=$E$2,N$19,0)-IF(N$20=$E$2,N$21,0)</f>
        <v>5600</v>
      </c>
      <c r="O26" s="32">
        <f t="shared" ref="O26" si="94">IF(O$2=$E$2,N26+O$3,N26)+IF(O$4=$E$2,O$5,0)+IF(O$6=$E$2,O$7,0)+IF(O$8=$E$2,O$9,0)+IF(O$10=$E$2,O$11,0)-IF(O$12=$E$2,O$13,0)-IF(O$14=$E$2,O$15,0)-IF(O$16=$E$2,O$17,0)-IF(O$18=$E$2,O$19,0)-IF(O$20=$E$2,O$21,0)</f>
        <v>5600</v>
      </c>
      <c r="P26" s="32">
        <f t="shared" ref="P26" si="95">IF(P$2=$E$2,O26+P$3,O26)+IF(P$4=$E$2,P$5,0)+IF(P$6=$E$2,P$7,0)+IF(P$8=$E$2,P$9,0)+IF(P$10=$E$2,P$11,0)-IF(P$12=$E$2,P$13,0)-IF(P$14=$E$2,P$15,0)-IF(P$16=$E$2,P$17,0)-IF(P$18=$E$2,P$19,0)-IF(P$20=$E$2,P$21,0)</f>
        <v>5600</v>
      </c>
      <c r="Q26" s="32">
        <f t="shared" ref="Q26" si="96">IF(Q$2=$E$2,P26+Q$3,P26)+IF(Q$4=$E$2,Q$5,0)+IF(Q$6=$E$2,Q$7,0)+IF(Q$8=$E$2,Q$9,0)+IF(Q$10=$E$2,Q$11,0)-IF(Q$12=$E$2,Q$13,0)-IF(Q$14=$E$2,Q$15,0)-IF(Q$16=$E$2,Q$17,0)-IF(Q$18=$E$2,Q$19,0)-IF(Q$20=$E$2,Q$21,0)</f>
        <v>5600</v>
      </c>
      <c r="R26" s="32">
        <f t="shared" ref="R26" si="97">IF(R$2=$E$2,Q26+R$3,Q26)+IF(R$4=$E$2,R$5,0)+IF(R$6=$E$2,R$7,0)+IF(R$8=$E$2,R$9,0)+IF(R$10=$E$2,R$11,0)-IF(R$12=$E$2,R$13,0)-IF(R$14=$E$2,R$15,0)-IF(R$16=$E$2,R$17,0)-IF(R$18=$E$2,R$19,0)-IF(R$20=$E$2,R$21,0)</f>
        <v>5600</v>
      </c>
      <c r="S26" s="32">
        <f t="shared" ref="S26" si="98">IF(S$2=$E$2,R26+S$3,R26)+IF(S$4=$E$2,S$5,0)+IF(S$6=$E$2,S$7,0)+IF(S$8=$E$2,S$9,0)+IF(S$10=$E$2,S$11,0)-IF(S$12=$E$2,S$13,0)-IF(S$14=$E$2,S$15,0)-IF(S$16=$E$2,S$17,0)-IF(S$18=$E$2,S$19,0)-IF(S$20=$E$2,S$21,0)</f>
        <v>5600</v>
      </c>
      <c r="T26" s="32">
        <f t="shared" ref="T26" si="99">IF(T$2=$E$2,S26+T$3,S26)+IF(T$4=$E$2,T$5,0)+IF(T$6=$E$2,T$7,0)+IF(T$8=$E$2,T$9,0)+IF(T$10=$E$2,T$11,0)-IF(T$12=$E$2,T$13,0)-IF(T$14=$E$2,T$15,0)-IF(T$16=$E$2,T$17,0)-IF(T$18=$E$2,T$19,0)-IF(T$20=$E$2,T$21,0)</f>
        <v>5600</v>
      </c>
      <c r="U26" s="32">
        <f t="shared" ref="U26" si="100">IF(U$2=$E$2,T26+U$3,T26)+IF(U$4=$E$2,U$5,0)+IF(U$6=$E$2,U$7,0)+IF(U$8=$E$2,U$9,0)+IF(U$10=$E$2,U$11,0)-IF(U$12=$E$2,U$13,0)-IF(U$14=$E$2,U$15,0)-IF(U$16=$E$2,U$17,0)-IF(U$18=$E$2,U$19,0)-IF(U$20=$E$2,U$21,0)</f>
        <v>5600</v>
      </c>
      <c r="V26" s="32">
        <f t="shared" ref="V26" si="101">IF(V$2=$E$2,U26+V$3,U26)+IF(V$4=$E$2,V$5,0)+IF(V$6=$E$2,V$7,0)+IF(V$8=$E$2,V$9,0)+IF(V$10=$E$2,V$11,0)-IF(V$12=$E$2,V$13,0)-IF(V$14=$E$2,V$15,0)-IF(V$16=$E$2,V$17,0)-IF(V$18=$E$2,V$19,0)-IF(V$20=$E$2,V$21,0)</f>
        <v>5600</v>
      </c>
      <c r="W26" s="32">
        <f t="shared" ref="W26" si="102">IF(W$2=$E$2,V26+W$3,V26)+IF(W$4=$E$2,W$5,0)+IF(W$6=$E$2,W$7,0)+IF(W$8=$E$2,W$9,0)+IF(W$10=$E$2,W$11,0)-IF(W$12=$E$2,W$13,0)-IF(W$14=$E$2,W$15,0)-IF(W$16=$E$2,W$17,0)-IF(W$18=$E$2,W$19,0)-IF(W$20=$E$2,W$21,0)</f>
        <v>5600</v>
      </c>
      <c r="X26" s="32">
        <f t="shared" ref="X26:Z26" si="103">IF(X$2=$E$2,W26+X$3,W26)+IF(X$4=$E$2,X$5,0)+IF(X$6=$E$2,X$7,0)+IF(X$8=$E$2,X$9,0)+IF(X$10=$E$2,X$11,0)-IF(X$12=$E$2,X$13,0)-IF(X$14=$E$2,X$15,0)-IF(X$16=$E$2,X$17,0)-IF(X$18=$E$2,X$19,0)-IF(X$20=$E$2,X$21,0)</f>
        <v>5600</v>
      </c>
      <c r="Y26" s="32">
        <f t="shared" si="103"/>
        <v>5600</v>
      </c>
      <c r="Z26" s="32">
        <f t="shared" si="103"/>
        <v>5600</v>
      </c>
      <c r="AA26" s="32">
        <f t="shared" ref="AA26" si="104">IF(AA$2=$E$2,Z26+AA$3,Z26)+IF(AA$4=$E$2,AA$5,0)+IF(AA$6=$E$2,AA$7,0)+IF(AA$8=$E$2,AA$9,0)+IF(AA$10=$E$2,AA$11,0)-IF(AA$12=$E$2,AA$13,0)-IF(AA$14=$E$2,AA$15,0)-IF(AA$16=$E$2,AA$17,0)-IF(AA$18=$E$2,AA$19,0)-IF(AA$20=$E$2,AA$21,0)</f>
        <v>5600</v>
      </c>
      <c r="AB26" s="32">
        <f t="shared" ref="AB26" si="105">IF(AB$2=$E$2,AA26+AB$3,AA26)+IF(AB$4=$E$2,AB$5,0)+IF(AB$6=$E$2,AB$7,0)+IF(AB$8=$E$2,AB$9,0)+IF(AB$10=$E$2,AB$11,0)-IF(AB$12=$E$2,AB$13,0)-IF(AB$14=$E$2,AB$15,0)-IF(AB$16=$E$2,AB$17,0)-IF(AB$18=$E$2,AB$19,0)-IF(AB$20=$E$2,AB$21,0)</f>
        <v>5600</v>
      </c>
      <c r="AC26" s="32">
        <f t="shared" ref="AC26" si="106">IF(AC$2=$E$2,AB26+AC$3,AB26)+IF(AC$4=$E$2,AC$5,0)+IF(AC$6=$E$2,AC$7,0)+IF(AC$8=$E$2,AC$9,0)+IF(AC$10=$E$2,AC$11,0)-IF(AC$12=$E$2,AC$13,0)-IF(AC$14=$E$2,AC$15,0)-IF(AC$16=$E$2,AC$17,0)-IF(AC$18=$E$2,AC$19,0)-IF(AC$20=$E$2,AC$21,0)</f>
        <v>5600</v>
      </c>
      <c r="AD26" s="32">
        <f t="shared" ref="AD26" si="107">IF(AD$2=$E$2,AC26+AD$3,AC26)+IF(AD$4=$E$2,AD$5,0)+IF(AD$6=$E$2,AD$7,0)+IF(AD$8=$E$2,AD$9,0)+IF(AD$10=$E$2,AD$11,0)-IF(AD$12=$E$2,AD$13,0)-IF(AD$14=$E$2,AD$15,0)-IF(AD$16=$E$2,AD$17,0)-IF(AD$18=$E$2,AD$19,0)-IF(AD$20=$E$2,AD$21,0)</f>
        <v>5600</v>
      </c>
      <c r="AE26" s="32">
        <f t="shared" ref="AE26:AG26" si="108">IF(AE$2=$E$2,AD26+AE$3,AD26)+IF(AE$4=$E$2,AE$5,0)+IF(AE$6=$E$2,AE$7,0)+IF(AE$8=$E$2,AE$9,0)+IF(AE$10=$E$2,AE$11,0)-IF(AE$12=$E$2,AE$13,0)-IF(AE$14=$E$2,AE$15,0)-IF(AE$16=$E$2,AE$17,0)-IF(AE$18=$E$2,AE$19,0)-IF(AE$20=$E$2,AE$21,0)</f>
        <v>5600</v>
      </c>
      <c r="AF26" s="32">
        <f t="shared" si="108"/>
        <v>5600</v>
      </c>
      <c r="AG26" s="32">
        <f t="shared" si="108"/>
        <v>5600</v>
      </c>
      <c r="AH26" s="32">
        <f t="shared" ref="AH26" si="109">IF(AH$2=$E$2,AG26+AH$3,AG26)+IF(AH$4=$E$2,AH$5,0)+IF(AH$6=$E$2,AH$7,0)+IF(AH$8=$E$2,AH$9,0)+IF(AH$10=$E$2,AH$11,0)-IF(AH$12=$E$2,AH$13,0)-IF(AH$14=$E$2,AH$15,0)-IF(AH$16=$E$2,AH$17,0)-IF(AH$18=$E$2,AH$19,0)-IF(AH$20=$E$2,AH$21,0)</f>
        <v>5600</v>
      </c>
      <c r="AI26" s="32">
        <f t="shared" ref="AI26" si="110">IF(AI$2=$E$2,AH26+AI$3,AH26)+IF(AI$4=$E$2,AI$5,0)+IF(AI$6=$E$2,AI$7,0)+IF(AI$8=$E$2,AI$9,0)+IF(AI$10=$E$2,AI$11,0)-IF(AI$12=$E$2,AI$13,0)-IF(AI$14=$E$2,AI$15,0)-IF(AI$16=$E$2,AI$17,0)-IF(AI$18=$E$2,AI$19,0)-IF(AI$20=$E$2,AI$21,0)</f>
        <v>5600</v>
      </c>
      <c r="AJ26" s="32">
        <f t="shared" ref="AJ26:AK26" si="111">IF(AJ$2=$E$2,AI26+AJ$3,AI26)+IF(AJ$4=$E$2,AJ$5,0)+IF(AJ$6=$E$2,AJ$7,0)+IF(AJ$8=$E$2,AJ$9,0)+IF(AJ$10=$E$2,AJ$11,0)-IF(AJ$12=$E$2,AJ$13,0)-IF(AJ$14=$E$2,AJ$15,0)-IF(AJ$16=$E$2,AJ$17,0)-IF(AJ$18=$E$2,AJ$19,0)-IF(AJ$20=$E$2,AJ$21,0)</f>
        <v>5600</v>
      </c>
      <c r="AK26" s="32">
        <f t="shared" si="111"/>
        <v>5600</v>
      </c>
    </row>
    <row r="27" spans="2:38" ht="18" customHeight="1">
      <c r="F27" s="96" t="s">
        <v>49</v>
      </c>
      <c r="G27" s="95" t="s">
        <v>43</v>
      </c>
      <c r="H27" s="95" t="s">
        <v>44</v>
      </c>
      <c r="I27" s="95" t="s">
        <v>45</v>
      </c>
      <c r="J27" s="95" t="s">
        <v>46</v>
      </c>
      <c r="K27" s="95" t="s">
        <v>46</v>
      </c>
      <c r="L27" s="95" t="s">
        <v>47</v>
      </c>
      <c r="M27" s="95" t="s">
        <v>48</v>
      </c>
      <c r="N27" s="95" t="s">
        <v>43</v>
      </c>
      <c r="O27" s="95" t="s">
        <v>44</v>
      </c>
      <c r="P27" s="95" t="s">
        <v>45</v>
      </c>
      <c r="Q27" s="95" t="s">
        <v>46</v>
      </c>
      <c r="R27" s="95" t="s">
        <v>46</v>
      </c>
      <c r="S27" s="95" t="s">
        <v>47</v>
      </c>
      <c r="T27" s="95" t="s">
        <v>48</v>
      </c>
      <c r="U27" s="95" t="s">
        <v>43</v>
      </c>
      <c r="V27" s="95" t="s">
        <v>44</v>
      </c>
      <c r="W27" s="95" t="s">
        <v>45</v>
      </c>
      <c r="X27" s="95" t="s">
        <v>46</v>
      </c>
      <c r="Y27" s="95" t="s">
        <v>46</v>
      </c>
      <c r="Z27" s="95" t="s">
        <v>47</v>
      </c>
      <c r="AA27" s="95" t="s">
        <v>48</v>
      </c>
      <c r="AB27" s="95" t="s">
        <v>43</v>
      </c>
      <c r="AC27" s="95" t="s">
        <v>44</v>
      </c>
      <c r="AD27" s="95" t="s">
        <v>45</v>
      </c>
      <c r="AE27" s="95" t="s">
        <v>46</v>
      </c>
      <c r="AF27" s="95" t="s">
        <v>46</v>
      </c>
      <c r="AG27" s="95" t="s">
        <v>47</v>
      </c>
      <c r="AH27" s="95" t="s">
        <v>48</v>
      </c>
      <c r="AI27" s="95" t="s">
        <v>43</v>
      </c>
      <c r="AJ27" s="95" t="s">
        <v>44</v>
      </c>
      <c r="AK27" s="95" t="s">
        <v>45</v>
      </c>
    </row>
    <row r="28" spans="2:38" ht="18" customHeight="1" thickBot="1"/>
    <row r="29" spans="2:38" ht="18" customHeight="1" thickBot="1">
      <c r="B29" s="122" t="s">
        <v>8</v>
      </c>
      <c r="C29" s="5" t="s">
        <v>17</v>
      </c>
      <c r="D29" s="123" t="s">
        <v>9</v>
      </c>
      <c r="E29" s="5" t="s">
        <v>17</v>
      </c>
    </row>
    <row r="30" spans="2:38" ht="18" customHeight="1">
      <c r="B30" s="70" t="s">
        <v>14</v>
      </c>
      <c r="C30" s="119">
        <f>X13</f>
        <v>820</v>
      </c>
      <c r="D30" s="70" t="s">
        <v>25</v>
      </c>
      <c r="E30" s="71">
        <f>K3</f>
        <v>3180</v>
      </c>
      <c r="I30" s="13"/>
    </row>
    <row r="31" spans="2:38" ht="18" customHeight="1">
      <c r="B31" s="57" t="s">
        <v>15</v>
      </c>
      <c r="C31" s="118">
        <f>N13+N15+N17+V13*4.85+W13+Y13+Z13+AE13+AD13+AF13</f>
        <v>534.52</v>
      </c>
      <c r="D31" s="57" t="s">
        <v>26</v>
      </c>
      <c r="E31" s="59">
        <f>K5</f>
        <v>378</v>
      </c>
    </row>
    <row r="32" spans="2:38" ht="18" customHeight="1">
      <c r="B32" s="57" t="s">
        <v>16</v>
      </c>
      <c r="C32" s="118">
        <f>I13+I15+R13+S13+S15+AB15</f>
        <v>298.7</v>
      </c>
      <c r="D32" s="57" t="s">
        <v>27</v>
      </c>
      <c r="E32" s="59"/>
    </row>
    <row r="33" spans="2:5" ht="18" customHeight="1">
      <c r="B33" s="57" t="s">
        <v>33</v>
      </c>
      <c r="C33" s="118">
        <f>J13+K13+K15+M13+T13+U13+U15+P13+P15+Z15+AB17+AD15+AI13+AI15+AI17</f>
        <v>736.78</v>
      </c>
      <c r="D33" s="57" t="s">
        <v>19</v>
      </c>
      <c r="E33" s="59"/>
    </row>
    <row r="34" spans="2:5" ht="18" customHeight="1">
      <c r="B34" s="57" t="s">
        <v>36</v>
      </c>
      <c r="C34" s="118">
        <f>H13+R15</f>
        <v>8</v>
      </c>
      <c r="D34" s="57"/>
      <c r="E34" s="59"/>
    </row>
    <row r="35" spans="2:5" ht="18" customHeight="1" thickBot="1">
      <c r="B35" s="57" t="s">
        <v>20</v>
      </c>
      <c r="C35" s="118"/>
      <c r="D35" s="65"/>
      <c r="E35" s="121"/>
    </row>
    <row r="36" spans="2:5" ht="18" customHeight="1" thickBot="1">
      <c r="B36" s="57" t="s">
        <v>18</v>
      </c>
      <c r="C36" s="118">
        <f>X15</f>
        <v>400</v>
      </c>
      <c r="D36" s="268">
        <f>SUM(E30:E33)</f>
        <v>3558</v>
      </c>
      <c r="E36" s="269"/>
    </row>
    <row r="37" spans="2:5" ht="18" customHeight="1" thickBot="1">
      <c r="B37" s="57" t="s">
        <v>35</v>
      </c>
      <c r="C37" s="59">
        <f>G17+G21+L13</f>
        <v>322.14</v>
      </c>
      <c r="D37" s="228">
        <f>D36-B39</f>
        <v>-69.839999999999691</v>
      </c>
      <c r="E37" s="229"/>
    </row>
    <row r="38" spans="2:5" ht="18" customHeight="1" thickBot="1">
      <c r="B38" s="101" t="s">
        <v>51</v>
      </c>
      <c r="C38" s="102">
        <f>AF15+AI19</f>
        <v>507.7</v>
      </c>
      <c r="D38" s="288">
        <f>D37+C38</f>
        <v>437.8600000000003</v>
      </c>
      <c r="E38" s="289"/>
    </row>
    <row r="39" spans="2:5" ht="18" customHeight="1" thickBot="1">
      <c r="B39" s="292">
        <f>SUM(C30:C38)</f>
        <v>3627.8399999999997</v>
      </c>
      <c r="C39" s="293"/>
      <c r="D39" s="234" t="s">
        <v>60</v>
      </c>
      <c r="E39" s="235"/>
    </row>
    <row r="53" spans="1:3" ht="18" customHeight="1" thickBot="1"/>
    <row r="54" spans="1:3" ht="18" customHeight="1" thickBot="1">
      <c r="A54" s="298" t="s">
        <v>52</v>
      </c>
      <c r="B54" s="299"/>
      <c r="C54" s="300"/>
    </row>
    <row r="55" spans="1:3" ht="18" customHeight="1">
      <c r="A55" s="294" t="s">
        <v>41</v>
      </c>
      <c r="B55" s="88">
        <v>1578</v>
      </c>
      <c r="C55" s="81" t="s">
        <v>39</v>
      </c>
    </row>
    <row r="56" spans="1:3" ht="18" customHeight="1" thickBot="1">
      <c r="A56" s="295"/>
      <c r="B56" s="89">
        <v>400</v>
      </c>
      <c r="C56" s="82" t="s">
        <v>40</v>
      </c>
    </row>
    <row r="57" spans="1:3" ht="18" customHeight="1" thickBot="1">
      <c r="A57" s="97" t="s">
        <v>50</v>
      </c>
      <c r="B57" s="98">
        <f>Z3</f>
        <v>600</v>
      </c>
      <c r="C57" s="99"/>
    </row>
    <row r="58" spans="1:3" ht="18" customHeight="1">
      <c r="A58" s="296" t="s">
        <v>24</v>
      </c>
      <c r="B58" s="90">
        <f>G19</f>
        <v>310</v>
      </c>
      <c r="C58" s="83" t="s">
        <v>39</v>
      </c>
    </row>
    <row r="59" spans="1:3" ht="18" customHeight="1">
      <c r="A59" s="297"/>
      <c r="B59" s="91">
        <f>Z17</f>
        <v>52</v>
      </c>
      <c r="C59" s="84"/>
    </row>
    <row r="60" spans="1:3" ht="18" customHeight="1">
      <c r="A60" s="297"/>
      <c r="B60" s="91">
        <f>AB13</f>
        <v>1100</v>
      </c>
      <c r="C60" s="84"/>
    </row>
    <row r="61" spans="1:3" ht="18" customHeight="1">
      <c r="A61" s="297"/>
      <c r="B61" s="91">
        <f>AG13</f>
        <v>22.48</v>
      </c>
      <c r="C61" s="84"/>
    </row>
    <row r="62" spans="1:3" ht="18" customHeight="1" thickBot="1">
      <c r="A62" s="297"/>
      <c r="B62" s="92"/>
      <c r="C62" s="84"/>
    </row>
    <row r="63" spans="1:3" ht="18" customHeight="1">
      <c r="A63" s="290" t="s">
        <v>42</v>
      </c>
      <c r="B63" s="93">
        <f>B55+B57-B58-B59-B60-B61-B62</f>
        <v>693.52</v>
      </c>
      <c r="C63" s="85" t="s">
        <v>39</v>
      </c>
    </row>
    <row r="64" spans="1:3" ht="18" customHeight="1" thickBot="1">
      <c r="A64" s="291"/>
      <c r="B64" s="94">
        <f>B56</f>
        <v>400</v>
      </c>
      <c r="C64" s="86" t="s">
        <v>40</v>
      </c>
    </row>
    <row r="65" spans="2:3" ht="18" customHeight="1">
      <c r="B65" s="64"/>
      <c r="C65" s="64"/>
    </row>
  </sheetData>
  <mergeCells count="27">
    <mergeCell ref="A63:A64"/>
    <mergeCell ref="F22:F26"/>
    <mergeCell ref="D36:E36"/>
    <mergeCell ref="B39:C39"/>
    <mergeCell ref="A55:A56"/>
    <mergeCell ref="A58:A62"/>
    <mergeCell ref="A54:C54"/>
    <mergeCell ref="D38:E38"/>
    <mergeCell ref="D39:E39"/>
    <mergeCell ref="D37:E37"/>
    <mergeCell ref="F12:F21"/>
    <mergeCell ref="A14:C14"/>
    <mergeCell ref="D14:E14"/>
    <mergeCell ref="A15:C15"/>
    <mergeCell ref="D15:E15"/>
    <mergeCell ref="A1:E1"/>
    <mergeCell ref="F2:F11"/>
    <mergeCell ref="A4:C4"/>
    <mergeCell ref="D4:E4"/>
    <mergeCell ref="A5:C5"/>
    <mergeCell ref="D5:E5"/>
    <mergeCell ref="A6:E6"/>
    <mergeCell ref="A9:C9"/>
    <mergeCell ref="D9:E9"/>
    <mergeCell ref="A10:C10"/>
    <mergeCell ref="D10:E10"/>
    <mergeCell ref="A11:E11"/>
  </mergeCells>
  <conditionalFormatting sqref="A13:E13 A15:E15">
    <cfRule type="cellIs" dxfId="28" priority="1" operator="lessThan">
      <formula>0</formula>
    </cfRule>
    <cfRule type="cellIs" dxfId="27" priority="2" operator="greaterThan">
      <formula>0</formula>
    </cfRule>
  </conditionalFormatting>
  <dataValidations count="6">
    <dataValidation type="list" allowBlank="1" showInputMessage="1" showErrorMessage="1" sqref="G4:AK4 G20:AK20 G18:AK18 G16:AK16 G14:AK14 G2:AK2 G10:AK10 G8:AK8 G6:AK6 G12:AK12" xr:uid="{A1A77CFD-452C-48EF-9CC8-C5BE42BF9B56}">
      <formula1>$A$2:$E$2</formula1>
    </dataValidation>
    <dataValidation type="list" allowBlank="1" showInputMessage="1" showErrorMessage="1" sqref="A8" xr:uid="{3466E487-A1E2-4A20-AD5D-01F1FCE8FC4C}">
      <formula1>$G$22:$AK$22</formula1>
    </dataValidation>
    <dataValidation type="list" allowBlank="1" showInputMessage="1" showErrorMessage="1" sqref="B8" xr:uid="{026DAB27-E815-4784-8EF4-84966CA3AF2C}">
      <formula1>$G$23:$AK$23</formula1>
    </dataValidation>
    <dataValidation type="list" allowBlank="1" showInputMessage="1" showErrorMessage="1" sqref="C8" xr:uid="{A5FDCD93-0303-44CC-BC72-FFA06CF83BC0}">
      <formula1>$G$24:$AK$24</formula1>
    </dataValidation>
    <dataValidation type="list" allowBlank="1" showInputMessage="1" showErrorMessage="1" sqref="D8" xr:uid="{AA52CBA3-16B9-4D3B-BB36-47690D59F388}">
      <formula1>$G$25:$AK$25</formula1>
    </dataValidation>
    <dataValidation type="list" allowBlank="1" showInputMessage="1" showErrorMessage="1" sqref="E8" xr:uid="{1663043F-756A-43BA-9748-8B4B965A1325}">
      <formula1>$G$26:$AK$26</formula1>
    </dataValidation>
  </dataValidation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7CCC-239B-4164-A7FC-EE011A13DEC5}">
  <sheetPr codeName="Sheet4">
    <tabColor rgb="FFC00000"/>
  </sheetPr>
  <dimension ref="A1:AM65"/>
  <sheetViews>
    <sheetView topLeftCell="A19" zoomScaleNormal="100" workbookViewId="0">
      <pane xSplit="6" topLeftCell="L1" activePane="topRight" state="frozen"/>
      <selection pane="topRight" activeCell="R19" sqref="R19"/>
    </sheetView>
  </sheetViews>
  <sheetFormatPr defaultColWidth="15.77734375" defaultRowHeight="18" customHeight="1"/>
  <cols>
    <col min="1" max="6" width="15.77734375" style="1"/>
    <col min="7" max="7" width="15.77734375" style="1" customWidth="1"/>
    <col min="8" max="38" width="10.77734375" style="1" customWidth="1"/>
    <col min="39" max="16384" width="15.77734375" style="1"/>
  </cols>
  <sheetData>
    <row r="1" spans="1:39" ht="18" customHeight="1" thickBot="1">
      <c r="A1" s="277" t="s">
        <v>63</v>
      </c>
      <c r="B1" s="278"/>
      <c r="C1" s="278"/>
      <c r="D1" s="278"/>
      <c r="E1" s="278"/>
      <c r="F1" s="312"/>
      <c r="G1" s="2" t="s">
        <v>7</v>
      </c>
      <c r="H1" s="3">
        <v>1</v>
      </c>
      <c r="I1" s="4">
        <v>2</v>
      </c>
      <c r="J1" s="4">
        <v>3</v>
      </c>
      <c r="K1" s="4">
        <v>4</v>
      </c>
      <c r="L1" s="103">
        <v>5</v>
      </c>
      <c r="M1" s="117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103">
        <v>12</v>
      </c>
      <c r="T1" s="117">
        <v>13</v>
      </c>
      <c r="U1" s="4">
        <v>14</v>
      </c>
      <c r="V1" s="4">
        <v>15</v>
      </c>
      <c r="W1" s="4">
        <v>16</v>
      </c>
      <c r="X1" s="4">
        <v>17</v>
      </c>
      <c r="Y1" s="4">
        <v>18</v>
      </c>
      <c r="Z1" s="103">
        <v>19</v>
      </c>
      <c r="AA1" s="117">
        <v>20</v>
      </c>
      <c r="AB1" s="4">
        <v>21</v>
      </c>
      <c r="AC1" s="4">
        <v>22</v>
      </c>
      <c r="AD1" s="4">
        <v>23</v>
      </c>
      <c r="AE1" s="4">
        <v>24</v>
      </c>
      <c r="AF1" s="4">
        <v>25</v>
      </c>
      <c r="AG1" s="103">
        <v>26</v>
      </c>
      <c r="AH1" s="117">
        <v>27</v>
      </c>
      <c r="AI1" s="4">
        <v>28</v>
      </c>
      <c r="AJ1" s="4">
        <v>29</v>
      </c>
      <c r="AK1" s="5">
        <v>30</v>
      </c>
      <c r="AL1" s="64"/>
    </row>
    <row r="2" spans="1:39" ht="18" customHeight="1">
      <c r="A2" s="104" t="s">
        <v>53</v>
      </c>
      <c r="B2" s="6" t="s">
        <v>54</v>
      </c>
      <c r="C2" s="7" t="s">
        <v>2</v>
      </c>
      <c r="D2" s="7" t="s">
        <v>13</v>
      </c>
      <c r="E2" s="7" t="s">
        <v>3</v>
      </c>
      <c r="F2" s="8" t="s">
        <v>1</v>
      </c>
      <c r="G2" s="238" t="s">
        <v>9</v>
      </c>
      <c r="H2" s="19"/>
      <c r="I2" s="20"/>
      <c r="J2" s="20" t="s">
        <v>54</v>
      </c>
      <c r="K2" s="20"/>
      <c r="L2" s="20"/>
      <c r="M2" s="20"/>
      <c r="N2" s="20" t="s">
        <v>13</v>
      </c>
      <c r="O2" s="20"/>
      <c r="P2" s="20" t="s">
        <v>53</v>
      </c>
      <c r="Q2" s="20" t="s">
        <v>2</v>
      </c>
      <c r="R2" s="20"/>
      <c r="S2" s="20"/>
      <c r="T2" s="20"/>
      <c r="U2" s="20"/>
      <c r="V2" s="20"/>
      <c r="W2" s="20"/>
      <c r="X2" s="20" t="s">
        <v>2</v>
      </c>
      <c r="Y2" s="20" t="s">
        <v>53</v>
      </c>
      <c r="Z2" s="20"/>
      <c r="AA2" s="20"/>
      <c r="AB2" s="20"/>
      <c r="AC2" s="20"/>
      <c r="AD2" s="20"/>
      <c r="AE2" s="20" t="s">
        <v>54</v>
      </c>
      <c r="AF2" s="20" t="s">
        <v>53</v>
      </c>
      <c r="AG2" s="20"/>
      <c r="AH2" s="20"/>
      <c r="AI2" s="20" t="s">
        <v>54</v>
      </c>
      <c r="AJ2" s="20"/>
      <c r="AK2" s="21" t="s">
        <v>13</v>
      </c>
      <c r="AL2" s="64"/>
      <c r="AM2" s="64"/>
    </row>
    <row r="3" spans="1:39" s="13" customFormat="1" ht="18" customHeight="1" thickBot="1">
      <c r="A3" s="105">
        <v>0</v>
      </c>
      <c r="B3" s="9">
        <v>2176.8700000000008</v>
      </c>
      <c r="C3" s="10">
        <v>105.30000000000001</v>
      </c>
      <c r="D3" s="10">
        <v>10.169999999999987</v>
      </c>
      <c r="E3" s="10">
        <v>2953.5099999999998</v>
      </c>
      <c r="F3" s="11">
        <v>5600</v>
      </c>
      <c r="G3" s="239"/>
      <c r="H3" s="18"/>
      <c r="I3" s="12"/>
      <c r="J3" s="12">
        <v>3163</v>
      </c>
      <c r="K3" s="12"/>
      <c r="L3" s="12"/>
      <c r="M3" s="12"/>
      <c r="N3" s="12">
        <v>342</v>
      </c>
      <c r="O3" s="12"/>
      <c r="P3" s="12">
        <v>487.42</v>
      </c>
      <c r="Q3" s="12">
        <v>200</v>
      </c>
      <c r="R3" s="12"/>
      <c r="S3" s="12"/>
      <c r="T3" s="12"/>
      <c r="U3" s="12"/>
      <c r="V3" s="12"/>
      <c r="W3" s="12"/>
      <c r="X3" s="12">
        <v>100</v>
      </c>
      <c r="Y3" s="12">
        <v>20</v>
      </c>
      <c r="Z3" s="12"/>
      <c r="AA3" s="12"/>
      <c r="AB3" s="12"/>
      <c r="AC3" s="12"/>
      <c r="AD3" s="12"/>
      <c r="AE3" s="12">
        <v>10</v>
      </c>
      <c r="AF3" s="12">
        <v>1000</v>
      </c>
      <c r="AG3" s="12"/>
      <c r="AH3" s="12"/>
      <c r="AI3" s="12">
        <v>600</v>
      </c>
      <c r="AJ3" s="12"/>
      <c r="AK3" s="17">
        <v>320</v>
      </c>
      <c r="AL3" s="64"/>
      <c r="AM3" s="64"/>
    </row>
    <row r="4" spans="1:39" ht="18" customHeight="1" thickBot="1">
      <c r="A4" s="277" t="s">
        <v>5</v>
      </c>
      <c r="B4" s="278"/>
      <c r="C4" s="278"/>
      <c r="D4" s="279"/>
      <c r="E4" s="273" t="s">
        <v>6</v>
      </c>
      <c r="F4" s="274"/>
      <c r="G4" s="239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4"/>
      <c r="AL4" s="64"/>
      <c r="AM4" s="64"/>
    </row>
    <row r="5" spans="1:39" ht="18" customHeight="1" thickBot="1">
      <c r="A5" s="280">
        <f>SUM(A3:D3)</f>
        <v>2292.3400000000011</v>
      </c>
      <c r="B5" s="281"/>
      <c r="C5" s="281"/>
      <c r="D5" s="282"/>
      <c r="E5" s="275">
        <f>SUM(E3:F3)</f>
        <v>8553.51</v>
      </c>
      <c r="F5" s="276"/>
      <c r="G5" s="239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7"/>
      <c r="AL5" s="64"/>
      <c r="AM5" s="64"/>
    </row>
    <row r="6" spans="1:39" ht="18" customHeight="1" thickBot="1">
      <c r="A6" s="241" t="s">
        <v>38</v>
      </c>
      <c r="B6" s="242"/>
      <c r="C6" s="242"/>
      <c r="D6" s="242"/>
      <c r="E6" s="242"/>
      <c r="F6" s="243"/>
      <c r="G6" s="23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4"/>
      <c r="AL6" s="64"/>
      <c r="AM6" s="64"/>
    </row>
    <row r="7" spans="1:39" ht="18" customHeight="1">
      <c r="A7" s="106" t="s">
        <v>53</v>
      </c>
      <c r="B7" s="37" t="s">
        <v>54</v>
      </c>
      <c r="C7" s="38" t="s">
        <v>2</v>
      </c>
      <c r="D7" s="38" t="s">
        <v>13</v>
      </c>
      <c r="E7" s="38" t="s">
        <v>3</v>
      </c>
      <c r="F7" s="39" t="s">
        <v>1</v>
      </c>
      <c r="G7" s="239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52"/>
      <c r="AL7" s="64"/>
      <c r="AM7" s="64"/>
    </row>
    <row r="8" spans="1:39" ht="18" customHeight="1" thickBot="1">
      <c r="A8" s="107">
        <v>512.39999999999975</v>
      </c>
      <c r="B8" s="40">
        <v>620.36000000000104</v>
      </c>
      <c r="C8" s="41">
        <v>15.300000000000011</v>
      </c>
      <c r="D8" s="41">
        <v>327.65999999999997</v>
      </c>
      <c r="E8" s="41">
        <v>2358.52</v>
      </c>
      <c r="F8" s="42">
        <v>3400</v>
      </c>
      <c r="G8" s="23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4"/>
      <c r="AL8" s="64"/>
      <c r="AM8" s="64"/>
    </row>
    <row r="9" spans="1:39" ht="18" customHeight="1" thickBot="1">
      <c r="A9" s="241" t="s">
        <v>5</v>
      </c>
      <c r="B9" s="242"/>
      <c r="C9" s="242"/>
      <c r="D9" s="249"/>
      <c r="E9" s="253" t="s">
        <v>6</v>
      </c>
      <c r="F9" s="243"/>
      <c r="G9" s="239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52"/>
      <c r="AL9" s="64"/>
      <c r="AM9" s="64"/>
    </row>
    <row r="10" spans="1:39" ht="18" customHeight="1" thickBot="1">
      <c r="A10" s="250">
        <f>SUM(A8:D8)</f>
        <v>1475.7200000000007</v>
      </c>
      <c r="B10" s="251"/>
      <c r="C10" s="251"/>
      <c r="D10" s="252"/>
      <c r="E10" s="244">
        <f>SUM(E8:F8)</f>
        <v>5758.52</v>
      </c>
      <c r="F10" s="245"/>
      <c r="G10" s="23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4"/>
      <c r="AL10" s="64"/>
      <c r="AM10" s="64"/>
    </row>
    <row r="11" spans="1:39" ht="18" customHeight="1" thickBot="1">
      <c r="A11" s="246" t="s">
        <v>12</v>
      </c>
      <c r="B11" s="247"/>
      <c r="C11" s="247"/>
      <c r="D11" s="247"/>
      <c r="E11" s="247"/>
      <c r="F11" s="248"/>
      <c r="G11" s="240"/>
      <c r="H11" s="48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53"/>
      <c r="AL11" s="64"/>
      <c r="AM11" s="64"/>
    </row>
    <row r="12" spans="1:39" ht="18" customHeight="1">
      <c r="A12" s="108" t="s">
        <v>53</v>
      </c>
      <c r="B12" s="14" t="s">
        <v>54</v>
      </c>
      <c r="C12" s="15" t="s">
        <v>2</v>
      </c>
      <c r="D12" s="15" t="s">
        <v>13</v>
      </c>
      <c r="E12" s="15" t="s">
        <v>3</v>
      </c>
      <c r="F12" s="16" t="s">
        <v>1</v>
      </c>
      <c r="G12" s="261" t="s">
        <v>8</v>
      </c>
      <c r="H12" s="19" t="s">
        <v>54</v>
      </c>
      <c r="I12" s="20" t="s">
        <v>54</v>
      </c>
      <c r="J12" s="20"/>
      <c r="K12" s="20" t="s">
        <v>54</v>
      </c>
      <c r="L12" s="20"/>
      <c r="M12" s="20" t="s">
        <v>54</v>
      </c>
      <c r="N12" s="20"/>
      <c r="O12" s="20"/>
      <c r="P12" s="20" t="s">
        <v>54</v>
      </c>
      <c r="Q12" s="20" t="s">
        <v>54</v>
      </c>
      <c r="R12" s="20" t="s">
        <v>2</v>
      </c>
      <c r="S12" s="20"/>
      <c r="T12" s="20" t="s">
        <v>13</v>
      </c>
      <c r="U12" s="20"/>
      <c r="V12" s="20" t="s">
        <v>54</v>
      </c>
      <c r="W12" s="20"/>
      <c r="X12" s="20" t="s">
        <v>54</v>
      </c>
      <c r="Y12" s="20" t="s">
        <v>54</v>
      </c>
      <c r="Z12" s="23" t="s">
        <v>54</v>
      </c>
      <c r="AA12" s="20" t="s">
        <v>54</v>
      </c>
      <c r="AB12" s="20"/>
      <c r="AC12" s="20" t="s">
        <v>54</v>
      </c>
      <c r="AD12" s="20" t="s">
        <v>2</v>
      </c>
      <c r="AE12" s="20" t="s">
        <v>2</v>
      </c>
      <c r="AF12" s="20" t="s">
        <v>54</v>
      </c>
      <c r="AG12" s="20" t="s">
        <v>54</v>
      </c>
      <c r="AH12" s="20"/>
      <c r="AI12" s="20" t="s">
        <v>54</v>
      </c>
      <c r="AJ12" s="20"/>
      <c r="AK12" s="21" t="s">
        <v>54</v>
      </c>
      <c r="AL12" s="64"/>
      <c r="AM12" s="64"/>
    </row>
    <row r="13" spans="1:39" ht="18" customHeight="1" thickBot="1">
      <c r="A13" s="109">
        <f t="shared" ref="A13:F13" si="0">A8-A3</f>
        <v>512.39999999999975</v>
      </c>
      <c r="B13" s="34">
        <f t="shared" si="0"/>
        <v>-1556.5099999999998</v>
      </c>
      <c r="C13" s="35">
        <f t="shared" si="0"/>
        <v>-90</v>
      </c>
      <c r="D13" s="35">
        <f t="shared" si="0"/>
        <v>317.49</v>
      </c>
      <c r="E13" s="35">
        <f t="shared" si="0"/>
        <v>-594.98999999999978</v>
      </c>
      <c r="F13" s="36">
        <f t="shared" si="0"/>
        <v>-2200</v>
      </c>
      <c r="G13" s="262"/>
      <c r="H13" s="43">
        <v>500</v>
      </c>
      <c r="I13" s="44">
        <v>28.95</v>
      </c>
      <c r="J13" s="44"/>
      <c r="K13" s="44">
        <v>11.59</v>
      </c>
      <c r="L13" s="44"/>
      <c r="M13" s="44">
        <v>218.03</v>
      </c>
      <c r="N13" s="44"/>
      <c r="O13" s="44"/>
      <c r="P13" s="44">
        <v>487.42</v>
      </c>
      <c r="Q13" s="44">
        <v>200</v>
      </c>
      <c r="R13" s="44">
        <v>48</v>
      </c>
      <c r="S13" s="44"/>
      <c r="T13" s="44">
        <v>194.51</v>
      </c>
      <c r="U13" s="44"/>
      <c r="V13" s="44">
        <v>59.65</v>
      </c>
      <c r="W13" s="44"/>
      <c r="X13" s="44">
        <v>100</v>
      </c>
      <c r="Y13" s="44">
        <f>10+4.6</f>
        <v>14.6</v>
      </c>
      <c r="Z13" s="44">
        <v>30</v>
      </c>
      <c r="AA13" s="44">
        <v>27.64</v>
      </c>
      <c r="AB13" s="44"/>
      <c r="AC13" s="44">
        <v>29.75</v>
      </c>
      <c r="AD13" s="44">
        <v>40</v>
      </c>
      <c r="AE13" s="44">
        <f>10</f>
        <v>10</v>
      </c>
      <c r="AF13" s="44">
        <v>9.7799999999999994</v>
      </c>
      <c r="AG13" s="44">
        <v>417</v>
      </c>
      <c r="AH13" s="44"/>
      <c r="AI13" s="44">
        <f>0.52+3.3+6</f>
        <v>9.82</v>
      </c>
      <c r="AJ13" s="44"/>
      <c r="AK13" s="45">
        <v>50.25</v>
      </c>
      <c r="AL13" s="64"/>
      <c r="AM13" s="64"/>
    </row>
    <row r="14" spans="1:39" ht="18" customHeight="1" thickBot="1">
      <c r="A14" s="246" t="s">
        <v>5</v>
      </c>
      <c r="B14" s="247"/>
      <c r="C14" s="247"/>
      <c r="D14" s="264"/>
      <c r="E14" s="257" t="s">
        <v>6</v>
      </c>
      <c r="F14" s="258"/>
      <c r="G14" s="262"/>
      <c r="H14" s="22"/>
      <c r="I14" s="23" t="s">
        <v>54</v>
      </c>
      <c r="J14" s="23"/>
      <c r="K14" s="23" t="s">
        <v>54</v>
      </c>
      <c r="L14" s="23"/>
      <c r="M14" s="23" t="s">
        <v>54</v>
      </c>
      <c r="N14" s="23"/>
      <c r="O14" s="23"/>
      <c r="P14" s="23" t="s">
        <v>53</v>
      </c>
      <c r="Q14" s="23" t="s">
        <v>3</v>
      </c>
      <c r="R14" s="23" t="s">
        <v>3</v>
      </c>
      <c r="S14" s="23"/>
      <c r="T14" s="23" t="s">
        <v>54</v>
      </c>
      <c r="U14" s="23"/>
      <c r="V14" s="23" t="s">
        <v>54</v>
      </c>
      <c r="W14" s="23"/>
      <c r="X14" s="23" t="s">
        <v>54</v>
      </c>
      <c r="Y14" s="23" t="s">
        <v>54</v>
      </c>
      <c r="Z14" s="23" t="s">
        <v>54</v>
      </c>
      <c r="AA14" s="23" t="s">
        <v>54</v>
      </c>
      <c r="AB14" s="23"/>
      <c r="AC14" s="23" t="s">
        <v>2</v>
      </c>
      <c r="AD14" s="23"/>
      <c r="AE14" s="23" t="s">
        <v>2</v>
      </c>
      <c r="AF14" s="23" t="s">
        <v>54</v>
      </c>
      <c r="AG14" s="23" t="s">
        <v>53</v>
      </c>
      <c r="AH14" s="23"/>
      <c r="AI14" s="23" t="s">
        <v>54</v>
      </c>
      <c r="AJ14" s="23"/>
      <c r="AK14" s="24" t="s">
        <v>54</v>
      </c>
      <c r="AL14" s="64"/>
      <c r="AM14" s="64"/>
    </row>
    <row r="15" spans="1:39" ht="18" customHeight="1" thickBot="1">
      <c r="A15" s="265">
        <f>SUM(A13:D13)</f>
        <v>-816.62000000000012</v>
      </c>
      <c r="B15" s="266"/>
      <c r="C15" s="266"/>
      <c r="D15" s="267"/>
      <c r="E15" s="259">
        <f>SUM(E13:F13)</f>
        <v>-2794.99</v>
      </c>
      <c r="F15" s="260"/>
      <c r="G15" s="262"/>
      <c r="H15" s="43"/>
      <c r="I15" s="44">
        <v>206.1</v>
      </c>
      <c r="J15" s="44"/>
      <c r="K15" s="44">
        <v>100.12</v>
      </c>
      <c r="L15" s="44"/>
      <c r="M15" s="44">
        <v>7.7</v>
      </c>
      <c r="N15" s="44"/>
      <c r="O15" s="44"/>
      <c r="P15" s="44">
        <v>5</v>
      </c>
      <c r="Q15" s="44">
        <v>511.2</v>
      </c>
      <c r="R15" s="44">
        <v>81.790000000000006</v>
      </c>
      <c r="S15" s="44"/>
      <c r="T15" s="44">
        <v>350</v>
      </c>
      <c r="U15" s="44"/>
      <c r="V15" s="44">
        <v>0.7</v>
      </c>
      <c r="W15" s="44"/>
      <c r="X15" s="44">
        <v>100.04</v>
      </c>
      <c r="Y15" s="44">
        <v>900</v>
      </c>
      <c r="Z15" s="44">
        <v>28</v>
      </c>
      <c r="AA15" s="44">
        <v>63.52</v>
      </c>
      <c r="AB15" s="44"/>
      <c r="AC15" s="44">
        <v>39.5</v>
      </c>
      <c r="AD15" s="44"/>
      <c r="AE15" s="44">
        <v>2.5</v>
      </c>
      <c r="AF15" s="44">
        <v>100.11</v>
      </c>
      <c r="AG15" s="44">
        <f>45+105.4</f>
        <v>150.4</v>
      </c>
      <c r="AH15" s="44"/>
      <c r="AI15" s="44">
        <v>4.4800000000000004</v>
      </c>
      <c r="AJ15" s="44"/>
      <c r="AK15" s="45">
        <v>56.92</v>
      </c>
      <c r="AL15" s="64"/>
      <c r="AM15" s="64"/>
    </row>
    <row r="16" spans="1:39" ht="18" customHeight="1">
      <c r="G16" s="262"/>
      <c r="H16" s="22"/>
      <c r="I16" s="23" t="s">
        <v>54</v>
      </c>
      <c r="J16" s="23"/>
      <c r="K16" s="23" t="s">
        <v>54</v>
      </c>
      <c r="L16" s="23"/>
      <c r="M16" s="23" t="s">
        <v>54</v>
      </c>
      <c r="N16" s="23"/>
      <c r="O16" s="23"/>
      <c r="P16" s="23"/>
      <c r="Q16" s="23"/>
      <c r="R16" s="23" t="s">
        <v>54</v>
      </c>
      <c r="S16" s="23"/>
      <c r="T16" s="23" t="s">
        <v>54</v>
      </c>
      <c r="U16" s="23"/>
      <c r="V16" s="23" t="s">
        <v>3</v>
      </c>
      <c r="W16" s="23"/>
      <c r="X16" s="23" t="s">
        <v>54</v>
      </c>
      <c r="Y16" s="23" t="s">
        <v>54</v>
      </c>
      <c r="Z16" s="23" t="s">
        <v>54</v>
      </c>
      <c r="AA16" s="23" t="s">
        <v>54</v>
      </c>
      <c r="AB16" s="23"/>
      <c r="AC16" s="23"/>
      <c r="AD16" s="23"/>
      <c r="AE16" s="23"/>
      <c r="AF16" s="23" t="s">
        <v>54</v>
      </c>
      <c r="AG16" s="23" t="s">
        <v>53</v>
      </c>
      <c r="AH16" s="23"/>
      <c r="AI16" s="23" t="s">
        <v>54</v>
      </c>
      <c r="AJ16" s="23"/>
      <c r="AK16" s="24" t="s">
        <v>54</v>
      </c>
      <c r="AL16" s="64"/>
      <c r="AM16" s="64"/>
    </row>
    <row r="17" spans="1:39" ht="18" customHeight="1">
      <c r="G17" s="262"/>
      <c r="H17" s="43"/>
      <c r="I17" s="44">
        <f>7.8+2.1+1.12</f>
        <v>11.02</v>
      </c>
      <c r="J17" s="44"/>
      <c r="K17" s="44">
        <f>6.82+9.76</f>
        <v>16.579999999999998</v>
      </c>
      <c r="L17" s="44"/>
      <c r="M17" s="44">
        <v>68.290000000000006</v>
      </c>
      <c r="N17" s="44"/>
      <c r="O17" s="44"/>
      <c r="P17" s="44"/>
      <c r="Q17" s="44"/>
      <c r="R17" s="44">
        <v>20</v>
      </c>
      <c r="S17" s="44"/>
      <c r="T17" s="44">
        <v>10</v>
      </c>
      <c r="U17" s="44"/>
      <c r="V17" s="44">
        <v>2</v>
      </c>
      <c r="W17" s="44"/>
      <c r="X17" s="44">
        <v>9.92</v>
      </c>
      <c r="Y17" s="44">
        <v>29.75</v>
      </c>
      <c r="Z17" s="44">
        <v>14</v>
      </c>
      <c r="AA17" s="44">
        <f>2.96+4.72</f>
        <v>7.68</v>
      </c>
      <c r="AB17" s="44"/>
      <c r="AC17" s="44"/>
      <c r="AD17" s="44"/>
      <c r="AE17" s="44"/>
      <c r="AF17" s="44">
        <v>709.74</v>
      </c>
      <c r="AG17" s="44">
        <f>248.94+72.98+188</f>
        <v>509.92</v>
      </c>
      <c r="AH17" s="44"/>
      <c r="AI17" s="44">
        <v>108.36</v>
      </c>
      <c r="AJ17" s="44"/>
      <c r="AK17" s="45">
        <f>6.16+9.5+1.04+3.28+4.54</f>
        <v>24.52</v>
      </c>
      <c r="AL17" s="64"/>
      <c r="AM17" s="64"/>
    </row>
    <row r="18" spans="1:39" ht="18" customHeight="1">
      <c r="G18" s="262"/>
      <c r="H18" s="22"/>
      <c r="I18" s="23" t="s">
        <v>54</v>
      </c>
      <c r="J18" s="23"/>
      <c r="K18" s="23" t="s">
        <v>2</v>
      </c>
      <c r="L18" s="23"/>
      <c r="M18" s="23" t="s">
        <v>54</v>
      </c>
      <c r="N18" s="23"/>
      <c r="O18" s="23"/>
      <c r="P18" s="23"/>
      <c r="Q18" s="23"/>
      <c r="R18" s="23" t="s">
        <v>1</v>
      </c>
      <c r="S18" s="23"/>
      <c r="T18" s="23"/>
      <c r="U18" s="23"/>
      <c r="V18" s="23"/>
      <c r="W18" s="23"/>
      <c r="X18" s="23" t="s">
        <v>2</v>
      </c>
      <c r="Y18" s="23" t="s">
        <v>53</v>
      </c>
      <c r="Z18" s="23"/>
      <c r="AA18" s="23" t="s">
        <v>13</v>
      </c>
      <c r="AB18" s="23"/>
      <c r="AC18" s="23"/>
      <c r="AD18" s="23"/>
      <c r="AE18" s="23"/>
      <c r="AF18" s="23" t="s">
        <v>54</v>
      </c>
      <c r="AG18" s="23"/>
      <c r="AH18" s="23"/>
      <c r="AI18" s="23" t="s">
        <v>53</v>
      </c>
      <c r="AJ18" s="23"/>
      <c r="AK18" s="24" t="s">
        <v>54</v>
      </c>
      <c r="AL18" s="64"/>
      <c r="AM18" s="64"/>
    </row>
    <row r="19" spans="1:39" ht="18" customHeight="1">
      <c r="G19" s="262"/>
      <c r="H19" s="43"/>
      <c r="I19" s="44">
        <v>34.44</v>
      </c>
      <c r="J19" s="44"/>
      <c r="K19" s="44">
        <v>100</v>
      </c>
      <c r="L19" s="44"/>
      <c r="M19" s="44">
        <f>3.94+3.42+4.6</f>
        <v>11.959999999999999</v>
      </c>
      <c r="N19" s="44"/>
      <c r="O19" s="44"/>
      <c r="P19" s="44"/>
      <c r="Q19" s="44"/>
      <c r="R19" s="44">
        <v>2200</v>
      </c>
      <c r="S19" s="44"/>
      <c r="T19" s="44"/>
      <c r="U19" s="44"/>
      <c r="V19" s="44"/>
      <c r="W19" s="44"/>
      <c r="X19" s="44">
        <v>150</v>
      </c>
      <c r="Y19" s="44">
        <v>60</v>
      </c>
      <c r="Z19" s="44"/>
      <c r="AA19" s="44">
        <v>150</v>
      </c>
      <c r="AB19" s="44"/>
      <c r="AC19" s="44"/>
      <c r="AD19" s="44"/>
      <c r="AE19" s="44"/>
      <c r="AF19" s="44">
        <v>3.35</v>
      </c>
      <c r="AG19" s="44"/>
      <c r="AH19" s="44"/>
      <c r="AI19" s="44">
        <f>265+2.35</f>
        <v>267.35000000000002</v>
      </c>
      <c r="AJ19" s="44"/>
      <c r="AK19" s="45">
        <v>137.72999999999999</v>
      </c>
      <c r="AL19" s="64"/>
      <c r="AM19" s="64"/>
    </row>
    <row r="20" spans="1:39" ht="18" customHeight="1">
      <c r="G20" s="26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 t="s">
        <v>53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4"/>
      <c r="AL20" s="64"/>
      <c r="AM20" s="64"/>
    </row>
    <row r="21" spans="1:39" ht="18" customHeight="1" thickBot="1">
      <c r="G21" s="263"/>
      <c r="H21" s="50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>
        <v>2.35</v>
      </c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4"/>
      <c r="AL21" s="64"/>
      <c r="AM21" s="64"/>
    </row>
    <row r="22" spans="1:39" ht="18" customHeight="1">
      <c r="G22" s="301" t="s">
        <v>10</v>
      </c>
      <c r="H22" s="110">
        <f>IF($H$2=$A$2,A3+$H$3,A3)+IF($H$4=$A$2,$H$5,0)+IF($H$6=$A$2,$H$7,0)+IF($H$8=$A$2,$H$9,0)+IF($H$10=$A$2,$H$11,0)-IF($H$12=$A$2,$H$13,0)-IF($H$14=$A$2,$H$15,0)-IF($H$16=$A$2,$H$17,0)-IF($H$18=$A$2,$H$19,0)-IF($H$20=$A$2,$H$21,0)</f>
        <v>0</v>
      </c>
      <c r="I22" s="25">
        <f>IF(I$2=$A$2,H22+I$3,H22)+IF(I$4=$A$2,I$5,0)+IF(I$6=$A$2,I$7,0)+IF(I$8=$A$2,I$9,0)+IF(I$10=$A$2,I$11,0)-IF(I$12=$A$2,I$13,0)-IF(I$14=$A$2,I$15,0)-IF(I$16=$A$2,I$17,0)-IF(I$18=$A$2,I$19,0)-IF(I$20=$A$2,I$21,0)</f>
        <v>0</v>
      </c>
      <c r="J22" s="25">
        <f t="shared" ref="J22:N22" si="1">IF(J$2=$A$2,I22+J$3,I22)+IF(J$4=$A$2,J$5,0)+IF(J$6=$A$2,J$7,0)+IF(J$8=$A$2,J$9,0)+IF(J$10=$A$2,J$11,0)-IF(J$12=$A$2,J$13,0)-IF(J$14=$A$2,J$15,0)-IF(J$16=$A$2,J$17,0)-IF(J$18=$A$2,J$19,0)-IF(J$20=$A$2,J$21,0)</f>
        <v>0</v>
      </c>
      <c r="K22" s="25">
        <f t="shared" si="1"/>
        <v>0</v>
      </c>
      <c r="L22" s="25">
        <f t="shared" si="1"/>
        <v>0</v>
      </c>
      <c r="M22" s="25">
        <f t="shared" si="1"/>
        <v>0</v>
      </c>
      <c r="N22" s="25">
        <f t="shared" si="1"/>
        <v>0</v>
      </c>
      <c r="O22" s="25">
        <f t="shared" ref="O22:R22" si="2">IF(O$2=$A$2,N22+O$3,N22)+IF(O$4=$A$2,O$5,0)+IF(O$6=$A$2,O$7,0)+IF(O$8=$A$2,O$9,0)+IF(O$10=$A$2,O$11,0)-IF(O$12=$A$2,O$13,0)-IF(O$14=$A$2,O$15,0)-IF(O$16=$A$2,O$17,0)-IF(O$18=$A$2,O$19,0)-IF(O$20=$A$2,O$21,0)</f>
        <v>0</v>
      </c>
      <c r="P22" s="25">
        <f t="shared" si="2"/>
        <v>482.42</v>
      </c>
      <c r="Q22" s="25">
        <f t="shared" si="2"/>
        <v>482.42</v>
      </c>
      <c r="R22" s="25">
        <f t="shared" si="2"/>
        <v>482.42</v>
      </c>
      <c r="S22" s="25">
        <f t="shared" ref="S22" si="3">IF(S$2=$A$2,R22+S$3,R22)+IF(S$4=$A$2,S$5,0)+IF(S$6=$A$2,S$7,0)+IF(S$8=$A$2,S$9,0)+IF(S$10=$A$2,S$11,0)-IF(S$12=$A$2,S$13,0)-IF(S$14=$A$2,S$15,0)-IF(S$16=$A$2,S$17,0)-IF(S$18=$A$2,S$19,0)-IF(S$20=$A$2,S$21,0)</f>
        <v>482.42</v>
      </c>
      <c r="T22" s="25">
        <f t="shared" ref="T22" si="4">IF(T$2=$A$2,S22+T$3,S22)+IF(T$4=$A$2,T$5,0)+IF(T$6=$A$2,T$7,0)+IF(T$8=$A$2,T$9,0)+IF(T$10=$A$2,T$11,0)-IF(T$12=$A$2,T$13,0)-IF(T$14=$A$2,T$15,0)-IF(T$16=$A$2,T$17,0)-IF(T$18=$A$2,T$19,0)-IF(T$20=$A$2,T$21,0)</f>
        <v>482.42</v>
      </c>
      <c r="U22" s="25">
        <f t="shared" ref="U22" si="5">IF(U$2=$A$2,T22+U$3,T22)+IF(U$4=$A$2,U$5,0)+IF(U$6=$A$2,U$7,0)+IF(U$8=$A$2,U$9,0)+IF(U$10=$A$2,U$11,0)-IF(U$12=$A$2,U$13,0)-IF(U$14=$A$2,U$15,0)-IF(U$16=$A$2,U$17,0)-IF(U$18=$A$2,U$19,0)-IF(U$20=$A$2,U$21,0)</f>
        <v>482.42</v>
      </c>
      <c r="V22" s="25">
        <f t="shared" ref="V22" si="6">IF(V$2=$A$2,U22+V$3,U22)+IF(V$4=$A$2,V$5,0)+IF(V$6=$A$2,V$7,0)+IF(V$8=$A$2,V$9,0)+IF(V$10=$A$2,V$11,0)-IF(V$12=$A$2,V$13,0)-IF(V$14=$A$2,V$15,0)-IF(V$16=$A$2,V$17,0)-IF(V$18=$A$2,V$19,0)-IF(V$20=$A$2,V$21,0)</f>
        <v>482.42</v>
      </c>
      <c r="W22" s="25">
        <f t="shared" ref="W22" si="7">IF(W$2=$A$2,V22+W$3,V22)+IF(W$4=$A$2,W$5,0)+IF(W$6=$A$2,W$7,0)+IF(W$8=$A$2,W$9,0)+IF(W$10=$A$2,W$11,0)-IF(W$12=$A$2,W$13,0)-IF(W$14=$A$2,W$15,0)-IF(W$16=$A$2,W$17,0)-IF(W$18=$A$2,W$19,0)-IF(W$20=$A$2,W$21,0)</f>
        <v>482.42</v>
      </c>
      <c r="X22" s="25">
        <f t="shared" ref="X22:AA22" si="8">IF(X$2=$A$2,W22+X$3,W22)+IF(X$4=$A$2,X$5,0)+IF(X$6=$A$2,X$7,0)+IF(X$8=$A$2,X$9,0)+IF(X$10=$A$2,X$11,0)-IF(X$12=$A$2,X$13,0)-IF(X$14=$A$2,X$15,0)-IF(X$16=$A$2,X$17,0)-IF(X$18=$A$2,X$19,0)-IF(X$20=$A$2,X$21,0)</f>
        <v>482.42</v>
      </c>
      <c r="Y22" s="25">
        <f t="shared" si="8"/>
        <v>440.07</v>
      </c>
      <c r="Z22" s="25">
        <f t="shared" si="8"/>
        <v>440.07</v>
      </c>
      <c r="AA22" s="25">
        <f t="shared" si="8"/>
        <v>440.07</v>
      </c>
      <c r="AB22" s="25">
        <f t="shared" ref="AB22" si="9">IF(AB$2=$A$2,AA22+AB$3,AA22)+IF(AB$4=$A$2,AB$5,0)+IF(AB$6=$A$2,AB$7,0)+IF(AB$8=$A$2,AB$9,0)+IF(AB$10=$A$2,AB$11,0)-IF(AB$12=$A$2,AB$13,0)-IF(AB$14=$A$2,AB$15,0)-IF(AB$16=$A$2,AB$17,0)-IF(AB$18=$A$2,AB$19,0)-IF(AB$20=$A$2,AB$21,0)</f>
        <v>440.07</v>
      </c>
      <c r="AC22" s="25">
        <f t="shared" ref="AC22" si="10">IF(AC$2=$A$2,AB22+AC$3,AB22)+IF(AC$4=$A$2,AC$5,0)+IF(AC$6=$A$2,AC$7,0)+IF(AC$8=$A$2,AC$9,0)+IF(AC$10=$A$2,AC$11,0)-IF(AC$12=$A$2,AC$13,0)-IF(AC$14=$A$2,AC$15,0)-IF(AC$16=$A$2,AC$17,0)-IF(AC$18=$A$2,AC$19,0)-IF(AC$20=$A$2,AC$21,0)</f>
        <v>440.07</v>
      </c>
      <c r="AD22" s="25">
        <f t="shared" ref="AD22" si="11">IF(AD$2=$A$2,AC22+AD$3,AC22)+IF(AD$4=$A$2,AD$5,0)+IF(AD$6=$A$2,AD$7,0)+IF(AD$8=$A$2,AD$9,0)+IF(AD$10=$A$2,AD$11,0)-IF(AD$12=$A$2,AD$13,0)-IF(AD$14=$A$2,AD$15,0)-IF(AD$16=$A$2,AD$17,0)-IF(AD$18=$A$2,AD$19,0)-IF(AD$20=$A$2,AD$21,0)</f>
        <v>440.07</v>
      </c>
      <c r="AE22" s="25">
        <f t="shared" ref="AE22" si="12">IF(AE$2=$A$2,AD22+AE$3,AD22)+IF(AE$4=$A$2,AE$5,0)+IF(AE$6=$A$2,AE$7,0)+IF(AE$8=$A$2,AE$9,0)+IF(AE$10=$A$2,AE$11,0)-IF(AE$12=$A$2,AE$13,0)-IF(AE$14=$A$2,AE$15,0)-IF(AE$16=$A$2,AE$17,0)-IF(AE$18=$A$2,AE$19,0)-IF(AE$20=$A$2,AE$21,0)</f>
        <v>440.07</v>
      </c>
      <c r="AF22" s="25">
        <f t="shared" ref="AF22:AG22" si="13">IF(AF$2=$A$2,AE22+AF$3,AE22)+IF(AF$4=$A$2,AF$5,0)+IF(AF$6=$A$2,AF$7,0)+IF(AF$8=$A$2,AF$9,0)+IF(AF$10=$A$2,AF$11,0)-IF(AF$12=$A$2,AF$13,0)-IF(AF$14=$A$2,AF$15,0)-IF(AF$16=$A$2,AF$17,0)-IF(AF$18=$A$2,AF$19,0)-IF(AF$20=$A$2,AF$21,0)</f>
        <v>1440.07</v>
      </c>
      <c r="AG22" s="25">
        <f t="shared" si="13"/>
        <v>779.74999999999977</v>
      </c>
      <c r="AH22" s="25">
        <f t="shared" ref="AH22" si="14">IF(AH$2=$A$2,AG22+AH$3,AG22)+IF(AH$4=$A$2,AH$5,0)+IF(AH$6=$A$2,AH$7,0)+IF(AH$8=$A$2,AH$9,0)+IF(AH$10=$A$2,AH$11,0)-IF(AH$12=$A$2,AH$13,0)-IF(AH$14=$A$2,AH$15,0)-IF(AH$16=$A$2,AH$17,0)-IF(AH$18=$A$2,AH$19,0)-IF(AH$20=$A$2,AH$21,0)</f>
        <v>779.74999999999977</v>
      </c>
      <c r="AI22" s="25">
        <f t="shared" ref="AI22" si="15">IF(AI$2=$A$2,AH22+AI$3,AH22)+IF(AI$4=$A$2,AI$5,0)+IF(AI$6=$A$2,AI$7,0)+IF(AI$8=$A$2,AI$9,0)+IF(AI$10=$A$2,AI$11,0)-IF(AI$12=$A$2,AI$13,0)-IF(AI$14=$A$2,AI$15,0)-IF(AI$16=$A$2,AI$17,0)-IF(AI$18=$A$2,AI$19,0)-IF(AI$20=$A$2,AI$21,0)</f>
        <v>512.39999999999975</v>
      </c>
      <c r="AJ22" s="25">
        <f t="shared" ref="AJ22" si="16">IF(AJ$2=$A$2,AI22+AJ$3,AI22)+IF(AJ$4=$A$2,AJ$5,0)+IF(AJ$6=$A$2,AJ$7,0)+IF(AJ$8=$A$2,AJ$9,0)+IF(AJ$10=$A$2,AJ$11,0)-IF(AJ$12=$A$2,AJ$13,0)-IF(AJ$14=$A$2,AJ$15,0)-IF(AJ$16=$A$2,AJ$17,0)-IF(AJ$18=$A$2,AJ$19,0)-IF(AJ$20=$A$2,AJ$21,0)</f>
        <v>512.39999999999975</v>
      </c>
      <c r="AK22" s="126">
        <f t="shared" ref="AK22" si="17">IF(AK$2=$A$2,AJ22+AK$3,AJ22)+IF(AK$4=$A$2,AK$5,0)+IF(AK$6=$A$2,AK$7,0)+IF(AK$8=$A$2,AK$9,0)+IF(AK$10=$A$2,AK$11,0)-IF(AK$12=$A$2,AK$13,0)-IF(AK$14=$A$2,AK$15,0)-IF(AK$16=$A$2,AK$17,0)-IF(AK$18=$A$2,AK$19,0)-IF(AK$20=$A$2,AK$21,0)</f>
        <v>512.39999999999975</v>
      </c>
      <c r="AL22" s="64"/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1676.8700000000008</v>
      </c>
      <c r="I23" s="25">
        <f>IF(I$2=$B$2,H23+I$3,H23)+IF(I$4=$B$2,I$5,0)+IF(I$6=$B$2,I$7,0)+IF(I$8=$B$2,I$9,0)+IF(I$10=$B$2,I$11,0)-IF(I$12=$B$2,I$13,0)-IF(I$14=$B$2,I$15,0)-IF(I$16=$B$2,I$17,0)-IF(I$18=$B$2,I$19,0)-IF(I$20=$B$2,I$21,0)</f>
        <v>1396.3600000000008</v>
      </c>
      <c r="J23" s="25">
        <f>IF(J2=$B$2,I23+J3,I23)+IF(J4=$B$2,J5,0)+IF(J6=$B$2,J7,0)+IF(J8=$B$2,J9,0)+IF(J10=$B$2,J11,0)-IF(J12=$B$2,J13,0)-IF(J14=$B$2,J15,0)-IF(J16=$B$2,J17,0)-IF(J18=$B$2,J19,0)-IF(J20=$B$2,J21,0)</f>
        <v>4559.3600000000006</v>
      </c>
      <c r="K23" s="25">
        <f>IF(K2=$B$2,J23+K3,J23)+IF(K4=$B$2,K5,0)+IF(K6=$B$2,K7,0)+IF(K8=$B$2,K9,0)+IF(K10=$B$2,K11,0)-IF(K12=$B$2,K13,0)-IF(K14=$B$2,K15,0)-IF(K16=$B$2,K17,0)-IF(K18=$B$2,K19,0)-IF(K20=$B$2,K21,0)</f>
        <v>4431.0700000000006</v>
      </c>
      <c r="L23" s="25">
        <f>IF(L2=$B$2,K23+L3,K23)+IF(L4=$B$2,L5,0)+IF(L6=$B$2,L7,0)+IF(L8=$B$2,L9,0)+IF(L10=$B$2,L11,0)-IF(L12=$B$2,L13,0)-IF(L14=$B$2,L15,0)-IF(L16=$B$2,L17,0)-IF(L18=$B$2,L19,0)-IF(L20=$B$2,L21,0)</f>
        <v>4431.0700000000006</v>
      </c>
      <c r="M23" s="25">
        <f>IF(M2=$B$2,L23+M3,L23)+IF(M4=$B$2,M5,0)+IF(M6=$B$2,M7,0)+IF(M8=$B$2,M9,0)+IF(M10=$B$2,M11,0)-IF(M12=$B$2,M13,0)-IF(M14=$B$2,M15,0)-IF(M16=$B$2,M17,0)-IF(M18=$B$2,M19,0)-IF(M20=$B$2,M21,0)</f>
        <v>4125.0900000000011</v>
      </c>
      <c r="N23" s="25">
        <f>IF(N2=$B$2,M23+N3,M23)+IF(N4=$B$2,N5,0)+IF(N6=$B$2,N7,0)+IF(N8=$B$2,N9,0)+IF(N10=$B$2,N11,0)-IF(N12=$B$2,N13,0)-IF(N14=$B$2,N15,0)-IF(N16=$B$2,N17,0)-IF(N18=$B$2,N19,0)-IF(N20=$B$2,N21,0)</f>
        <v>4125.0900000000011</v>
      </c>
      <c r="O23" s="25">
        <f t="shared" ref="O23:R23" si="18">IF(O2=$B$2,N23+O3,N23)+IF(O4=$B$2,O5,0)+IF(O6=$B$2,O7,0)+IF(O8=$B$2,O9,0)+IF(O10=$B$2,O11,0)-IF(O12=$B$2,O13,0)-IF(O14=$B$2,O15,0)-IF(O16=$B$2,O17,0)-IF(O18=$B$2,O19,0)-IF(O20=$B$2,O21,0)</f>
        <v>4125.0900000000011</v>
      </c>
      <c r="P23" s="25">
        <f t="shared" si="18"/>
        <v>3637.670000000001</v>
      </c>
      <c r="Q23" s="25">
        <f t="shared" si="18"/>
        <v>3437.670000000001</v>
      </c>
      <c r="R23" s="25">
        <f t="shared" si="18"/>
        <v>3417.670000000001</v>
      </c>
      <c r="S23" s="25">
        <f t="shared" ref="S23" si="19">IF(S2=$B$2,R23+S3,R23)+IF(S4=$B$2,S5,0)+IF(S6=$B$2,S7,0)+IF(S8=$B$2,S9,0)+IF(S10=$B$2,S11,0)-IF(S12=$B$2,S13,0)-IF(S14=$B$2,S15,0)-IF(S16=$B$2,S17,0)-IF(S18=$B$2,S19,0)-IF(S20=$B$2,S21,0)</f>
        <v>3417.670000000001</v>
      </c>
      <c r="T23" s="25">
        <f t="shared" ref="T23" si="20">IF(T2=$B$2,S23+T3,S23)+IF(T4=$B$2,T5,0)+IF(T6=$B$2,T7,0)+IF(T8=$B$2,T9,0)+IF(T10=$B$2,T11,0)-IF(T12=$B$2,T13,0)-IF(T14=$B$2,T15,0)-IF(T16=$B$2,T17,0)-IF(T18=$B$2,T19,0)-IF(T20=$B$2,T21,0)</f>
        <v>3057.670000000001</v>
      </c>
      <c r="U23" s="25">
        <f t="shared" ref="U23" si="21">IF(U2=$B$2,T23+U3,T23)+IF(U4=$B$2,U5,0)+IF(U6=$B$2,U7,0)+IF(U8=$B$2,U9,0)+IF(U10=$B$2,U11,0)-IF(U12=$B$2,U13,0)-IF(U14=$B$2,U15,0)-IF(U16=$B$2,U17,0)-IF(U18=$B$2,U19,0)-IF(U20=$B$2,U21,0)</f>
        <v>3057.670000000001</v>
      </c>
      <c r="V23" s="25">
        <f t="shared" ref="V23" si="22">IF(V2=$B$2,U23+V3,U23)+IF(V4=$B$2,V5,0)+IF(V6=$B$2,V7,0)+IF(V8=$B$2,V9,0)+IF(V10=$B$2,V11,0)-IF(V12=$B$2,V13,0)-IF(V14=$B$2,V15,0)-IF(V16=$B$2,V17,0)-IF(V18=$B$2,V19,0)-IF(V20=$B$2,V21,0)</f>
        <v>2997.3200000000011</v>
      </c>
      <c r="W23" s="25">
        <f t="shared" ref="W23" si="23">IF(W2=$B$2,V23+W3,V23)+IF(W4=$B$2,W5,0)+IF(W6=$B$2,W7,0)+IF(W8=$B$2,W9,0)+IF(W10=$B$2,W11,0)-IF(W12=$B$2,W13,0)-IF(W14=$B$2,W15,0)-IF(W16=$B$2,W17,0)-IF(W18=$B$2,W19,0)-IF(W20=$B$2,W21,0)</f>
        <v>2997.3200000000011</v>
      </c>
      <c r="X23" s="25">
        <f t="shared" ref="X23:AA23" si="24">IF(X2=$B$2,W23+X3,W23)+IF(X4=$B$2,X5,0)+IF(X6=$B$2,X7,0)+IF(X8=$B$2,X9,0)+IF(X10=$B$2,X11,0)-IF(X12=$B$2,X13,0)-IF(X14=$B$2,X15,0)-IF(X16=$B$2,X17,0)-IF(X18=$B$2,X19,0)-IF(X20=$B$2,X21,0)</f>
        <v>2787.360000000001</v>
      </c>
      <c r="Y23" s="25">
        <f t="shared" si="24"/>
        <v>1843.0100000000011</v>
      </c>
      <c r="Z23" s="25">
        <f t="shared" si="24"/>
        <v>1771.0100000000011</v>
      </c>
      <c r="AA23" s="25">
        <f t="shared" si="24"/>
        <v>1672.170000000001</v>
      </c>
      <c r="AB23" s="25">
        <f t="shared" ref="AB23" si="25">IF(AB2=$B$2,AA23+AB3,AA23)+IF(AB4=$B$2,AB5,0)+IF(AB6=$B$2,AB7,0)+IF(AB8=$B$2,AB9,0)+IF(AB10=$B$2,AB11,0)-IF(AB12=$B$2,AB13,0)-IF(AB14=$B$2,AB15,0)-IF(AB16=$B$2,AB17,0)-IF(AB18=$B$2,AB19,0)-IF(AB20=$B$2,AB21,0)</f>
        <v>1672.170000000001</v>
      </c>
      <c r="AC23" s="25">
        <f t="shared" ref="AC23" si="26">IF(AC2=$B$2,AB23+AC3,AB23)+IF(AC4=$B$2,AC5,0)+IF(AC6=$B$2,AC7,0)+IF(AC8=$B$2,AC9,0)+IF(AC10=$B$2,AC11,0)-IF(AC12=$B$2,AC13,0)-IF(AC14=$B$2,AC15,0)-IF(AC16=$B$2,AC17,0)-IF(AC18=$B$2,AC19,0)-IF(AC20=$B$2,AC21,0)</f>
        <v>1642.420000000001</v>
      </c>
      <c r="AD23" s="25">
        <f t="shared" ref="AD23" si="27">IF(AD2=$B$2,AC23+AD3,AC23)+IF(AD4=$B$2,AD5,0)+IF(AD6=$B$2,AD7,0)+IF(AD8=$B$2,AD9,0)+IF(AD10=$B$2,AD11,0)-IF(AD12=$B$2,AD13,0)-IF(AD14=$B$2,AD15,0)-IF(AD16=$B$2,AD17,0)-IF(AD18=$B$2,AD19,0)-IF(AD20=$B$2,AD21,0)</f>
        <v>1642.420000000001</v>
      </c>
      <c r="AE23" s="25">
        <f t="shared" ref="AE23" si="28">IF(AE2=$B$2,AD23+AE3,AD23)+IF(AE4=$B$2,AE5,0)+IF(AE6=$B$2,AE7,0)+IF(AE8=$B$2,AE9,0)+IF(AE10=$B$2,AE11,0)-IF(AE12=$B$2,AE13,0)-IF(AE14=$B$2,AE15,0)-IF(AE16=$B$2,AE17,0)-IF(AE18=$B$2,AE19,0)-IF(AE20=$B$2,AE21,0)</f>
        <v>1652.420000000001</v>
      </c>
      <c r="AF23" s="25">
        <f t="shared" ref="AF23:AG23" si="29">IF(AF2=$B$2,AE23+AF3,AE23)+IF(AF4=$B$2,AF5,0)+IF(AF6=$B$2,AF7,0)+IF(AF8=$B$2,AF9,0)+IF(AF10=$B$2,AF11,0)-IF(AF12=$B$2,AF13,0)-IF(AF14=$B$2,AF15,0)-IF(AF16=$B$2,AF17,0)-IF(AF18=$B$2,AF19,0)-IF(AF20=$B$2,AF21,0)</f>
        <v>829.44000000000108</v>
      </c>
      <c r="AG23" s="25">
        <f t="shared" si="29"/>
        <v>412.44000000000108</v>
      </c>
      <c r="AH23" s="25">
        <f t="shared" ref="AH23" si="30">IF(AH2=$B$2,AG23+AH3,AG23)+IF(AH4=$B$2,AH5,0)+IF(AH6=$B$2,AH7,0)+IF(AH8=$B$2,AH9,0)+IF(AH10=$B$2,AH11,0)-IF(AH12=$B$2,AH13,0)-IF(AH14=$B$2,AH15,0)-IF(AH16=$B$2,AH17,0)-IF(AH18=$B$2,AH19,0)-IF(AH20=$B$2,AH21,0)</f>
        <v>412.44000000000108</v>
      </c>
      <c r="AI23" s="25">
        <f t="shared" ref="AI23" si="31">IF(AI2=$B$2,AH23+AI3,AH23)+IF(AI4=$B$2,AI5,0)+IF(AI6=$B$2,AI7,0)+IF(AI8=$B$2,AI9,0)+IF(AI10=$B$2,AI11,0)-IF(AI12=$B$2,AI13,0)-IF(AI14=$B$2,AI15,0)-IF(AI16=$B$2,AI17,0)-IF(AI18=$B$2,AI19,0)-IF(AI20=$B$2,AI21,0)</f>
        <v>889.780000000001</v>
      </c>
      <c r="AJ23" s="25">
        <f t="shared" ref="AJ23" si="32">IF(AJ2=$B$2,AI23+AJ3,AI23)+IF(AJ4=$B$2,AJ5,0)+IF(AJ6=$B$2,AJ7,0)+IF(AJ8=$B$2,AJ9,0)+IF(AJ10=$B$2,AJ11,0)-IF(AJ12=$B$2,AJ13,0)-IF(AJ14=$B$2,AJ15,0)-IF(AJ16=$B$2,AJ17,0)-IF(AJ18=$B$2,AJ19,0)-IF(AJ20=$B$2,AJ21,0)</f>
        <v>889.780000000001</v>
      </c>
      <c r="AK23" s="126">
        <f t="shared" ref="AK23" si="33">IF(AK2=$B$2,AJ23+AK3,AJ23)+IF(AK4=$B$2,AK5,0)+IF(AK6=$B$2,AK7,0)+IF(AK8=$B$2,AK9,0)+IF(AK10=$B$2,AK11,0)-IF(AK12=$B$2,AK13,0)-IF(AK14=$B$2,AK15,0)-IF(AK16=$B$2,AK17,0)-IF(AK18=$B$2,AK19,0)-IF(AK20=$B$2,AK21,0)</f>
        <v>620.36000000000104</v>
      </c>
      <c r="AL23" s="64"/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105.30000000000001</v>
      </c>
      <c r="I24" s="29">
        <f>IF(I$2=$C$2,H24+I$3,H24)+IF(I$4=$C$2,I$5,0)+IF(I$6=$C$2,I$7,0)+IF(I$8=$C$2,I$9,0)+IF(I$10=$C$2,I$11,0)-IF(I$12=$C$2,I$13,0)-IF(I$14=$C$2,I$15,0)-IF(I$16=$C$2,I$17,0)-IF(I$18=$C$2,I$19,0)-IF(I$20=$C$2,I$21,0)</f>
        <v>105.30000000000001</v>
      </c>
      <c r="J24" s="29">
        <f>IF(J$2=$C$2,I24+J$3,I24)+IF(J$4=$C$2,J$5,0)+IF(J$6=$C$2,J$7,0)+IF(J$8=$C$2,J$9,0)+IF(J$10=$C$2,J$11,0)-IF(J$12=$C$2,J$13,0)-IF(J$14=$C$2,J$15,0)-IF(J$16=$C$2,J$17,0)-IF(J$18=$C$2,J$19,0)-IF(J$20=$C$2,J$21,0)</f>
        <v>105.30000000000001</v>
      </c>
      <c r="K24" s="29">
        <f>IF(K$2=$C$2,J24+K$3,J24)+IF(K$4=$C$2,K$5,0)+IF(K$6=$C$2,K$7,0)+IF(K$8=$C$2,K$9,0)+IF(K$10=$C$2,K$11,0)-IF(K$12=$C$2,K$13,0)-IF(K$14=$C$2,K$15,0)-IF(K$16=$C$2,K$17,0)-IF(K$18=$C$2,K$19,0)-IF(K$20=$C$2,K$21,0)</f>
        <v>5.3000000000000114</v>
      </c>
      <c r="L24" s="29">
        <f t="shared" ref="L24:N24" si="34">IF(L$2=$C$2,K24+L$3,K24)+IF(L$4=$C$2,L$5,0)+IF(L$6=$C$2,L$7,0)+IF(L$8=$C$2,L$9,0)+IF(L$10=$C$2,L$11,0)-IF(L$12=$C$2,L$13,0)-IF(L$14=$C$2,L$15,0)-IF(L$16=$C$2,L$17,0)-IF(L$18=$C$2,L$19,0)-IF(L$20=$C$2,L$21,0)</f>
        <v>5.3000000000000114</v>
      </c>
      <c r="M24" s="29">
        <f t="shared" si="34"/>
        <v>5.3000000000000114</v>
      </c>
      <c r="N24" s="29">
        <f t="shared" si="34"/>
        <v>5.3000000000000114</v>
      </c>
      <c r="O24" s="29">
        <f t="shared" ref="O24" si="35">IF(O$2=$C$2,N24+O$3,N24)+IF(O$4=$C$2,O$5,0)+IF(O$6=$C$2,O$7,0)+IF(O$8=$C$2,O$9,0)+IF(O$10=$C$2,O$11,0)-IF(O$12=$C$2,O$13,0)-IF(O$14=$C$2,O$15,0)-IF(O$16=$C$2,O$17,0)-IF(O$18=$C$2,O$19,0)-IF(O$20=$C$2,O$21,0)</f>
        <v>5.3000000000000114</v>
      </c>
      <c r="P24" s="29">
        <f t="shared" ref="P24:R24" si="36">IF(P$2=$C$2,O24+P$3,O24)+IF(P$4=$C$2,P$5,0)+IF(P$6=$C$2,P$7,0)+IF(P$8=$C$2,P$9,0)+IF(P$10=$C$2,P$11,0)-IF(P$12=$C$2,P$13,0)-IF(P$14=$C$2,P$15,0)-IF(P$16=$C$2,P$17,0)-IF(P$18=$C$2,P$19,0)-IF(P$20=$C$2,P$21,0)</f>
        <v>5.3000000000000114</v>
      </c>
      <c r="Q24" s="29">
        <f t="shared" si="36"/>
        <v>205.3</v>
      </c>
      <c r="R24" s="29">
        <f t="shared" si="36"/>
        <v>157.30000000000001</v>
      </c>
      <c r="S24" s="29">
        <f t="shared" ref="S24" si="37">IF(S$2=$C$2,R24+S$3,R24)+IF(S$4=$C$2,S$5,0)+IF(S$6=$C$2,S$7,0)+IF(S$8=$C$2,S$9,0)+IF(S$10=$C$2,S$11,0)-IF(S$12=$C$2,S$13,0)-IF(S$14=$C$2,S$15,0)-IF(S$16=$C$2,S$17,0)-IF(S$18=$C$2,S$19,0)-IF(S$20=$C$2,S$21,0)</f>
        <v>157.30000000000001</v>
      </c>
      <c r="T24" s="29">
        <f t="shared" ref="T24" si="38">IF(T$2=$C$2,S24+T$3,S24)+IF(T$4=$C$2,T$5,0)+IF(T$6=$C$2,T$7,0)+IF(T$8=$C$2,T$9,0)+IF(T$10=$C$2,T$11,0)-IF(T$12=$C$2,T$13,0)-IF(T$14=$C$2,T$15,0)-IF(T$16=$C$2,T$17,0)-IF(T$18=$C$2,T$19,0)-IF(T$20=$C$2,T$21,0)</f>
        <v>157.30000000000001</v>
      </c>
      <c r="U24" s="29">
        <f t="shared" ref="U24" si="39">IF(U$2=$C$2,T24+U$3,T24)+IF(U$4=$C$2,U$5,0)+IF(U$6=$C$2,U$7,0)+IF(U$8=$C$2,U$9,0)+IF(U$10=$C$2,U$11,0)-IF(U$12=$C$2,U$13,0)-IF(U$14=$C$2,U$15,0)-IF(U$16=$C$2,U$17,0)-IF(U$18=$C$2,U$19,0)-IF(U$20=$C$2,U$21,0)</f>
        <v>157.30000000000001</v>
      </c>
      <c r="V24" s="29">
        <f t="shared" ref="V24" si="40">IF(V$2=$C$2,U24+V$3,U24)+IF(V$4=$C$2,V$5,0)+IF(V$6=$C$2,V$7,0)+IF(V$8=$C$2,V$9,0)+IF(V$10=$C$2,V$11,0)-IF(V$12=$C$2,V$13,0)-IF(V$14=$C$2,V$15,0)-IF(V$16=$C$2,V$17,0)-IF(V$18=$C$2,V$19,0)-IF(V$20=$C$2,V$21,0)</f>
        <v>157.30000000000001</v>
      </c>
      <c r="W24" s="29">
        <f t="shared" ref="W24" si="41">IF(W$2=$C$2,V24+W$3,V24)+IF(W$4=$C$2,W$5,0)+IF(W$6=$C$2,W$7,0)+IF(W$8=$C$2,W$9,0)+IF(W$10=$C$2,W$11,0)-IF(W$12=$C$2,W$13,0)-IF(W$14=$C$2,W$15,0)-IF(W$16=$C$2,W$17,0)-IF(W$18=$C$2,W$19,0)-IF(W$20=$C$2,W$21,0)</f>
        <v>157.30000000000001</v>
      </c>
      <c r="X24" s="29">
        <f t="shared" ref="X24:AA24" si="42">IF(X$2=$C$2,W24+X$3,W24)+IF(X$4=$C$2,X$5,0)+IF(X$6=$C$2,X$7,0)+IF(X$8=$C$2,X$9,0)+IF(X$10=$C$2,X$11,0)-IF(X$12=$C$2,X$13,0)-IF(X$14=$C$2,X$15,0)-IF(X$16=$C$2,X$17,0)-IF(X$18=$C$2,X$19,0)-IF(X$20=$C$2,X$21,0)</f>
        <v>107.30000000000001</v>
      </c>
      <c r="Y24" s="29">
        <f t="shared" si="42"/>
        <v>107.30000000000001</v>
      </c>
      <c r="Z24" s="29">
        <f t="shared" si="42"/>
        <v>107.30000000000001</v>
      </c>
      <c r="AA24" s="29">
        <f t="shared" si="42"/>
        <v>107.30000000000001</v>
      </c>
      <c r="AB24" s="29">
        <f t="shared" ref="AB24" si="43">IF(AB$2=$C$2,AA24+AB$3,AA24)+IF(AB$4=$C$2,AB$5,0)+IF(AB$6=$C$2,AB$7,0)+IF(AB$8=$C$2,AB$9,0)+IF(AB$10=$C$2,AB$11,0)-IF(AB$12=$C$2,AB$13,0)-IF(AB$14=$C$2,AB$15,0)-IF(AB$16=$C$2,AB$17,0)-IF(AB$18=$C$2,AB$19,0)-IF(AB$20=$C$2,AB$21,0)</f>
        <v>107.30000000000001</v>
      </c>
      <c r="AC24" s="29">
        <f t="shared" ref="AC24" si="44">IF(AC$2=$C$2,AB24+AC$3,AB24)+IF(AC$4=$C$2,AC$5,0)+IF(AC$6=$C$2,AC$7,0)+IF(AC$8=$C$2,AC$9,0)+IF(AC$10=$C$2,AC$11,0)-IF(AC$12=$C$2,AC$13,0)-IF(AC$14=$C$2,AC$15,0)-IF(AC$16=$C$2,AC$17,0)-IF(AC$18=$C$2,AC$19,0)-IF(AC$20=$C$2,AC$21,0)</f>
        <v>67.800000000000011</v>
      </c>
      <c r="AD24" s="29">
        <f t="shared" ref="AD24" si="45">IF(AD$2=$C$2,AC24+AD$3,AC24)+IF(AD$4=$C$2,AD$5,0)+IF(AD$6=$C$2,AD$7,0)+IF(AD$8=$C$2,AD$9,0)+IF(AD$10=$C$2,AD$11,0)-IF(AD$12=$C$2,AD$13,0)-IF(AD$14=$C$2,AD$15,0)-IF(AD$16=$C$2,AD$17,0)-IF(AD$18=$C$2,AD$19,0)-IF(AD$20=$C$2,AD$21,0)</f>
        <v>27.800000000000011</v>
      </c>
      <c r="AE24" s="29">
        <f t="shared" ref="AE24" si="46">IF(AE$2=$C$2,AD24+AE$3,AD24)+IF(AE$4=$C$2,AE$5,0)+IF(AE$6=$C$2,AE$7,0)+IF(AE$8=$C$2,AE$9,0)+IF(AE$10=$C$2,AE$11,0)-IF(AE$12=$C$2,AE$13,0)-IF(AE$14=$C$2,AE$15,0)-IF(AE$16=$C$2,AE$17,0)-IF(AE$18=$C$2,AE$19,0)-IF(AE$20=$C$2,AE$21,0)</f>
        <v>15.300000000000011</v>
      </c>
      <c r="AF24" s="29">
        <f t="shared" ref="AF24:AG24" si="47">IF(AF$2=$C$2,AE24+AF$3,AE24)+IF(AF$4=$C$2,AF$5,0)+IF(AF$6=$C$2,AF$7,0)+IF(AF$8=$C$2,AF$9,0)+IF(AF$10=$C$2,AF$11,0)-IF(AF$12=$C$2,AF$13,0)-IF(AF$14=$C$2,AF$15,0)-IF(AF$16=$C$2,AF$17,0)-IF(AF$18=$C$2,AF$19,0)-IF(AF$20=$C$2,AF$21,0)</f>
        <v>15.300000000000011</v>
      </c>
      <c r="AG24" s="29">
        <f t="shared" si="47"/>
        <v>15.300000000000011</v>
      </c>
      <c r="AH24" s="29">
        <f t="shared" ref="AH24" si="48">IF(AH$2=$C$2,AG24+AH$3,AG24)+IF(AH$4=$C$2,AH$5,0)+IF(AH$6=$C$2,AH$7,0)+IF(AH$8=$C$2,AH$9,0)+IF(AH$10=$C$2,AH$11,0)-IF(AH$12=$C$2,AH$13,0)-IF(AH$14=$C$2,AH$15,0)-IF(AH$16=$C$2,AH$17,0)-IF(AH$18=$C$2,AH$19,0)-IF(AH$20=$C$2,AH$21,0)</f>
        <v>15.300000000000011</v>
      </c>
      <c r="AI24" s="29">
        <f t="shared" ref="AI24" si="49">IF(AI$2=$C$2,AH24+AI$3,AH24)+IF(AI$4=$C$2,AI$5,0)+IF(AI$6=$C$2,AI$7,0)+IF(AI$8=$C$2,AI$9,0)+IF(AI$10=$C$2,AI$11,0)-IF(AI$12=$C$2,AI$13,0)-IF(AI$14=$C$2,AI$15,0)-IF(AI$16=$C$2,AI$17,0)-IF(AI$18=$C$2,AI$19,0)-IF(AI$20=$C$2,AI$21,0)</f>
        <v>15.300000000000011</v>
      </c>
      <c r="AJ24" s="29">
        <f t="shared" ref="AJ24" si="50">IF(AJ$2=$C$2,AI24+AJ$3,AI24)+IF(AJ$4=$C$2,AJ$5,0)+IF(AJ$6=$C$2,AJ$7,0)+IF(AJ$8=$C$2,AJ$9,0)+IF(AJ$10=$C$2,AJ$11,0)-IF(AJ$12=$C$2,AJ$13,0)-IF(AJ$14=$C$2,AJ$15,0)-IF(AJ$16=$C$2,AJ$17,0)-IF(AJ$18=$C$2,AJ$19,0)-IF(AJ$20=$C$2,AJ$21,0)</f>
        <v>15.300000000000011</v>
      </c>
      <c r="AK24" s="30">
        <f t="shared" ref="AK24" si="51">IF(AK$2=$C$2,AJ24+AK$3,AJ24)+IF(AK$4=$C$2,AK$5,0)+IF(AK$6=$C$2,AK$7,0)+IF(AK$8=$C$2,AK$9,0)+IF(AK$10=$C$2,AK$11,0)-IF(AK$12=$C$2,AK$13,0)-IF(AK$14=$C$2,AK$15,0)-IF(AK$16=$C$2,AK$17,0)-IF(AK$18=$C$2,AK$19,0)-IF(AK$20=$C$2,AK$21,0)</f>
        <v>15.300000000000011</v>
      </c>
      <c r="AL24" s="64"/>
    </row>
    <row r="25" spans="1:39" ht="18" customHeight="1">
      <c r="G25" s="302"/>
      <c r="H25" s="111">
        <f>IF(H$2=$D$2,D3+H$3,D3)+IF(H$4=$D$2,H$5,0)+IF(H$6=$D$2,H$7,0)+IF(H$8=$D$2,H$9,0)+IF(H$10=$D$2,H$11,0)-IF(H$12=$D$2,H$13,0)-IF(H$14=$D$2,H$15,0)-IF(H$16=$D$2,H$17,0)-IF(H$18=$D$2,H$19,0)-IF(H$20=$D$2,H$21,0)</f>
        <v>10.169999999999987</v>
      </c>
      <c r="I25" s="28">
        <f>IF(I$2=$D$2,H25+I$3,H25)+IF(I$4=$D$2,I$5,0)+IF(I$6=$D$2,I$7,0)+IF(I$8=$D$2,I$9,0)+IF(I$10=$D$2,I$11,0)-IF(I$12=$D$2,I$13,0)-IF(I$14=$D$2,I$15,0)-IF(I$16=$D$2,I$17,0)-IF(I$18=$D$2,I$19,0)-IF(I$20=$D$2,I$21,0)</f>
        <v>10.169999999999987</v>
      </c>
      <c r="J25" s="28">
        <f>IF(J$2=$D$2,I25+J$3,I25)+IF(J$4=$D$2,J$5,0)+IF(J$6=$D$2,J$7,0)+IF(J$8=$D$2,J$9,0)+IF(J$10=$D$2,J$11,0)-IF(J$12=$D$2,J$13,0)-IF(J$14=$D$2,J$15,0)-IF(J$16=$D$2,J$17,0)-IF(J$18=$D$2,J$19,0)-IF(J$20=$D$2,J$21,0)</f>
        <v>10.169999999999987</v>
      </c>
      <c r="K25" s="28">
        <f>IF(K$2=$D$2,J25+K$3,J25)+IF(K$4=$D$2,K$5,0)+IF(K$6=$D$2,K$7,0)+IF(K$8=$D$2,K$9,0)+IF(K$10=$D$2,K$11,0)-IF(K$12=$D$2,K$13,0)-IF(K$14=$D$2,K$15,0)-IF(K$16=$D$2,K$17,0)-IF(K$18=$D$2,K$19,0)-IF(K$20=$D$2,K$21,0)</f>
        <v>10.169999999999987</v>
      </c>
      <c r="L25" s="28">
        <f t="shared" ref="L25:N25" si="52">IF(L$2=$D$2,K25+L$3,K25)+IF(L$4=$D$2,L$5,0)+IF(L$6=$D$2,L$7,0)+IF(L$8=$D$2,L$9,0)+IF(L$10=$D$2,L$11,0)-IF(L$12=$D$2,L$13,0)-IF(L$14=$D$2,L$15,0)-IF(L$16=$D$2,L$17,0)-IF(L$18=$D$2,L$19,0)-IF(L$20=$D$2,L$21,0)</f>
        <v>10.169999999999987</v>
      </c>
      <c r="M25" s="28">
        <f t="shared" si="52"/>
        <v>10.169999999999987</v>
      </c>
      <c r="N25" s="28">
        <f t="shared" si="52"/>
        <v>352.16999999999996</v>
      </c>
      <c r="O25" s="28">
        <f t="shared" ref="O25" si="53">IF(O$2=$D$2,N25+O$3,N25)+IF(O$4=$D$2,O$5,0)+IF(O$6=$D$2,O$7,0)+IF(O$8=$D$2,O$9,0)+IF(O$10=$D$2,O$11,0)-IF(O$12=$D$2,O$13,0)-IF(O$14=$D$2,O$15,0)-IF(O$16=$D$2,O$17,0)-IF(O$18=$D$2,O$19,0)-IF(O$20=$D$2,O$21,0)</f>
        <v>352.16999999999996</v>
      </c>
      <c r="P25" s="28">
        <f t="shared" ref="P25:R25" si="54">IF(P$2=$D$2,O25+P$3,O25)+IF(P$4=$D$2,P$5,0)+IF(P$6=$D$2,P$7,0)+IF(P$8=$D$2,P$9,0)+IF(P$10=$D$2,P$11,0)-IF(P$12=$D$2,P$13,0)-IF(P$14=$D$2,P$15,0)-IF(P$16=$D$2,P$17,0)-IF(P$18=$D$2,P$19,0)-IF(P$20=$D$2,P$21,0)</f>
        <v>352.16999999999996</v>
      </c>
      <c r="Q25" s="28">
        <f t="shared" si="54"/>
        <v>352.16999999999996</v>
      </c>
      <c r="R25" s="28">
        <f t="shared" si="54"/>
        <v>352.16999999999996</v>
      </c>
      <c r="S25" s="28">
        <f t="shared" ref="S25" si="55">IF(S$2=$D$2,R25+S$3,R25)+IF(S$4=$D$2,S$5,0)+IF(S$6=$D$2,S$7,0)+IF(S$8=$D$2,S$9,0)+IF(S$10=$D$2,S$11,0)-IF(S$12=$D$2,S$13,0)-IF(S$14=$D$2,S$15,0)-IF(S$16=$D$2,S$17,0)-IF(S$18=$D$2,S$19,0)-IF(S$20=$D$2,S$21,0)</f>
        <v>352.16999999999996</v>
      </c>
      <c r="T25" s="28">
        <f t="shared" ref="T25" si="56">IF(T$2=$D$2,S25+T$3,S25)+IF(T$4=$D$2,T$5,0)+IF(T$6=$D$2,T$7,0)+IF(T$8=$D$2,T$9,0)+IF(T$10=$D$2,T$11,0)-IF(T$12=$D$2,T$13,0)-IF(T$14=$D$2,T$15,0)-IF(T$16=$D$2,T$17,0)-IF(T$18=$D$2,T$19,0)-IF(T$20=$D$2,T$21,0)</f>
        <v>157.65999999999997</v>
      </c>
      <c r="U25" s="28">
        <f t="shared" ref="U25" si="57">IF(U$2=$D$2,T25+U$3,T25)+IF(U$4=$D$2,U$5,0)+IF(U$6=$D$2,U$7,0)+IF(U$8=$D$2,U$9,0)+IF(U$10=$D$2,U$11,0)-IF(U$12=$D$2,U$13,0)-IF(U$14=$D$2,U$15,0)-IF(U$16=$D$2,U$17,0)-IF(U$18=$D$2,U$19,0)-IF(U$20=$D$2,U$21,0)</f>
        <v>157.65999999999997</v>
      </c>
      <c r="V25" s="28">
        <f t="shared" ref="V25" si="58">IF(V$2=$D$2,U25+V$3,U25)+IF(V$4=$D$2,V$5,0)+IF(V$6=$D$2,V$7,0)+IF(V$8=$D$2,V$9,0)+IF(V$10=$D$2,V$11,0)-IF(V$12=$D$2,V$13,0)-IF(V$14=$D$2,V$15,0)-IF(V$16=$D$2,V$17,0)-IF(V$18=$D$2,V$19,0)-IF(V$20=$D$2,V$21,0)</f>
        <v>157.65999999999997</v>
      </c>
      <c r="W25" s="28">
        <f t="shared" ref="W25" si="59">IF(W$2=$D$2,V25+W$3,V25)+IF(W$4=$D$2,W$5,0)+IF(W$6=$D$2,W$7,0)+IF(W$8=$D$2,W$9,0)+IF(W$10=$D$2,W$11,0)-IF(W$12=$D$2,W$13,0)-IF(W$14=$D$2,W$15,0)-IF(W$16=$D$2,W$17,0)-IF(W$18=$D$2,W$19,0)-IF(W$20=$D$2,W$21,0)</f>
        <v>157.65999999999997</v>
      </c>
      <c r="X25" s="28">
        <f t="shared" ref="X25:AA25" si="60">IF(X$2=$D$2,W25+X$3,W25)+IF(X$4=$D$2,X$5,0)+IF(X$6=$D$2,X$7,0)+IF(X$8=$D$2,X$9,0)+IF(X$10=$D$2,X$11,0)-IF(X$12=$D$2,X$13,0)-IF(X$14=$D$2,X$15,0)-IF(X$16=$D$2,X$17,0)-IF(X$18=$D$2,X$19,0)-IF(X$20=$D$2,X$21,0)</f>
        <v>157.65999999999997</v>
      </c>
      <c r="Y25" s="28">
        <f t="shared" si="60"/>
        <v>157.65999999999997</v>
      </c>
      <c r="Z25" s="28">
        <f t="shared" si="60"/>
        <v>157.65999999999997</v>
      </c>
      <c r="AA25" s="28">
        <f t="shared" si="60"/>
        <v>7.6599999999999682</v>
      </c>
      <c r="AB25" s="28">
        <f t="shared" ref="AB25" si="61">IF(AB$2=$D$2,AA25+AB$3,AA25)+IF(AB$4=$D$2,AB$5,0)+IF(AB$6=$D$2,AB$7,0)+IF(AB$8=$D$2,AB$9,0)+IF(AB$10=$D$2,AB$11,0)-IF(AB$12=$D$2,AB$13,0)-IF(AB$14=$D$2,AB$15,0)-IF(AB$16=$D$2,AB$17,0)-IF(AB$18=$D$2,AB$19,0)-IF(AB$20=$D$2,AB$21,0)</f>
        <v>7.6599999999999682</v>
      </c>
      <c r="AC25" s="28">
        <f t="shared" ref="AC25" si="62">IF(AC$2=$D$2,AB25+AC$3,AB25)+IF(AC$4=$D$2,AC$5,0)+IF(AC$6=$D$2,AC$7,0)+IF(AC$8=$D$2,AC$9,0)+IF(AC$10=$D$2,AC$11,0)-IF(AC$12=$D$2,AC$13,0)-IF(AC$14=$D$2,AC$15,0)-IF(AC$16=$D$2,AC$17,0)-IF(AC$18=$D$2,AC$19,0)-IF(AC$20=$D$2,AC$21,0)</f>
        <v>7.6599999999999682</v>
      </c>
      <c r="AD25" s="28">
        <f t="shared" ref="AD25" si="63">IF(AD$2=$D$2,AC25+AD$3,AC25)+IF(AD$4=$D$2,AD$5,0)+IF(AD$6=$D$2,AD$7,0)+IF(AD$8=$D$2,AD$9,0)+IF(AD$10=$D$2,AD$11,0)-IF(AD$12=$D$2,AD$13,0)-IF(AD$14=$D$2,AD$15,0)-IF(AD$16=$D$2,AD$17,0)-IF(AD$18=$D$2,AD$19,0)-IF(AD$20=$D$2,AD$21,0)</f>
        <v>7.6599999999999682</v>
      </c>
      <c r="AE25" s="28">
        <f t="shared" ref="AE25" si="64">IF(AE$2=$D$2,AD25+AE$3,AD25)+IF(AE$4=$D$2,AE$5,0)+IF(AE$6=$D$2,AE$7,0)+IF(AE$8=$D$2,AE$9,0)+IF(AE$10=$D$2,AE$11,0)-IF(AE$12=$D$2,AE$13,0)-IF(AE$14=$D$2,AE$15,0)-IF(AE$16=$D$2,AE$17,0)-IF(AE$18=$D$2,AE$19,0)-IF(AE$20=$D$2,AE$21,0)</f>
        <v>7.6599999999999682</v>
      </c>
      <c r="AF25" s="28">
        <f t="shared" ref="AF25:AG25" si="65">IF(AF$2=$D$2,AE25+AF$3,AE25)+IF(AF$4=$D$2,AF$5,0)+IF(AF$6=$D$2,AF$7,0)+IF(AF$8=$D$2,AF$9,0)+IF(AF$10=$D$2,AF$11,0)-IF(AF$12=$D$2,AF$13,0)-IF(AF$14=$D$2,AF$15,0)-IF(AF$16=$D$2,AF$17,0)-IF(AF$18=$D$2,AF$19,0)-IF(AF$20=$D$2,AF$21,0)</f>
        <v>7.6599999999999682</v>
      </c>
      <c r="AG25" s="28">
        <f t="shared" si="65"/>
        <v>7.6599999999999682</v>
      </c>
      <c r="AH25" s="28">
        <f t="shared" ref="AH25" si="66">IF(AH$2=$D$2,AG25+AH$3,AG25)+IF(AH$4=$D$2,AH$5,0)+IF(AH$6=$D$2,AH$7,0)+IF(AH$8=$D$2,AH$9,0)+IF(AH$10=$D$2,AH$11,0)-IF(AH$12=$D$2,AH$13,0)-IF(AH$14=$D$2,AH$15,0)-IF(AH$16=$D$2,AH$17,0)-IF(AH$18=$D$2,AH$19,0)-IF(AH$20=$D$2,AH$21,0)</f>
        <v>7.6599999999999682</v>
      </c>
      <c r="AI25" s="28">
        <f t="shared" ref="AI25" si="67">IF(AI$2=$D$2,AH25+AI$3,AH25)+IF(AI$4=$D$2,AI$5,0)+IF(AI$6=$D$2,AI$7,0)+IF(AI$8=$D$2,AI$9,0)+IF(AI$10=$D$2,AI$11,0)-IF(AI$12=$D$2,AI$13,0)-IF(AI$14=$D$2,AI$15,0)-IF(AI$16=$D$2,AI$17,0)-IF(AI$18=$D$2,AI$19,0)-IF(AI$20=$D$2,AI$21,0)</f>
        <v>7.6599999999999682</v>
      </c>
      <c r="AJ25" s="28">
        <f t="shared" ref="AJ25" si="68">IF(AJ$2=$D$2,AI25+AJ$3,AI25)+IF(AJ$4=$D$2,AJ$5,0)+IF(AJ$6=$D$2,AJ$7,0)+IF(AJ$8=$D$2,AJ$9,0)+IF(AJ$10=$D$2,AJ$11,0)-IF(AJ$12=$D$2,AJ$13,0)-IF(AJ$14=$D$2,AJ$15,0)-IF(AJ$16=$D$2,AJ$17,0)-IF(AJ$18=$D$2,AJ$19,0)-IF(AJ$20=$D$2,AJ$21,0)</f>
        <v>7.6599999999999682</v>
      </c>
      <c r="AK25" s="127">
        <f t="shared" ref="AK25" si="69">IF(AK$2=$D$2,AJ25+AK$3,AJ25)+IF(AK$4=$D$2,AK$5,0)+IF(AK$6=$D$2,AK$7,0)+IF(AK$8=$D$2,AK$9,0)+IF(AK$10=$D$2,AK$11,0)-IF(AK$12=$D$2,AK$13,0)-IF(AK$14=$D$2,AK$15,0)-IF(AK$16=$D$2,AK$17,0)-IF(AK$18=$D$2,AK$19,0)-IF(AK$20=$D$2,AK$21,0)</f>
        <v>327.65999999999997</v>
      </c>
      <c r="AL25" s="64"/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2953.5099999999998</v>
      </c>
      <c r="I26" s="28">
        <f>IF(I$2=$E$2,H26+I$3,H26)+IF(I$4=$E$2,I$5,0)+IF(I$6=$E$2,I$7,0)+IF(I$8=$E$2,I$9,0)+IF(I$10=$E$2,I$11,0)-IF(I$12=$E$2,I$13,0)-IF(I$14=$E$2,I$15,0)-IF(I$16=$E$2,I$17,0)-IF(I$18=$E$2,I$19,0)-IF(I$20=$E$2,I$21,0)</f>
        <v>2953.5099999999998</v>
      </c>
      <c r="J26" s="28">
        <f>IF(J$2=$E$2,I26+J$3,I26)+IF(J$4=$E$2,J$5,0)+IF(J$6=$E$2,J$7,0)+IF(J$8=$E$2,J$9,0)+IF(J$10=$E$2,J$11,0)-IF(J$12=$E$2,J$13,0)-IF(J$14=$E$2,J$15,0)-IF(J$16=$E$2,J$17,0)-IF(J$18=$E$2,J$19,0)-IF(J$20=$E$2,J$21,0)</f>
        <v>2953.5099999999998</v>
      </c>
      <c r="K26" s="28">
        <f>IF(K$2=$E$2,J26+K$3,J26)+IF(K$4=$E$2,K$5,0)+IF(K$6=$E$2,K$7,0)+IF(K$8=$E$2,K$9,0)+IF(K$10=$E$2,K$11,0)-IF(K$12=$E$2,K$13,0)-IF(K$14=$E$2,K$15,0)-IF(K$16=$E$2,K$17,0)-IF(K$18=$E$2,K$19,0)-IF(K$20=$E$2,K$21,0)</f>
        <v>2953.5099999999998</v>
      </c>
      <c r="L26" s="28">
        <f t="shared" ref="L26:N26" si="70">IF(L$2=$E$2,K26+L$3,K26)+IF(L$4=$E$2,L$5,0)+IF(L$6=$E$2,L$7,0)+IF(L$8=$E$2,L$9,0)+IF(L$10=$E$2,L$11,0)-IF(L$12=$E$2,L$13,0)-IF(L$14=$E$2,L$15,0)-IF(L$16=$E$2,L$17,0)-IF(L$18=$E$2,L$19,0)-IF(L$20=$E$2,L$21,0)</f>
        <v>2953.5099999999998</v>
      </c>
      <c r="M26" s="28">
        <f t="shared" si="70"/>
        <v>2953.5099999999998</v>
      </c>
      <c r="N26" s="28">
        <f t="shared" si="70"/>
        <v>2953.5099999999998</v>
      </c>
      <c r="O26" s="28">
        <f t="shared" ref="O26" si="71">IF(O$2=$E$2,N26+O$3,N26)+IF(O$4=$E$2,O$5,0)+IF(O$6=$E$2,O$7,0)+IF(O$8=$E$2,O$9,0)+IF(O$10=$E$2,O$11,0)-IF(O$12=$E$2,O$13,0)-IF(O$14=$E$2,O$15,0)-IF(O$16=$E$2,O$17,0)-IF(O$18=$E$2,O$19,0)-IF(O$20=$E$2,O$21,0)</f>
        <v>2953.5099999999998</v>
      </c>
      <c r="P26" s="28">
        <f t="shared" ref="P26:R26" si="72">IF(P$2=$E$2,O26+P$3,O26)+IF(P$4=$E$2,P$5,0)+IF(P$6=$E$2,P$7,0)+IF(P$8=$E$2,P$9,0)+IF(P$10=$E$2,P$11,0)-IF(P$12=$E$2,P$13,0)-IF(P$14=$E$2,P$15,0)-IF(P$16=$E$2,P$17,0)-IF(P$18=$E$2,P$19,0)-IF(P$20=$E$2,P$21,0)</f>
        <v>2953.5099999999998</v>
      </c>
      <c r="Q26" s="28">
        <f t="shared" si="72"/>
        <v>2442.31</v>
      </c>
      <c r="R26" s="28">
        <f t="shared" si="72"/>
        <v>2360.52</v>
      </c>
      <c r="S26" s="28">
        <f t="shared" ref="S26" si="73">IF(S$2=$E$2,R26+S$3,R26)+IF(S$4=$E$2,S$5,0)+IF(S$6=$E$2,S$7,0)+IF(S$8=$E$2,S$9,0)+IF(S$10=$E$2,S$11,0)-IF(S$12=$E$2,S$13,0)-IF(S$14=$E$2,S$15,0)-IF(S$16=$E$2,S$17,0)-IF(S$18=$E$2,S$19,0)-IF(S$20=$E$2,S$21,0)</f>
        <v>2360.52</v>
      </c>
      <c r="T26" s="28">
        <f t="shared" ref="T26" si="74">IF(T$2=$E$2,S26+T$3,S26)+IF(T$4=$E$2,T$5,0)+IF(T$6=$E$2,T$7,0)+IF(T$8=$E$2,T$9,0)+IF(T$10=$E$2,T$11,0)-IF(T$12=$E$2,T$13,0)-IF(T$14=$E$2,T$15,0)-IF(T$16=$E$2,T$17,0)-IF(T$18=$E$2,T$19,0)-IF(T$20=$E$2,T$21,0)</f>
        <v>2360.52</v>
      </c>
      <c r="U26" s="28">
        <f t="shared" ref="U26" si="75">IF(U$2=$E$2,T26+U$3,T26)+IF(U$4=$E$2,U$5,0)+IF(U$6=$E$2,U$7,0)+IF(U$8=$E$2,U$9,0)+IF(U$10=$E$2,U$11,0)-IF(U$12=$E$2,U$13,0)-IF(U$14=$E$2,U$15,0)-IF(U$16=$E$2,U$17,0)-IF(U$18=$E$2,U$19,0)-IF(U$20=$E$2,U$21,0)</f>
        <v>2360.52</v>
      </c>
      <c r="V26" s="28">
        <f t="shared" ref="V26" si="76">IF(V$2=$E$2,U26+V$3,U26)+IF(V$4=$E$2,V$5,0)+IF(V$6=$E$2,V$7,0)+IF(V$8=$E$2,V$9,0)+IF(V$10=$E$2,V$11,0)-IF(V$12=$E$2,V$13,0)-IF(V$14=$E$2,V$15,0)-IF(V$16=$E$2,V$17,0)-IF(V$18=$E$2,V$19,0)-IF(V$20=$E$2,V$21,0)</f>
        <v>2358.52</v>
      </c>
      <c r="W26" s="28">
        <f t="shared" ref="W26" si="77">IF(W$2=$E$2,V26+W$3,V26)+IF(W$4=$E$2,W$5,0)+IF(W$6=$E$2,W$7,0)+IF(W$8=$E$2,W$9,0)+IF(W$10=$E$2,W$11,0)-IF(W$12=$E$2,W$13,0)-IF(W$14=$E$2,W$15,0)-IF(W$16=$E$2,W$17,0)-IF(W$18=$E$2,W$19,0)-IF(W$20=$E$2,W$21,0)</f>
        <v>2358.52</v>
      </c>
      <c r="X26" s="28">
        <f t="shared" ref="X26:AA26" si="78">IF(X$2=$E$2,W26+X$3,W26)+IF(X$4=$E$2,X$5,0)+IF(X$6=$E$2,X$7,0)+IF(X$8=$E$2,X$9,0)+IF(X$10=$E$2,X$11,0)-IF(X$12=$E$2,X$13,0)-IF(X$14=$E$2,X$15,0)-IF(X$16=$E$2,X$17,0)-IF(X$18=$E$2,X$19,0)-IF(X$20=$E$2,X$21,0)</f>
        <v>2358.52</v>
      </c>
      <c r="Y26" s="28">
        <f t="shared" si="78"/>
        <v>2358.52</v>
      </c>
      <c r="Z26" s="28">
        <f t="shared" si="78"/>
        <v>2358.52</v>
      </c>
      <c r="AA26" s="28">
        <f t="shared" si="78"/>
        <v>2358.52</v>
      </c>
      <c r="AB26" s="28">
        <f t="shared" ref="AB26" si="79">IF(AB$2=$E$2,AA26+AB$3,AA26)+IF(AB$4=$E$2,AB$5,0)+IF(AB$6=$E$2,AB$7,0)+IF(AB$8=$E$2,AB$9,0)+IF(AB$10=$E$2,AB$11,0)-IF(AB$12=$E$2,AB$13,0)-IF(AB$14=$E$2,AB$15,0)-IF(AB$16=$E$2,AB$17,0)-IF(AB$18=$E$2,AB$19,0)-IF(AB$20=$E$2,AB$21,0)</f>
        <v>2358.52</v>
      </c>
      <c r="AC26" s="28">
        <f t="shared" ref="AC26" si="80">IF(AC$2=$E$2,AB26+AC$3,AB26)+IF(AC$4=$E$2,AC$5,0)+IF(AC$6=$E$2,AC$7,0)+IF(AC$8=$E$2,AC$9,0)+IF(AC$10=$E$2,AC$11,0)-IF(AC$12=$E$2,AC$13,0)-IF(AC$14=$E$2,AC$15,0)-IF(AC$16=$E$2,AC$17,0)-IF(AC$18=$E$2,AC$19,0)-IF(AC$20=$E$2,AC$21,0)</f>
        <v>2358.52</v>
      </c>
      <c r="AD26" s="28">
        <f t="shared" ref="AD26" si="81">IF(AD$2=$E$2,AC26+AD$3,AC26)+IF(AD$4=$E$2,AD$5,0)+IF(AD$6=$E$2,AD$7,0)+IF(AD$8=$E$2,AD$9,0)+IF(AD$10=$E$2,AD$11,0)-IF(AD$12=$E$2,AD$13,0)-IF(AD$14=$E$2,AD$15,0)-IF(AD$16=$E$2,AD$17,0)-IF(AD$18=$E$2,AD$19,0)-IF(AD$20=$E$2,AD$21,0)</f>
        <v>2358.52</v>
      </c>
      <c r="AE26" s="28">
        <f t="shared" ref="AE26" si="82">IF(AE$2=$E$2,AD26+AE$3,AD26)+IF(AE$4=$E$2,AE$5,0)+IF(AE$6=$E$2,AE$7,0)+IF(AE$8=$E$2,AE$9,0)+IF(AE$10=$E$2,AE$11,0)-IF(AE$12=$E$2,AE$13,0)-IF(AE$14=$E$2,AE$15,0)-IF(AE$16=$E$2,AE$17,0)-IF(AE$18=$E$2,AE$19,0)-IF(AE$20=$E$2,AE$21,0)</f>
        <v>2358.52</v>
      </c>
      <c r="AF26" s="28">
        <f t="shared" ref="AF26:AG26" si="83">IF(AF$2=$E$2,AE26+AF$3,AE26)+IF(AF$4=$E$2,AF$5,0)+IF(AF$6=$E$2,AF$7,0)+IF(AF$8=$E$2,AF$9,0)+IF(AF$10=$E$2,AF$11,0)-IF(AF$12=$E$2,AF$13,0)-IF(AF$14=$E$2,AF$15,0)-IF(AF$16=$E$2,AF$17,0)-IF(AF$18=$E$2,AF$19,0)-IF(AF$20=$E$2,AF$21,0)</f>
        <v>2358.52</v>
      </c>
      <c r="AG26" s="28">
        <f t="shared" si="83"/>
        <v>2358.52</v>
      </c>
      <c r="AH26" s="28">
        <f t="shared" ref="AH26" si="84">IF(AH$2=$E$2,AG26+AH$3,AG26)+IF(AH$4=$E$2,AH$5,0)+IF(AH$6=$E$2,AH$7,0)+IF(AH$8=$E$2,AH$9,0)+IF(AH$10=$E$2,AH$11,0)-IF(AH$12=$E$2,AH$13,0)-IF(AH$14=$E$2,AH$15,0)-IF(AH$16=$E$2,AH$17,0)-IF(AH$18=$E$2,AH$19,0)-IF(AH$20=$E$2,AH$21,0)</f>
        <v>2358.52</v>
      </c>
      <c r="AI26" s="28">
        <f t="shared" ref="AI26" si="85">IF(AI$2=$E$2,AH26+AI$3,AH26)+IF(AI$4=$E$2,AI$5,0)+IF(AI$6=$E$2,AI$7,0)+IF(AI$8=$E$2,AI$9,0)+IF(AI$10=$E$2,AI$11,0)-IF(AI$12=$E$2,AI$13,0)-IF(AI$14=$E$2,AI$15,0)-IF(AI$16=$E$2,AI$17,0)-IF(AI$18=$E$2,AI$19,0)-IF(AI$20=$E$2,AI$21,0)</f>
        <v>2358.52</v>
      </c>
      <c r="AJ26" s="28">
        <f t="shared" ref="AJ26" si="86">IF(AJ$2=$E$2,AI26+AJ$3,AI26)+IF(AJ$4=$E$2,AJ$5,0)+IF(AJ$6=$E$2,AJ$7,0)+IF(AJ$8=$E$2,AJ$9,0)+IF(AJ$10=$E$2,AJ$11,0)-IF(AJ$12=$E$2,AJ$13,0)-IF(AJ$14=$E$2,AJ$15,0)-IF(AJ$16=$E$2,AJ$17,0)-IF(AJ$18=$E$2,AJ$19,0)-IF(AJ$20=$E$2,AJ$21,0)</f>
        <v>2358.52</v>
      </c>
      <c r="AK26" s="127">
        <f t="shared" ref="AK26" si="87">IF(AK$2=$E$2,AJ26+AK$3,AJ26)+IF(AK$4=$E$2,AK$5,0)+IF(AK$6=$E$2,AK$7,0)+IF(AK$8=$E$2,AK$9,0)+IF(AK$10=$E$2,AK$11,0)-IF(AK$12=$E$2,AK$13,0)-IF(AK$14=$E$2,AK$15,0)-IF(AK$16=$E$2,AK$17,0)-IF(AK$18=$E$2,AK$19,0)-IF(AK$20=$E$2,AK$21,0)</f>
        <v>2358.52</v>
      </c>
      <c r="AL26" s="64"/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5600</v>
      </c>
      <c r="I27" s="31">
        <f>IF(I$2=$F$2,H27+I$3,H27)+IF(I$4=$F$2,I$5,0)+IF(I$6=$F$2,I$7,0)+IF(I$8=$F$2,I$9,0)+IF(I$10=$F$2,I$11,0)-IF(I$12=$F$2,I$13,0)-IF(I$14=$F$2,I$15,0)-IF(I$16=$F$2,I$17,0)-IF(I$18=$F$2,I$19,0)-IF(I$20=$F$2,I$21,0)</f>
        <v>5600</v>
      </c>
      <c r="J27" s="31">
        <f>IF(J$2=$F$2,I27+J$3,I27)+IF(J$4=$F$2,J$5,0)+IF(J$6=$F$2,J$7,0)+IF(J$8=$F$2,J$9,0)+IF(J$10=$F$2,J$11,0)-IF(J$12=$F$2,J$13,0)-IF(J$14=$F$2,J$15,0)-IF(J$16=$F$2,J$17,0)-IF(J$18=$F$2,J$19,0)-IF(J$20=$F$2,J$21,0)</f>
        <v>5600</v>
      </c>
      <c r="K27" s="31">
        <f>IF(K$2=$F$2,J27+K$3,J27)+IF(K$4=$F$2,K$5,0)+IF(K$6=$F$2,K$7,0)+IF(K$8=$F$2,K$9,0)+IF(K$10=$F$2,K$11,0)-IF(K$12=$F$2,K$13,0)-IF(K$14=$F$2,K$15,0)-IF(K$16=$F$2,K$17,0)-IF(K$18=$F$2,K$19,0)-IF(K$20=$F$2,K$21,0)</f>
        <v>5600</v>
      </c>
      <c r="L27" s="31">
        <f t="shared" ref="L27:N27" si="88">IF(L$2=$F$2,K27+L$3,K27)+IF(L$4=$F$2,L$5,0)+IF(L$6=$F$2,L$7,0)+IF(L$8=$F$2,L$9,0)+IF(L$10=$F$2,L$11,0)-IF(L$12=$F$2,L$13,0)-IF(L$14=$F$2,L$15,0)-IF(L$16=$F$2,L$17,0)-IF(L$18=$F$2,L$19,0)-IF(L$20=$F$2,L$21,0)</f>
        <v>5600</v>
      </c>
      <c r="M27" s="31">
        <f t="shared" si="88"/>
        <v>5600</v>
      </c>
      <c r="N27" s="31">
        <f t="shared" si="88"/>
        <v>5600</v>
      </c>
      <c r="O27" s="31">
        <f t="shared" ref="O27" si="89">IF(O$2=$F$2,N27+O$3,N27)+IF(O$4=$F$2,O$5,0)+IF(O$6=$F$2,O$7,0)+IF(O$8=$F$2,O$9,0)+IF(O$10=$F$2,O$11,0)-IF(O$12=$F$2,O$13,0)-IF(O$14=$F$2,O$15,0)-IF(O$16=$F$2,O$17,0)-IF(O$18=$F$2,O$19,0)-IF(O$20=$F$2,O$21,0)</f>
        <v>5600</v>
      </c>
      <c r="P27" s="31">
        <f t="shared" ref="P27:R27" si="90">IF(P$2=$F$2,O27+P$3,O27)+IF(P$4=$F$2,P$5,0)+IF(P$6=$F$2,P$7,0)+IF(P$8=$F$2,P$9,0)+IF(P$10=$F$2,P$11,0)-IF(P$12=$F$2,P$13,0)-IF(P$14=$F$2,P$15,0)-IF(P$16=$F$2,P$17,0)-IF(P$18=$F$2,P$19,0)-IF(P$20=$F$2,P$21,0)</f>
        <v>5600</v>
      </c>
      <c r="Q27" s="31">
        <f t="shared" si="90"/>
        <v>5600</v>
      </c>
      <c r="R27" s="31">
        <f t="shared" si="90"/>
        <v>3400</v>
      </c>
      <c r="S27" s="31">
        <f t="shared" ref="S27" si="91">IF(S$2=$F$2,R27+S$3,R27)+IF(S$4=$F$2,S$5,0)+IF(S$6=$F$2,S$7,0)+IF(S$8=$F$2,S$9,0)+IF(S$10=$F$2,S$11,0)-IF(S$12=$F$2,S$13,0)-IF(S$14=$F$2,S$15,0)-IF(S$16=$F$2,S$17,0)-IF(S$18=$F$2,S$19,0)-IF(S$20=$F$2,S$21,0)</f>
        <v>3400</v>
      </c>
      <c r="T27" s="31">
        <f t="shared" ref="T27" si="92">IF(T$2=$F$2,S27+T$3,S27)+IF(T$4=$F$2,T$5,0)+IF(T$6=$F$2,T$7,0)+IF(T$8=$F$2,T$9,0)+IF(T$10=$F$2,T$11,0)-IF(T$12=$F$2,T$13,0)-IF(T$14=$F$2,T$15,0)-IF(T$16=$F$2,T$17,0)-IF(T$18=$F$2,T$19,0)-IF(T$20=$F$2,T$21,0)</f>
        <v>3400</v>
      </c>
      <c r="U27" s="31">
        <f t="shared" ref="U27" si="93">IF(U$2=$F$2,T27+U$3,T27)+IF(U$4=$F$2,U$5,0)+IF(U$6=$F$2,U$7,0)+IF(U$8=$F$2,U$9,0)+IF(U$10=$F$2,U$11,0)-IF(U$12=$F$2,U$13,0)-IF(U$14=$F$2,U$15,0)-IF(U$16=$F$2,U$17,0)-IF(U$18=$F$2,U$19,0)-IF(U$20=$F$2,U$21,0)</f>
        <v>3400</v>
      </c>
      <c r="V27" s="31">
        <f t="shared" ref="V27" si="94">IF(V$2=$F$2,U27+V$3,U27)+IF(V$4=$F$2,V$5,0)+IF(V$6=$F$2,V$7,0)+IF(V$8=$F$2,V$9,0)+IF(V$10=$F$2,V$11,0)-IF(V$12=$F$2,V$13,0)-IF(V$14=$F$2,V$15,0)-IF(V$16=$F$2,V$17,0)-IF(V$18=$F$2,V$19,0)-IF(V$20=$F$2,V$21,0)</f>
        <v>3400</v>
      </c>
      <c r="W27" s="31">
        <f t="shared" ref="W27" si="95">IF(W$2=$F$2,V27+W$3,V27)+IF(W$4=$F$2,W$5,0)+IF(W$6=$F$2,W$7,0)+IF(W$8=$F$2,W$9,0)+IF(W$10=$F$2,W$11,0)-IF(W$12=$F$2,W$13,0)-IF(W$14=$F$2,W$15,0)-IF(W$16=$F$2,W$17,0)-IF(W$18=$F$2,W$19,0)-IF(W$20=$F$2,W$21,0)</f>
        <v>3400</v>
      </c>
      <c r="X27" s="31">
        <f t="shared" ref="X27:AA27" si="96">IF(X$2=$F$2,W27+X$3,W27)+IF(X$4=$F$2,X$5,0)+IF(X$6=$F$2,X$7,0)+IF(X$8=$F$2,X$9,0)+IF(X$10=$F$2,X$11,0)-IF(X$12=$F$2,X$13,0)-IF(X$14=$F$2,X$15,0)-IF(X$16=$F$2,X$17,0)-IF(X$18=$F$2,X$19,0)-IF(X$20=$F$2,X$21,0)</f>
        <v>3400</v>
      </c>
      <c r="Y27" s="31">
        <f t="shared" si="96"/>
        <v>3400</v>
      </c>
      <c r="Z27" s="31">
        <f t="shared" si="96"/>
        <v>3400</v>
      </c>
      <c r="AA27" s="31">
        <f t="shared" si="96"/>
        <v>3400</v>
      </c>
      <c r="AB27" s="31">
        <f t="shared" ref="AB27" si="97">IF(AB$2=$F$2,AA27+AB$3,AA27)+IF(AB$4=$F$2,AB$5,0)+IF(AB$6=$F$2,AB$7,0)+IF(AB$8=$F$2,AB$9,0)+IF(AB$10=$F$2,AB$11,0)-IF(AB$12=$F$2,AB$13,0)-IF(AB$14=$F$2,AB$15,0)-IF(AB$16=$F$2,AB$17,0)-IF(AB$18=$F$2,AB$19,0)-IF(AB$20=$F$2,AB$21,0)</f>
        <v>3400</v>
      </c>
      <c r="AC27" s="31">
        <f t="shared" ref="AC27" si="98">IF(AC$2=$F$2,AB27+AC$3,AB27)+IF(AC$4=$F$2,AC$5,0)+IF(AC$6=$F$2,AC$7,0)+IF(AC$8=$F$2,AC$9,0)+IF(AC$10=$F$2,AC$11,0)-IF(AC$12=$F$2,AC$13,0)-IF(AC$14=$F$2,AC$15,0)-IF(AC$16=$F$2,AC$17,0)-IF(AC$18=$F$2,AC$19,0)-IF(AC$20=$F$2,AC$21,0)</f>
        <v>3400</v>
      </c>
      <c r="AD27" s="31">
        <f t="shared" ref="AD27" si="99">IF(AD$2=$F$2,AC27+AD$3,AC27)+IF(AD$4=$F$2,AD$5,0)+IF(AD$6=$F$2,AD$7,0)+IF(AD$8=$F$2,AD$9,0)+IF(AD$10=$F$2,AD$11,0)-IF(AD$12=$F$2,AD$13,0)-IF(AD$14=$F$2,AD$15,0)-IF(AD$16=$F$2,AD$17,0)-IF(AD$18=$F$2,AD$19,0)-IF(AD$20=$F$2,AD$21,0)</f>
        <v>3400</v>
      </c>
      <c r="AE27" s="31">
        <f t="shared" ref="AE27" si="100">IF(AE$2=$F$2,AD27+AE$3,AD27)+IF(AE$4=$F$2,AE$5,0)+IF(AE$6=$F$2,AE$7,0)+IF(AE$8=$F$2,AE$9,0)+IF(AE$10=$F$2,AE$11,0)-IF(AE$12=$F$2,AE$13,0)-IF(AE$14=$F$2,AE$15,0)-IF(AE$16=$F$2,AE$17,0)-IF(AE$18=$F$2,AE$19,0)-IF(AE$20=$F$2,AE$21,0)</f>
        <v>3400</v>
      </c>
      <c r="AF27" s="31">
        <f t="shared" ref="AF27:AG27" si="101">IF(AF$2=$F$2,AE27+AF$3,AE27)+IF(AF$4=$F$2,AF$5,0)+IF(AF$6=$F$2,AF$7,0)+IF(AF$8=$F$2,AF$9,0)+IF(AF$10=$F$2,AF$11,0)-IF(AF$12=$F$2,AF$13,0)-IF(AF$14=$F$2,AF$15,0)-IF(AF$16=$F$2,AF$17,0)-IF(AF$18=$F$2,AF$19,0)-IF(AF$20=$F$2,AF$21,0)</f>
        <v>3400</v>
      </c>
      <c r="AG27" s="31">
        <f t="shared" si="101"/>
        <v>3400</v>
      </c>
      <c r="AH27" s="31">
        <f t="shared" ref="AH27" si="102">IF(AH$2=$F$2,AG27+AH$3,AG27)+IF(AH$4=$F$2,AH$5,0)+IF(AH$6=$F$2,AH$7,0)+IF(AH$8=$F$2,AH$9,0)+IF(AH$10=$F$2,AH$11,0)-IF(AH$12=$F$2,AH$13,0)-IF(AH$14=$F$2,AH$15,0)-IF(AH$16=$F$2,AH$17,0)-IF(AH$18=$F$2,AH$19,0)-IF(AH$20=$F$2,AH$21,0)</f>
        <v>3400</v>
      </c>
      <c r="AI27" s="31">
        <f t="shared" ref="AI27" si="103">IF(AI$2=$F$2,AH27+AI$3,AH27)+IF(AI$4=$F$2,AI$5,0)+IF(AI$6=$F$2,AI$7,0)+IF(AI$8=$F$2,AI$9,0)+IF(AI$10=$F$2,AI$11,0)-IF(AI$12=$F$2,AI$13,0)-IF(AI$14=$F$2,AI$15,0)-IF(AI$16=$F$2,AI$17,0)-IF(AI$18=$F$2,AI$19,0)-IF(AI$20=$F$2,AI$21,0)</f>
        <v>3400</v>
      </c>
      <c r="AJ27" s="31">
        <f t="shared" ref="AJ27" si="104">IF(AJ$2=$F$2,AI27+AJ$3,AI27)+IF(AJ$4=$F$2,AJ$5,0)+IF(AJ$6=$F$2,AJ$7,0)+IF(AJ$8=$F$2,AJ$9,0)+IF(AJ$10=$F$2,AJ$11,0)-IF(AJ$12=$F$2,AJ$13,0)-IF(AJ$14=$F$2,AJ$15,0)-IF(AJ$16=$F$2,AJ$17,0)-IF(AJ$18=$F$2,AJ$19,0)-IF(AJ$20=$F$2,AJ$21,0)</f>
        <v>3400</v>
      </c>
      <c r="AK27" s="128">
        <f t="shared" ref="AK27" si="105">IF(AK$2=$F$2,AJ27+AK$3,AJ27)+IF(AK$4=$F$2,AK$5,0)+IF(AK$6=$F$2,AK$7,0)+IF(AK$8=$F$2,AK$9,0)+IF(AK$10=$F$2,AK$11,0)-IF(AK$12=$F$2,AK$13,0)-IF(AK$14=$F$2,AK$15,0)-IF(AK$16=$F$2,AK$17,0)-IF(AK$18=$F$2,AK$19,0)-IF(AK$20=$F$2,AK$21,0)</f>
        <v>3400</v>
      </c>
      <c r="AL27" s="64"/>
    </row>
    <row r="28" spans="1:39" ht="18" customHeight="1" thickBot="1">
      <c r="G28" s="116" t="s">
        <v>49</v>
      </c>
      <c r="H28" s="113" t="s">
        <v>46</v>
      </c>
      <c r="I28" s="114" t="s">
        <v>46</v>
      </c>
      <c r="J28" s="114" t="s">
        <v>47</v>
      </c>
      <c r="K28" s="114" t="s">
        <v>48</v>
      </c>
      <c r="L28" s="114" t="s">
        <v>43</v>
      </c>
      <c r="M28" s="114" t="s">
        <v>44</v>
      </c>
      <c r="N28" s="114" t="s">
        <v>45</v>
      </c>
      <c r="O28" s="114" t="s">
        <v>46</v>
      </c>
      <c r="P28" s="114" t="s">
        <v>46</v>
      </c>
      <c r="Q28" s="114" t="s">
        <v>47</v>
      </c>
      <c r="R28" s="114" t="s">
        <v>48</v>
      </c>
      <c r="S28" s="114" t="s">
        <v>43</v>
      </c>
      <c r="T28" s="114" t="s">
        <v>44</v>
      </c>
      <c r="U28" s="114" t="s">
        <v>45</v>
      </c>
      <c r="V28" s="114" t="s">
        <v>46</v>
      </c>
      <c r="W28" s="114" t="s">
        <v>46</v>
      </c>
      <c r="X28" s="114" t="s">
        <v>47</v>
      </c>
      <c r="Y28" s="114" t="s">
        <v>48</v>
      </c>
      <c r="Z28" s="114" t="s">
        <v>43</v>
      </c>
      <c r="AA28" s="114" t="s">
        <v>44</v>
      </c>
      <c r="AB28" s="114" t="s">
        <v>45</v>
      </c>
      <c r="AC28" s="114" t="s">
        <v>46</v>
      </c>
      <c r="AD28" s="114" t="s">
        <v>46</v>
      </c>
      <c r="AE28" s="114" t="s">
        <v>47</v>
      </c>
      <c r="AF28" s="114" t="s">
        <v>48</v>
      </c>
      <c r="AG28" s="114" t="s">
        <v>43</v>
      </c>
      <c r="AH28" s="114" t="s">
        <v>44</v>
      </c>
      <c r="AI28" s="114" t="s">
        <v>45</v>
      </c>
      <c r="AJ28" s="114" t="s">
        <v>46</v>
      </c>
      <c r="AK28" s="115" t="s">
        <v>46</v>
      </c>
      <c r="AL28" s="64"/>
    </row>
    <row r="29" spans="1:39" ht="18" customHeight="1" thickBot="1">
      <c r="C29" s="122" t="s">
        <v>8</v>
      </c>
      <c r="D29" s="5" t="s">
        <v>17</v>
      </c>
      <c r="E29" s="123" t="s">
        <v>9</v>
      </c>
      <c r="F29" s="5" t="s">
        <v>17</v>
      </c>
    </row>
    <row r="30" spans="1:39" ht="18" customHeight="1">
      <c r="C30" s="70" t="s">
        <v>14</v>
      </c>
      <c r="D30" s="119">
        <f>Y15</f>
        <v>900</v>
      </c>
      <c r="E30" s="70" t="s">
        <v>25</v>
      </c>
      <c r="F30" s="71">
        <f>J3+AF3</f>
        <v>4163</v>
      </c>
    </row>
    <row r="31" spans="1:39" ht="18" customHeight="1" thickBot="1">
      <c r="C31" s="57" t="s">
        <v>15</v>
      </c>
      <c r="D31" s="118">
        <f>I19+V13+Y17+AC13+AC15+AK13+AK15+P15</f>
        <v>305.26</v>
      </c>
      <c r="E31" s="57" t="s">
        <v>26</v>
      </c>
      <c r="F31" s="59">
        <f>N3+AK3</f>
        <v>662</v>
      </c>
      <c r="J31" s="13"/>
    </row>
    <row r="32" spans="1:39" ht="18" customHeight="1">
      <c r="A32" s="304" t="s">
        <v>55</v>
      </c>
      <c r="B32" s="305"/>
      <c r="C32" s="100" t="s">
        <v>16</v>
      </c>
      <c r="D32" s="118">
        <f>K15+X19+X15+AF15+AF17+AK19</f>
        <v>1297.74</v>
      </c>
      <c r="E32" s="57" t="s">
        <v>27</v>
      </c>
      <c r="F32" s="59"/>
    </row>
    <row r="33" spans="1:6" ht="18" customHeight="1" thickBot="1">
      <c r="A33" s="306">
        <f>'Mai 2021'!C38+D38</f>
        <v>1168.31</v>
      </c>
      <c r="B33" s="307"/>
      <c r="C33" s="100" t="s">
        <v>33</v>
      </c>
      <c r="D33" s="118">
        <f>M13+M15+M17+T13+Z15+AA13+AA15+AE15+AF19+AI15+AI17+Y21+AA19</f>
        <v>878.73</v>
      </c>
      <c r="E33" s="57" t="s">
        <v>19</v>
      </c>
      <c r="F33" s="59">
        <f>AI3</f>
        <v>600</v>
      </c>
    </row>
    <row r="34" spans="1:6" ht="18" customHeight="1">
      <c r="A34" s="315" t="s">
        <v>56</v>
      </c>
      <c r="B34" s="316"/>
      <c r="C34" s="100" t="s">
        <v>36</v>
      </c>
      <c r="D34" s="118">
        <f>I13+AD13</f>
        <v>68.95</v>
      </c>
      <c r="E34" s="57"/>
      <c r="F34" s="59"/>
    </row>
    <row r="35" spans="1:6" ht="18" customHeight="1" thickBot="1">
      <c r="A35" s="313">
        <v>2500</v>
      </c>
      <c r="B35" s="314"/>
      <c r="C35" s="100" t="s">
        <v>20</v>
      </c>
      <c r="D35" s="118">
        <f>K13+K19+AG15+AG17+I15+Y19</f>
        <v>1038.0100000000002</v>
      </c>
      <c r="E35" s="124"/>
      <c r="F35" s="125"/>
    </row>
    <row r="36" spans="1:6" ht="18" customHeight="1" thickBot="1">
      <c r="A36" s="308" t="s">
        <v>57</v>
      </c>
      <c r="B36" s="309"/>
      <c r="C36" s="100" t="s">
        <v>18</v>
      </c>
      <c r="D36" s="118">
        <f>T15</f>
        <v>350</v>
      </c>
      <c r="E36" s="268">
        <f>SUM(F30:F33)</f>
        <v>5425</v>
      </c>
      <c r="F36" s="269"/>
    </row>
    <row r="37" spans="1:6" ht="18" customHeight="1" thickBot="1">
      <c r="A37" s="310">
        <f>R19+R15+R13/4.8906</f>
        <v>2291.6047466568521</v>
      </c>
      <c r="B37" s="311"/>
      <c r="C37" s="100" t="s">
        <v>35</v>
      </c>
      <c r="D37" s="118">
        <f>Z13+AG13+AI19</f>
        <v>714.35</v>
      </c>
      <c r="E37" s="228">
        <f>E36-C39</f>
        <v>-788.65000000000055</v>
      </c>
      <c r="F37" s="229"/>
    </row>
    <row r="38" spans="1:6" ht="18" customHeight="1" thickBot="1">
      <c r="C38" s="101" t="s">
        <v>51</v>
      </c>
      <c r="D38" s="120">
        <f>0.03+H13+I17+K17+M19+R17+T17+V15+X17+Y13+Z17+AA17+AF13+AI13+AK17</f>
        <v>660.61</v>
      </c>
      <c r="E38" s="232">
        <f>E37+D38</f>
        <v>-128.04000000000053</v>
      </c>
      <c r="F38" s="233"/>
    </row>
    <row r="39" spans="1:6" ht="18" customHeight="1" thickBot="1">
      <c r="C39" s="292">
        <f>SUM(D30:D38)</f>
        <v>6213.6500000000005</v>
      </c>
      <c r="D39" s="293"/>
      <c r="E39" s="234" t="s">
        <v>61</v>
      </c>
      <c r="F39" s="235"/>
    </row>
    <row r="54" spans="1:4" ht="18" customHeight="1">
      <c r="A54" s="64"/>
      <c r="B54" s="64"/>
      <c r="C54" s="64"/>
      <c r="D54" s="64"/>
    </row>
    <row r="55" spans="1:4" ht="18" customHeight="1">
      <c r="A55" s="64"/>
      <c r="B55" s="64"/>
      <c r="C55" s="64"/>
      <c r="D55" s="64"/>
    </row>
    <row r="56" spans="1:4" ht="18" customHeight="1">
      <c r="A56" s="64"/>
      <c r="B56" s="64"/>
      <c r="C56" s="64"/>
      <c r="D56" s="64"/>
    </row>
    <row r="57" spans="1:4" ht="18" customHeight="1">
      <c r="A57" s="64"/>
      <c r="B57" s="64"/>
      <c r="C57" s="64"/>
      <c r="D57" s="64"/>
    </row>
    <row r="58" spans="1:4" ht="18" customHeight="1">
      <c r="A58" s="64"/>
      <c r="B58" s="64"/>
      <c r="C58" s="64"/>
      <c r="D58" s="64"/>
    </row>
    <row r="59" spans="1:4" ht="18" customHeight="1">
      <c r="A59" s="64"/>
      <c r="B59" s="64"/>
      <c r="C59" s="64"/>
      <c r="D59" s="64"/>
    </row>
    <row r="60" spans="1:4" ht="18" customHeight="1">
      <c r="A60" s="64"/>
      <c r="B60" s="64"/>
      <c r="C60" s="64"/>
      <c r="D60" s="64"/>
    </row>
    <row r="61" spans="1:4" ht="18" customHeight="1">
      <c r="A61" s="64"/>
      <c r="B61" s="64"/>
      <c r="C61" s="64"/>
      <c r="D61" s="64"/>
    </row>
    <row r="62" spans="1:4" ht="18" customHeight="1">
      <c r="A62" s="64"/>
      <c r="B62" s="64"/>
      <c r="C62" s="64"/>
      <c r="D62" s="64"/>
    </row>
    <row r="63" spans="1:4" ht="18" customHeight="1">
      <c r="A63" s="64"/>
      <c r="B63" s="64"/>
      <c r="C63" s="64"/>
      <c r="D63" s="64"/>
    </row>
    <row r="64" spans="1:4" ht="18" customHeight="1">
      <c r="A64" s="64"/>
      <c r="B64" s="64"/>
      <c r="C64" s="64"/>
      <c r="D64" s="64"/>
    </row>
    <row r="65" spans="3:4" ht="18" customHeight="1">
      <c r="C65" s="64"/>
      <c r="D65" s="64"/>
    </row>
  </sheetData>
  <mergeCells count="29">
    <mergeCell ref="A1:F1"/>
    <mergeCell ref="A4:D4"/>
    <mergeCell ref="A5:D5"/>
    <mergeCell ref="A9:D9"/>
    <mergeCell ref="A35:B35"/>
    <mergeCell ref="A34:B34"/>
    <mergeCell ref="A10:D10"/>
    <mergeCell ref="G12:G21"/>
    <mergeCell ref="E14:F14"/>
    <mergeCell ref="E15:F15"/>
    <mergeCell ref="G2:G11"/>
    <mergeCell ref="E4:F4"/>
    <mergeCell ref="E5:F5"/>
    <mergeCell ref="E9:F9"/>
    <mergeCell ref="E10:F10"/>
    <mergeCell ref="A6:F6"/>
    <mergeCell ref="A11:F11"/>
    <mergeCell ref="A14:D14"/>
    <mergeCell ref="A15:D15"/>
    <mergeCell ref="E39:F39"/>
    <mergeCell ref="E37:F37"/>
    <mergeCell ref="C39:D39"/>
    <mergeCell ref="G22:G27"/>
    <mergeCell ref="A32:B32"/>
    <mergeCell ref="A33:B33"/>
    <mergeCell ref="A36:B36"/>
    <mergeCell ref="A37:B37"/>
    <mergeCell ref="E36:F36"/>
    <mergeCell ref="E38:F38"/>
  </mergeCells>
  <conditionalFormatting sqref="A13:F13 E15:F15 A15">
    <cfRule type="cellIs" dxfId="26" priority="1" operator="lessThan">
      <formula>0</formula>
    </cfRule>
    <cfRule type="cellIs" dxfId="25" priority="2" operator="greaterThanOrEqual">
      <formula>0</formula>
    </cfRule>
  </conditionalFormatting>
  <dataValidations count="7">
    <dataValidation type="list" allowBlank="1" showInputMessage="1" showErrorMessage="1" sqref="F8" xr:uid="{59DB9695-42FB-460D-BFB9-D8ED2E701D23}">
      <formula1>$H$27:$AL$27</formula1>
    </dataValidation>
    <dataValidation type="list" allowBlank="1" showInputMessage="1" showErrorMessage="1" sqref="E8" xr:uid="{1608B278-7572-43CC-A557-776D615632DF}">
      <formula1>$H$26:$AL$26</formula1>
    </dataValidation>
    <dataValidation type="list" allowBlank="1" showInputMessage="1" showErrorMessage="1" sqref="D8" xr:uid="{B75917C6-F01C-41F5-BC27-B44EEAE006ED}">
      <formula1>$H$25:$AL$25</formula1>
    </dataValidation>
    <dataValidation type="list" allowBlank="1" showInputMessage="1" showErrorMessage="1" sqref="C8" xr:uid="{C347E9A3-DBE0-4E01-8719-1689F6E437DC}">
      <formula1>$H$24:$AL$24</formula1>
    </dataValidation>
    <dataValidation type="list" allowBlank="1" showInputMessage="1" showErrorMessage="1" sqref="B8" xr:uid="{2A0DE5D7-9B87-4BF3-8260-DDB30DD774D8}">
      <formula1>$H$23:$AL$23</formula1>
    </dataValidation>
    <dataValidation type="list" allowBlank="1" showInputMessage="1" showErrorMessage="1" sqref="H4:AK4 H6:AK6 H8:AK8 H10:AK10 H12:AK12 H14:AK14 H16:AK16 H18:AK18 H20:AK20 H2:AK2" xr:uid="{5B8C1DC8-8B11-46BB-BA22-5257BC650E2C}">
      <formula1>$A$2:$F$2</formula1>
    </dataValidation>
    <dataValidation type="list" allowBlank="1" showInputMessage="1" showErrorMessage="1" sqref="A3 A8" xr:uid="{12202DA5-FABD-4875-AAA1-943CE8B18376}">
      <formula1>$H$22:$AL$22</formula1>
    </dataValidation>
  </dataValidations>
  <pageMargins left="0.7" right="0.7" top="0.75" bottom="0.75" header="0.3" footer="0.3"/>
  <pageSetup orientation="portrait" horizontalDpi="4294967293" verticalDpi="0" r:id="rId1"/>
  <ignoredErrors>
    <ignoredError sqref="A5 E5 A10:F10" formulaRange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F317-B50C-4804-883B-B6BDF62A2ECA}">
  <sheetPr codeName="Sheet5">
    <tabColor rgb="FF00B050"/>
  </sheetPr>
  <dimension ref="A1:AM65"/>
  <sheetViews>
    <sheetView topLeftCell="A10" zoomScaleNormal="100" workbookViewId="0">
      <pane xSplit="6" topLeftCell="G1" activePane="topRight" state="frozen"/>
      <selection pane="topRight" activeCell="T17" sqref="T17"/>
    </sheetView>
  </sheetViews>
  <sheetFormatPr defaultColWidth="15.77734375" defaultRowHeight="18" customHeight="1"/>
  <cols>
    <col min="1" max="6" width="15.77734375" style="1"/>
    <col min="7" max="7" width="15.77734375" style="1" customWidth="1"/>
    <col min="8" max="38" width="10.77734375" style="1" customWidth="1"/>
    <col min="39" max="16384" width="15.77734375" style="1"/>
  </cols>
  <sheetData>
    <row r="1" spans="1:39" ht="18" customHeight="1" thickBot="1">
      <c r="A1" s="277" t="s">
        <v>64</v>
      </c>
      <c r="B1" s="278"/>
      <c r="C1" s="278"/>
      <c r="D1" s="278"/>
      <c r="E1" s="278"/>
      <c r="F1" s="312"/>
      <c r="G1" s="2" t="s">
        <v>7</v>
      </c>
      <c r="H1" s="3">
        <v>1</v>
      </c>
      <c r="I1" s="4">
        <v>2</v>
      </c>
      <c r="J1" s="103">
        <v>3</v>
      </c>
      <c r="K1" s="139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103">
        <v>10</v>
      </c>
      <c r="R1" s="139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  <c r="X1" s="103">
        <v>17</v>
      </c>
      <c r="Y1" s="139">
        <v>18</v>
      </c>
      <c r="Z1" s="4">
        <v>19</v>
      </c>
      <c r="AA1" s="4">
        <v>20</v>
      </c>
      <c r="AB1" s="4">
        <v>21</v>
      </c>
      <c r="AC1" s="4">
        <v>22</v>
      </c>
      <c r="AD1" s="4">
        <v>23</v>
      </c>
      <c r="AE1" s="103">
        <v>24</v>
      </c>
      <c r="AF1" s="139">
        <v>25</v>
      </c>
      <c r="AG1" s="4">
        <v>26</v>
      </c>
      <c r="AH1" s="4">
        <v>27</v>
      </c>
      <c r="AI1" s="4">
        <v>28</v>
      </c>
      <c r="AJ1" s="4">
        <v>29</v>
      </c>
      <c r="AK1" s="4">
        <v>30</v>
      </c>
      <c r="AL1" s="163">
        <v>31</v>
      </c>
    </row>
    <row r="2" spans="1:39" ht="18" customHeight="1">
      <c r="A2" s="104" t="s">
        <v>53</v>
      </c>
      <c r="B2" s="6" t="s">
        <v>54</v>
      </c>
      <c r="C2" s="7" t="s">
        <v>2</v>
      </c>
      <c r="D2" s="7" t="s">
        <v>13</v>
      </c>
      <c r="E2" s="7" t="s">
        <v>3</v>
      </c>
      <c r="F2" s="129" t="s">
        <v>1</v>
      </c>
      <c r="G2" s="238" t="s">
        <v>9</v>
      </c>
      <c r="H2" s="19" t="s">
        <v>54</v>
      </c>
      <c r="I2" s="20"/>
      <c r="J2" s="20"/>
      <c r="K2" s="20"/>
      <c r="L2" s="20"/>
      <c r="M2" s="20" t="s">
        <v>13</v>
      </c>
      <c r="N2" s="20"/>
      <c r="O2" s="20"/>
      <c r="P2" s="20" t="s">
        <v>53</v>
      </c>
      <c r="Q2" s="20"/>
      <c r="R2" s="20"/>
      <c r="S2" s="20"/>
      <c r="T2" s="20"/>
      <c r="U2" s="20" t="s">
        <v>3</v>
      </c>
      <c r="V2" s="20" t="s">
        <v>3</v>
      </c>
      <c r="W2" s="20" t="s">
        <v>3</v>
      </c>
      <c r="X2" s="20"/>
      <c r="Y2" s="20"/>
      <c r="Z2" s="20"/>
      <c r="AA2" s="20"/>
      <c r="AB2" s="20"/>
      <c r="AC2" s="20"/>
      <c r="AD2" s="20" t="s">
        <v>53</v>
      </c>
      <c r="AE2" s="20"/>
      <c r="AF2" s="20"/>
      <c r="AG2" s="20"/>
      <c r="AH2" s="20"/>
      <c r="AI2" s="20"/>
      <c r="AJ2" s="140" t="s">
        <v>13</v>
      </c>
      <c r="AK2" s="20" t="s">
        <v>54</v>
      </c>
      <c r="AL2" s="21"/>
      <c r="AM2" s="64"/>
    </row>
    <row r="3" spans="1:39" s="13" customFormat="1" ht="18" customHeight="1" thickBot="1">
      <c r="A3" s="105">
        <v>512.39999999999975</v>
      </c>
      <c r="B3" s="9">
        <v>620.36000000000104</v>
      </c>
      <c r="C3" s="10">
        <v>212</v>
      </c>
      <c r="D3" s="10">
        <v>327.65999999999997</v>
      </c>
      <c r="E3" s="10">
        <v>2358.52</v>
      </c>
      <c r="F3" s="130">
        <v>3400</v>
      </c>
      <c r="G3" s="239"/>
      <c r="H3" s="18">
        <v>3181</v>
      </c>
      <c r="I3" s="12"/>
      <c r="J3" s="12"/>
      <c r="K3" s="12"/>
      <c r="L3" s="12"/>
      <c r="M3" s="12">
        <v>360</v>
      </c>
      <c r="N3" s="12"/>
      <c r="O3" s="12"/>
      <c r="P3" s="12">
        <v>919</v>
      </c>
      <c r="Q3" s="12"/>
      <c r="R3" s="12"/>
      <c r="S3" s="12"/>
      <c r="T3" s="12"/>
      <c r="U3" s="12">
        <v>300</v>
      </c>
      <c r="V3" s="12">
        <v>20000</v>
      </c>
      <c r="W3" s="12">
        <v>100</v>
      </c>
      <c r="X3" s="12"/>
      <c r="Y3" s="12"/>
      <c r="Z3" s="12"/>
      <c r="AA3" s="12"/>
      <c r="AB3" s="12"/>
      <c r="AC3" s="12"/>
      <c r="AD3" s="12">
        <v>1000</v>
      </c>
      <c r="AE3" s="12"/>
      <c r="AF3" s="12"/>
      <c r="AG3" s="12"/>
      <c r="AH3" s="12"/>
      <c r="AI3" s="12"/>
      <c r="AJ3" s="141">
        <v>320</v>
      </c>
      <c r="AK3" s="12">
        <v>600</v>
      </c>
      <c r="AL3" s="17"/>
      <c r="AM3" s="64"/>
    </row>
    <row r="4" spans="1:39" ht="18" customHeight="1" thickBot="1">
      <c r="A4" s="277" t="s">
        <v>5</v>
      </c>
      <c r="B4" s="278"/>
      <c r="C4" s="278"/>
      <c r="D4" s="279"/>
      <c r="E4" s="273" t="s">
        <v>6</v>
      </c>
      <c r="F4" s="320"/>
      <c r="G4" s="239"/>
      <c r="H4" s="22"/>
      <c r="I4" s="23"/>
      <c r="J4" s="23"/>
      <c r="K4" s="23"/>
      <c r="L4" s="23"/>
      <c r="M4" s="23"/>
      <c r="N4" s="23"/>
      <c r="O4" s="23"/>
      <c r="P4" s="13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142"/>
      <c r="AK4" s="23"/>
      <c r="AL4" s="24"/>
      <c r="AM4" s="64"/>
    </row>
    <row r="5" spans="1:39" ht="18" customHeight="1" thickBot="1">
      <c r="A5" s="280">
        <f>SUM(A3:D3)</f>
        <v>1672.4200000000005</v>
      </c>
      <c r="B5" s="281"/>
      <c r="C5" s="281"/>
      <c r="D5" s="282"/>
      <c r="E5" s="275">
        <f>SUM(E3:F3)</f>
        <v>5758.52</v>
      </c>
      <c r="F5" s="321"/>
      <c r="G5" s="239"/>
      <c r="H5" s="18"/>
      <c r="I5" s="12"/>
      <c r="J5" s="12"/>
      <c r="K5" s="12"/>
      <c r="L5" s="12"/>
      <c r="M5" s="12"/>
      <c r="N5" s="12"/>
      <c r="O5" s="12"/>
      <c r="P5" s="138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41"/>
      <c r="AK5" s="12"/>
      <c r="AL5" s="17"/>
      <c r="AM5" s="64"/>
    </row>
    <row r="6" spans="1:39" ht="18" customHeight="1" thickBot="1">
      <c r="A6" s="241" t="s">
        <v>38</v>
      </c>
      <c r="B6" s="242"/>
      <c r="C6" s="242"/>
      <c r="D6" s="242"/>
      <c r="E6" s="242"/>
      <c r="F6" s="243"/>
      <c r="G6" s="23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42"/>
      <c r="AK6" s="23"/>
      <c r="AL6" s="24"/>
      <c r="AM6" s="64"/>
    </row>
    <row r="7" spans="1:39" ht="18" customHeight="1">
      <c r="A7" s="106" t="s">
        <v>53</v>
      </c>
      <c r="B7" s="37" t="s">
        <v>54</v>
      </c>
      <c r="C7" s="38" t="s">
        <v>2</v>
      </c>
      <c r="D7" s="38" t="s">
        <v>13</v>
      </c>
      <c r="E7" s="38" t="s">
        <v>3</v>
      </c>
      <c r="F7" s="131" t="s">
        <v>1</v>
      </c>
      <c r="G7" s="239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143"/>
      <c r="AK7" s="47"/>
      <c r="AL7" s="52"/>
      <c r="AM7" s="64"/>
    </row>
    <row r="8" spans="1:39" ht="18" customHeight="1" thickBot="1">
      <c r="A8" s="107">
        <v>1931.0599999999997</v>
      </c>
      <c r="B8" s="40">
        <v>630.11000000000047</v>
      </c>
      <c r="C8" s="41">
        <v>3</v>
      </c>
      <c r="D8" s="41">
        <v>318.08</v>
      </c>
      <c r="E8" s="41">
        <v>22699.11</v>
      </c>
      <c r="F8" s="132">
        <v>3055.5</v>
      </c>
      <c r="G8" s="23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42"/>
      <c r="AK8" s="23"/>
      <c r="AL8" s="24"/>
      <c r="AM8" s="64"/>
    </row>
    <row r="9" spans="1:39" ht="18" customHeight="1" thickBot="1">
      <c r="A9" s="241" t="s">
        <v>5</v>
      </c>
      <c r="B9" s="242"/>
      <c r="C9" s="242"/>
      <c r="D9" s="249"/>
      <c r="E9" s="253" t="s">
        <v>6</v>
      </c>
      <c r="F9" s="243"/>
      <c r="G9" s="239"/>
      <c r="H9" s="46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143"/>
      <c r="AK9" s="47"/>
      <c r="AL9" s="52"/>
      <c r="AM9" s="64"/>
    </row>
    <row r="10" spans="1:39" ht="18" customHeight="1" thickBot="1">
      <c r="A10" s="250">
        <f>SUM(A8:D8)</f>
        <v>2882.25</v>
      </c>
      <c r="B10" s="251"/>
      <c r="C10" s="251"/>
      <c r="D10" s="252"/>
      <c r="E10" s="244">
        <f>SUM(E8:F8)</f>
        <v>25754.61</v>
      </c>
      <c r="F10" s="317"/>
      <c r="G10" s="23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42"/>
      <c r="AK10" s="158"/>
      <c r="AL10" s="161"/>
      <c r="AM10" s="64"/>
    </row>
    <row r="11" spans="1:39" ht="18" customHeight="1" thickBot="1">
      <c r="A11" s="246" t="s">
        <v>12</v>
      </c>
      <c r="B11" s="247"/>
      <c r="C11" s="247"/>
      <c r="D11" s="247"/>
      <c r="E11" s="247"/>
      <c r="F11" s="248"/>
      <c r="G11" s="240"/>
      <c r="H11" s="151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3"/>
      <c r="AK11" s="49"/>
      <c r="AL11" s="53"/>
      <c r="AM11" s="64"/>
    </row>
    <row r="12" spans="1:39" ht="18" customHeight="1">
      <c r="A12" s="108" t="s">
        <v>53</v>
      </c>
      <c r="B12" s="14" t="s">
        <v>54</v>
      </c>
      <c r="C12" s="15" t="s">
        <v>2</v>
      </c>
      <c r="D12" s="15" t="s">
        <v>13</v>
      </c>
      <c r="E12" s="15" t="s">
        <v>3</v>
      </c>
      <c r="F12" s="133" t="s">
        <v>1</v>
      </c>
      <c r="G12" s="261" t="s">
        <v>8</v>
      </c>
      <c r="H12" s="154" t="s">
        <v>54</v>
      </c>
      <c r="I12" s="20"/>
      <c r="J12" s="20" t="s">
        <v>54</v>
      </c>
      <c r="K12" s="20" t="s">
        <v>13</v>
      </c>
      <c r="L12" s="20" t="s">
        <v>53</v>
      </c>
      <c r="M12" s="20" t="s">
        <v>53</v>
      </c>
      <c r="N12" s="20" t="s">
        <v>2</v>
      </c>
      <c r="O12" s="20" t="s">
        <v>54</v>
      </c>
      <c r="P12" s="20" t="s">
        <v>54</v>
      </c>
      <c r="Q12" s="20" t="s">
        <v>54</v>
      </c>
      <c r="R12" s="20" t="s">
        <v>54</v>
      </c>
      <c r="S12" s="20" t="s">
        <v>54</v>
      </c>
      <c r="T12" s="20"/>
      <c r="U12" s="20" t="s">
        <v>54</v>
      </c>
      <c r="V12" s="20" t="s">
        <v>3</v>
      </c>
      <c r="W12" s="137" t="s">
        <v>2</v>
      </c>
      <c r="X12" s="20" t="s">
        <v>54</v>
      </c>
      <c r="Y12" s="20" t="s">
        <v>54</v>
      </c>
      <c r="Z12" s="20" t="s">
        <v>54</v>
      </c>
      <c r="AA12" s="20" t="s">
        <v>54</v>
      </c>
      <c r="AB12" s="20"/>
      <c r="AC12" s="20" t="s">
        <v>53</v>
      </c>
      <c r="AD12" s="20" t="s">
        <v>54</v>
      </c>
      <c r="AE12" s="20" t="s">
        <v>13</v>
      </c>
      <c r="AF12" s="20"/>
      <c r="AG12" s="20"/>
      <c r="AH12" s="20" t="s">
        <v>54</v>
      </c>
      <c r="AI12" s="20"/>
      <c r="AJ12" s="140"/>
      <c r="AK12" s="20" t="s">
        <v>53</v>
      </c>
      <c r="AL12" s="159"/>
      <c r="AM12" s="64"/>
    </row>
    <row r="13" spans="1:39" ht="18" customHeight="1" thickBot="1">
      <c r="A13" s="109">
        <f t="shared" ref="A13:F13" si="0">A8-A3</f>
        <v>1418.6599999999999</v>
      </c>
      <c r="B13" s="34">
        <f t="shared" si="0"/>
        <v>9.7499999999994316</v>
      </c>
      <c r="C13" s="35">
        <f t="shared" si="0"/>
        <v>-209</v>
      </c>
      <c r="D13" s="35">
        <f t="shared" si="0"/>
        <v>-9.5799999999999841</v>
      </c>
      <c r="E13" s="35">
        <f t="shared" si="0"/>
        <v>20340.59</v>
      </c>
      <c r="F13" s="134">
        <f t="shared" si="0"/>
        <v>-344.5</v>
      </c>
      <c r="G13" s="262"/>
      <c r="H13" s="155">
        <v>1105.8599999999999</v>
      </c>
      <c r="I13" s="44"/>
      <c r="J13" s="44">
        <v>34.46</v>
      </c>
      <c r="K13" s="44">
        <v>145.25</v>
      </c>
      <c r="L13" s="44">
        <v>150</v>
      </c>
      <c r="M13" s="44">
        <v>28.49</v>
      </c>
      <c r="N13" s="44">
        <v>10</v>
      </c>
      <c r="O13" s="44">
        <v>229.63</v>
      </c>
      <c r="P13" s="44">
        <f>4.62+7.64</f>
        <v>12.26</v>
      </c>
      <c r="Q13" s="44">
        <v>6</v>
      </c>
      <c r="R13" s="44">
        <v>0.66</v>
      </c>
      <c r="S13" s="44">
        <v>107</v>
      </c>
      <c r="T13" s="44"/>
      <c r="U13" s="44">
        <v>39.659999999999997</v>
      </c>
      <c r="V13" s="44">
        <v>2</v>
      </c>
      <c r="W13" s="136">
        <f>25+149+25</f>
        <v>199</v>
      </c>
      <c r="X13" s="44">
        <v>29.75</v>
      </c>
      <c r="Y13" s="44">
        <v>900</v>
      </c>
      <c r="Z13" s="44">
        <v>350</v>
      </c>
      <c r="AA13" s="44">
        <v>200</v>
      </c>
      <c r="AB13" s="44"/>
      <c r="AC13" s="44">
        <v>168.87</v>
      </c>
      <c r="AD13" s="44">
        <v>17.149999999999999</v>
      </c>
      <c r="AE13" s="44">
        <v>150</v>
      </c>
      <c r="AF13" s="44"/>
      <c r="AG13" s="44"/>
      <c r="AH13" s="44">
        <v>52.72</v>
      </c>
      <c r="AI13" s="44"/>
      <c r="AJ13" s="144"/>
      <c r="AK13" s="44">
        <v>100.61</v>
      </c>
      <c r="AL13" s="160"/>
      <c r="AM13" s="64"/>
    </row>
    <row r="14" spans="1:39" ht="18" customHeight="1" thickBot="1">
      <c r="A14" s="246" t="s">
        <v>5</v>
      </c>
      <c r="B14" s="247"/>
      <c r="C14" s="247"/>
      <c r="D14" s="264"/>
      <c r="E14" s="257" t="s">
        <v>6</v>
      </c>
      <c r="F14" s="318"/>
      <c r="G14" s="262"/>
      <c r="H14" s="156" t="s">
        <v>54</v>
      </c>
      <c r="I14" s="23"/>
      <c r="J14" s="23" t="s">
        <v>54</v>
      </c>
      <c r="K14" s="23" t="s">
        <v>13</v>
      </c>
      <c r="L14" s="23"/>
      <c r="M14" s="23" t="s">
        <v>53</v>
      </c>
      <c r="N14" s="23" t="s">
        <v>53</v>
      </c>
      <c r="O14" s="23" t="s">
        <v>54</v>
      </c>
      <c r="P14" s="23" t="s">
        <v>54</v>
      </c>
      <c r="Q14" s="23"/>
      <c r="R14" s="23"/>
      <c r="S14" s="23"/>
      <c r="T14" s="23"/>
      <c r="U14" s="23"/>
      <c r="V14" s="23"/>
      <c r="W14" s="135" t="s">
        <v>1</v>
      </c>
      <c r="X14" s="23" t="s">
        <v>54</v>
      </c>
      <c r="Y14" s="23" t="s">
        <v>54</v>
      </c>
      <c r="Z14" s="23" t="s">
        <v>54</v>
      </c>
      <c r="AA14" s="23" t="s">
        <v>54</v>
      </c>
      <c r="AB14" s="23"/>
      <c r="AC14" s="23" t="s">
        <v>54</v>
      </c>
      <c r="AD14" s="23" t="s">
        <v>54</v>
      </c>
      <c r="AE14" s="23" t="s">
        <v>54</v>
      </c>
      <c r="AF14" s="23"/>
      <c r="AG14" s="23"/>
      <c r="AH14" s="23" t="s">
        <v>54</v>
      </c>
      <c r="AI14" s="23"/>
      <c r="AJ14" s="142"/>
      <c r="AK14" s="23" t="s">
        <v>13</v>
      </c>
      <c r="AL14" s="24"/>
      <c r="AM14" s="64"/>
    </row>
    <row r="15" spans="1:39" ht="18" customHeight="1" thickBot="1">
      <c r="A15" s="265">
        <f>SUM(A13:D13)</f>
        <v>1209.8299999999995</v>
      </c>
      <c r="B15" s="266"/>
      <c r="C15" s="266"/>
      <c r="D15" s="267"/>
      <c r="E15" s="259">
        <f>SUM(E13:F13)</f>
        <v>19996.09</v>
      </c>
      <c r="F15" s="319"/>
      <c r="G15" s="262"/>
      <c r="H15" s="155">
        <v>8.2799999999999994</v>
      </c>
      <c r="I15" s="44"/>
      <c r="J15" s="44">
        <v>213.82</v>
      </c>
      <c r="K15" s="44">
        <v>16.170000000000002</v>
      </c>
      <c r="L15" s="44"/>
      <c r="M15" s="44">
        <v>8.3699999999999992</v>
      </c>
      <c r="N15" s="44">
        <v>20</v>
      </c>
      <c r="O15" s="44">
        <v>0.74</v>
      </c>
      <c r="P15" s="44">
        <f>36.18+2.69</f>
        <v>38.869999999999997</v>
      </c>
      <c r="Q15" s="44"/>
      <c r="R15" s="44"/>
      <c r="S15" s="44"/>
      <c r="T15" s="44"/>
      <c r="U15" s="44"/>
      <c r="V15" s="44"/>
      <c r="W15" s="136">
        <f>6.4+35+3.2+140+10.6+2+6+80+30+3.2+2+4+5.5+10+6.6</f>
        <v>344.5</v>
      </c>
      <c r="X15" s="44">
        <v>150</v>
      </c>
      <c r="Y15" s="44">
        <v>1.2</v>
      </c>
      <c r="Z15" s="44">
        <v>10</v>
      </c>
      <c r="AA15" s="44">
        <v>6.54</v>
      </c>
      <c r="AB15" s="44"/>
      <c r="AC15" s="44">
        <v>29.81</v>
      </c>
      <c r="AD15" s="44">
        <v>5.7</v>
      </c>
      <c r="AE15" s="44">
        <v>17.489999999999998</v>
      </c>
      <c r="AF15" s="44"/>
      <c r="AG15" s="44"/>
      <c r="AH15" s="44">
        <v>4.5599999999999996</v>
      </c>
      <c r="AI15" s="44"/>
      <c r="AJ15" s="144"/>
      <c r="AK15" s="44">
        <v>109.38</v>
      </c>
      <c r="AL15" s="45"/>
      <c r="AM15" s="64"/>
    </row>
    <row r="16" spans="1:39" ht="18" customHeight="1">
      <c r="G16" s="262"/>
      <c r="H16" s="156"/>
      <c r="I16" s="23"/>
      <c r="J16" s="23" t="s">
        <v>54</v>
      </c>
      <c r="K16" s="23"/>
      <c r="L16" s="23"/>
      <c r="M16" s="23" t="s">
        <v>53</v>
      </c>
      <c r="N16" s="23"/>
      <c r="O16" s="23"/>
      <c r="P16" s="23" t="s">
        <v>13</v>
      </c>
      <c r="Q16" s="23"/>
      <c r="R16" s="23"/>
      <c r="S16" s="23"/>
      <c r="T16" s="23"/>
      <c r="U16" s="23"/>
      <c r="V16" s="23"/>
      <c r="W16" s="135" t="s">
        <v>3</v>
      </c>
      <c r="X16" s="23" t="s">
        <v>54</v>
      </c>
      <c r="Y16" s="23" t="s">
        <v>54</v>
      </c>
      <c r="Z16" s="23" t="s">
        <v>54</v>
      </c>
      <c r="AA16" s="23"/>
      <c r="AB16" s="23"/>
      <c r="AC16" s="23" t="s">
        <v>13</v>
      </c>
      <c r="AD16" s="23"/>
      <c r="AE16" s="23" t="s">
        <v>54</v>
      </c>
      <c r="AF16" s="23"/>
      <c r="AG16" s="23"/>
      <c r="AH16" s="23"/>
      <c r="AI16" s="23"/>
      <c r="AJ16" s="142"/>
      <c r="AK16" s="158"/>
      <c r="AL16" s="161"/>
      <c r="AM16" s="64"/>
    </row>
    <row r="17" spans="1:39" ht="18" customHeight="1">
      <c r="G17" s="262"/>
      <c r="H17" s="155"/>
      <c r="I17" s="44"/>
      <c r="J17" s="44">
        <f>2.36+1.08</f>
        <v>3.44</v>
      </c>
      <c r="K17" s="44"/>
      <c r="L17" s="44"/>
      <c r="M17" s="44">
        <v>24</v>
      </c>
      <c r="N17" s="44"/>
      <c r="O17" s="44"/>
      <c r="P17" s="44">
        <v>2.99</v>
      </c>
      <c r="Q17" s="44"/>
      <c r="R17" s="44"/>
      <c r="S17" s="44"/>
      <c r="T17" s="44"/>
      <c r="U17" s="44"/>
      <c r="V17" s="44"/>
      <c r="W17" s="136">
        <f>15+21.9+8.9+5.01+6.6</f>
        <v>57.41</v>
      </c>
      <c r="X17" s="44">
        <v>16</v>
      </c>
      <c r="Y17" s="44">
        <v>14.4</v>
      </c>
      <c r="Z17" s="44">
        <v>61.73</v>
      </c>
      <c r="AA17" s="44"/>
      <c r="AB17" s="44"/>
      <c r="AC17" s="44">
        <v>116.33</v>
      </c>
      <c r="AD17" s="44"/>
      <c r="AE17" s="44">
        <v>5.0199999999999996</v>
      </c>
      <c r="AF17" s="44"/>
      <c r="AG17" s="44"/>
      <c r="AH17" s="44"/>
      <c r="AI17" s="44"/>
      <c r="AJ17" s="144"/>
      <c r="AK17" s="146"/>
      <c r="AL17" s="162"/>
      <c r="AM17" s="64"/>
    </row>
    <row r="18" spans="1:39" ht="18" customHeight="1">
      <c r="G18" s="262"/>
      <c r="H18" s="156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 t="s">
        <v>54</v>
      </c>
      <c r="Y18" s="23" t="s">
        <v>13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142"/>
      <c r="AK18" s="23"/>
      <c r="AL18" s="24"/>
      <c r="AM18" s="64"/>
    </row>
    <row r="19" spans="1:39" ht="18" customHeight="1">
      <c r="G19" s="262"/>
      <c r="H19" s="155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>
        <v>80</v>
      </c>
      <c r="Y19" s="44">
        <v>149.46</v>
      </c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144"/>
      <c r="AK19" s="44"/>
      <c r="AL19" s="45"/>
      <c r="AM19" s="64"/>
    </row>
    <row r="20" spans="1:39" ht="18" customHeight="1">
      <c r="G20" s="262"/>
      <c r="H20" s="156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 t="s">
        <v>54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42"/>
      <c r="AK20" s="158"/>
      <c r="AL20" s="161"/>
      <c r="AM20" s="64"/>
    </row>
    <row r="21" spans="1:39" ht="18" customHeight="1" thickBot="1">
      <c r="G21" s="263"/>
      <c r="H21" s="157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>
        <f>8+10+0.5</f>
        <v>18.5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145"/>
      <c r="AK21" s="51"/>
      <c r="AL21" s="54"/>
      <c r="AM21" s="64"/>
    </row>
    <row r="22" spans="1:39" ht="18" customHeight="1">
      <c r="G22" s="301" t="s">
        <v>10</v>
      </c>
      <c r="H22" s="147">
        <f>IF($H$2=$A$2,A3+$H$3,A3)+IF($H$4=$A$2,$H$5,0)+IF($H$6=$A$2,$H$7,0)+IF($H$8=$A$2,$H$9,0)+IF($H$10=$A$2,$H$11,0)-IF($H$12=$A$2,$H$13,0)-IF($H$14=$A$2,$H$15,0)-IF($H$16=$A$2,$H$17,0)-IF($H$18=$A$2,$H$19,0)-IF($H$20=$A$2,$H$21,0)</f>
        <v>512.39999999999975</v>
      </c>
      <c r="I22" s="148">
        <f>IF(I$2=$A$2,H22+I$3,H22)+IF(I$4=$A$2,I$5,0)+IF(I$6=$A$2,I$7,0)+IF(I$8=$A$2,I$9,0)+IF(I$10=$A$2,I$11,0)-IF(I$12=$A$2,I$13,0)-IF(I$14=$A$2,I$15,0)-IF(I$16=$A$2,I$17,0)-IF(I$18=$A$2,I$19,0)-IF(I$20=$A$2,I$21,0)</f>
        <v>512.39999999999975</v>
      </c>
      <c r="J22" s="148">
        <f t="shared" ref="J22" si="1">IF(J$2=$A$2,I22+J$3,I22)+IF(J$4=$A$2,J$5,0)+IF(J$6=$A$2,J$7,0)+IF(J$8=$A$2,J$9,0)+IF(J$10=$A$2,J$11,0)-IF(J$12=$A$2,J$13,0)-IF(J$14=$A$2,J$15,0)-IF(J$16=$A$2,J$17,0)-IF(J$18=$A$2,J$19,0)-IF(J$20=$A$2,J$21,0)</f>
        <v>512.39999999999975</v>
      </c>
      <c r="K22" s="148">
        <f t="shared" ref="K22" si="2">IF(K$2=$A$2,J22+K$3,J22)+IF(K$4=$A$2,K$5,0)+IF(K$6=$A$2,K$7,0)+IF(K$8=$A$2,K$9,0)+IF(K$10=$A$2,K$11,0)-IF(K$12=$A$2,K$13,0)-IF(K$14=$A$2,K$15,0)-IF(K$16=$A$2,K$17,0)-IF(K$18=$A$2,K$19,0)-IF(K$20=$A$2,K$21,0)</f>
        <v>512.39999999999975</v>
      </c>
      <c r="L22" s="148">
        <f t="shared" ref="L22" si="3">IF(L$2=$A$2,K22+L$3,K22)+IF(L$4=$A$2,L$5,0)+IF(L$6=$A$2,L$7,0)+IF(L$8=$A$2,L$9,0)+IF(L$10=$A$2,L$11,0)-IF(L$12=$A$2,L$13,0)-IF(L$14=$A$2,L$15,0)-IF(L$16=$A$2,L$17,0)-IF(L$18=$A$2,L$19,0)-IF(L$20=$A$2,L$21,0)</f>
        <v>362.39999999999975</v>
      </c>
      <c r="M22" s="148">
        <f t="shared" ref="M22" si="4">IF(M$2=$A$2,L22+M$3,L22)+IF(M$4=$A$2,M$5,0)+IF(M$6=$A$2,M$7,0)+IF(M$8=$A$2,M$9,0)+IF(M$10=$A$2,M$11,0)-IF(M$12=$A$2,M$13,0)-IF(M$14=$A$2,M$15,0)-IF(M$16=$A$2,M$17,0)-IF(M$18=$A$2,M$19,0)-IF(M$20=$A$2,M$21,0)</f>
        <v>301.53999999999974</v>
      </c>
      <c r="N22" s="148">
        <f t="shared" ref="N22" si="5">IF(N$2=$A$2,M22+N$3,M22)+IF(N$4=$A$2,N$5,0)+IF(N$6=$A$2,N$7,0)+IF(N$8=$A$2,N$9,0)+IF(N$10=$A$2,N$11,0)-IF(N$12=$A$2,N$13,0)-IF(N$14=$A$2,N$15,0)-IF(N$16=$A$2,N$17,0)-IF(N$18=$A$2,N$19,0)-IF(N$20=$A$2,N$21,0)</f>
        <v>281.53999999999974</v>
      </c>
      <c r="O22" s="148">
        <f t="shared" ref="O22" si="6">IF(O$2=$A$2,N22+O$3,N22)+IF(O$4=$A$2,O$5,0)+IF(O$6=$A$2,O$7,0)+IF(O$8=$A$2,O$9,0)+IF(O$10=$A$2,O$11,0)-IF(O$12=$A$2,O$13,0)-IF(O$14=$A$2,O$15,0)-IF(O$16=$A$2,O$17,0)-IF(O$18=$A$2,O$19,0)-IF(O$20=$A$2,O$21,0)</f>
        <v>281.53999999999974</v>
      </c>
      <c r="P22" s="148">
        <f t="shared" ref="P22" si="7">IF(P$2=$A$2,O22+P$3,O22)+IF(P$4=$A$2,P$5,0)+IF(P$6=$A$2,P$7,0)+IF(P$8=$A$2,P$9,0)+IF(P$10=$A$2,P$11,0)-IF(P$12=$A$2,P$13,0)-IF(P$14=$A$2,P$15,0)-IF(P$16=$A$2,P$17,0)-IF(P$18=$A$2,P$19,0)-IF(P$20=$A$2,P$21,0)</f>
        <v>1200.5399999999997</v>
      </c>
      <c r="Q22" s="148">
        <f t="shared" ref="Q22" si="8">IF(Q$2=$A$2,P22+Q$3,P22)+IF(Q$4=$A$2,Q$5,0)+IF(Q$6=$A$2,Q$7,0)+IF(Q$8=$A$2,Q$9,0)+IF(Q$10=$A$2,Q$11,0)-IF(Q$12=$A$2,Q$13,0)-IF(Q$14=$A$2,Q$15,0)-IF(Q$16=$A$2,Q$17,0)-IF(Q$18=$A$2,Q$19,0)-IF(Q$20=$A$2,Q$21,0)</f>
        <v>1200.5399999999997</v>
      </c>
      <c r="R22" s="148">
        <f t="shared" ref="R22" si="9">IF(R$2=$A$2,Q22+R$3,Q22)+IF(R$4=$A$2,R$5,0)+IF(R$6=$A$2,R$7,0)+IF(R$8=$A$2,R$9,0)+IF(R$10=$A$2,R$11,0)-IF(R$12=$A$2,R$13,0)-IF(R$14=$A$2,R$15,0)-IF(R$16=$A$2,R$17,0)-IF(R$18=$A$2,R$19,0)-IF(R$20=$A$2,R$21,0)</f>
        <v>1200.5399999999997</v>
      </c>
      <c r="S22" s="148">
        <f t="shared" ref="S22" si="10">IF(S$2=$A$2,R22+S$3,R22)+IF(S$4=$A$2,S$5,0)+IF(S$6=$A$2,S$7,0)+IF(S$8=$A$2,S$9,0)+IF(S$10=$A$2,S$11,0)-IF(S$12=$A$2,S$13,0)-IF(S$14=$A$2,S$15,0)-IF(S$16=$A$2,S$17,0)-IF(S$18=$A$2,S$19,0)-IF(S$20=$A$2,S$21,0)</f>
        <v>1200.5399999999997</v>
      </c>
      <c r="T22" s="148">
        <f t="shared" ref="T22" si="11">IF(T$2=$A$2,S22+T$3,S22)+IF(T$4=$A$2,T$5,0)+IF(T$6=$A$2,T$7,0)+IF(T$8=$A$2,T$9,0)+IF(T$10=$A$2,T$11,0)-IF(T$12=$A$2,T$13,0)-IF(T$14=$A$2,T$15,0)-IF(T$16=$A$2,T$17,0)-IF(T$18=$A$2,T$19,0)-IF(T$20=$A$2,T$21,0)</f>
        <v>1200.5399999999997</v>
      </c>
      <c r="U22" s="148">
        <f t="shared" ref="U22" si="12">IF(U$2=$A$2,T22+U$3,T22)+IF(U$4=$A$2,U$5,0)+IF(U$6=$A$2,U$7,0)+IF(U$8=$A$2,U$9,0)+IF(U$10=$A$2,U$11,0)-IF(U$12=$A$2,U$13,0)-IF(U$14=$A$2,U$15,0)-IF(U$16=$A$2,U$17,0)-IF(U$18=$A$2,U$19,0)-IF(U$20=$A$2,U$21,0)</f>
        <v>1200.5399999999997</v>
      </c>
      <c r="V22" s="148">
        <f t="shared" ref="V22" si="13">IF(V$2=$A$2,U22+V$3,U22)+IF(V$4=$A$2,V$5,0)+IF(V$6=$A$2,V$7,0)+IF(V$8=$A$2,V$9,0)+IF(V$10=$A$2,V$11,0)-IF(V$12=$A$2,V$13,0)-IF(V$14=$A$2,V$15,0)-IF(V$16=$A$2,V$17,0)-IF(V$18=$A$2,V$19,0)-IF(V$20=$A$2,V$21,0)</f>
        <v>1200.5399999999997</v>
      </c>
      <c r="W22" s="148">
        <f t="shared" ref="W22" si="14">IF(W$2=$A$2,V22+W$3,V22)+IF(W$4=$A$2,W$5,0)+IF(W$6=$A$2,W$7,0)+IF(W$8=$A$2,W$9,0)+IF(W$10=$A$2,W$11,0)-IF(W$12=$A$2,W$13,0)-IF(W$14=$A$2,W$15,0)-IF(W$16=$A$2,W$17,0)-IF(W$18=$A$2,W$19,0)-IF(W$20=$A$2,W$21,0)</f>
        <v>1200.5399999999997</v>
      </c>
      <c r="X22" s="148">
        <f t="shared" ref="X22" si="15">IF(X$2=$A$2,W22+X$3,W22)+IF(X$4=$A$2,X$5,0)+IF(X$6=$A$2,X$7,0)+IF(X$8=$A$2,X$9,0)+IF(X$10=$A$2,X$11,0)-IF(X$12=$A$2,X$13,0)-IF(X$14=$A$2,X$15,0)-IF(X$16=$A$2,X$17,0)-IF(X$18=$A$2,X$19,0)-IF(X$20=$A$2,X$21,0)</f>
        <v>1200.5399999999997</v>
      </c>
      <c r="Y22" s="148">
        <f t="shared" ref="Y22" si="16">IF(Y$2=$A$2,X22+Y$3,X22)+IF(Y$4=$A$2,Y$5,0)+IF(Y$6=$A$2,Y$7,0)+IF(Y$8=$A$2,Y$9,0)+IF(Y$10=$A$2,Y$11,0)-IF(Y$12=$A$2,Y$13,0)-IF(Y$14=$A$2,Y$15,0)-IF(Y$16=$A$2,Y$17,0)-IF(Y$18=$A$2,Y$19,0)-IF(Y$20=$A$2,Y$21,0)</f>
        <v>1200.5399999999997</v>
      </c>
      <c r="Z22" s="148">
        <f t="shared" ref="Z22:AA22" si="17">IF(Z$2=$A$2,Y22+Z$3,Y22)+IF(Z$4=$A$2,Z$5,0)+IF(Z$6=$A$2,Z$7,0)+IF(Z$8=$A$2,Z$9,0)+IF(Z$10=$A$2,Z$11,0)-IF(Z$12=$A$2,Z$13,0)-IF(Z$14=$A$2,Z$15,0)-IF(Z$16=$A$2,Z$17,0)-IF(Z$18=$A$2,Z$19,0)-IF(Z$20=$A$2,Z$21,0)</f>
        <v>1200.5399999999997</v>
      </c>
      <c r="AA22" s="148">
        <f t="shared" si="17"/>
        <v>1200.5399999999997</v>
      </c>
      <c r="AB22" s="148">
        <f t="shared" ref="AB22" si="18">IF(AB$2=$A$2,AA22+AB$3,AA22)+IF(AB$4=$A$2,AB$5,0)+IF(AB$6=$A$2,AB$7,0)+IF(AB$8=$A$2,AB$9,0)+IF(AB$10=$A$2,AB$11,0)-IF(AB$12=$A$2,AB$13,0)-IF(AB$14=$A$2,AB$15,0)-IF(AB$16=$A$2,AB$17,0)-IF(AB$18=$A$2,AB$19,0)-IF(AB$20=$A$2,AB$21,0)</f>
        <v>1200.5399999999997</v>
      </c>
      <c r="AC22" s="148">
        <f t="shared" ref="AC22:AE22" si="19">IF(AC$2=$A$2,AB22+AC$3,AB22)+IF(AC$4=$A$2,AC$5,0)+IF(AC$6=$A$2,AC$7,0)+IF(AC$8=$A$2,AC$9,0)+IF(AC$10=$A$2,AC$11,0)-IF(AC$12=$A$2,AC$13,0)-IF(AC$14=$A$2,AC$15,0)-IF(AC$16=$A$2,AC$17,0)-IF(AC$18=$A$2,AC$19,0)-IF(AC$20=$A$2,AC$21,0)</f>
        <v>1031.6699999999996</v>
      </c>
      <c r="AD22" s="148">
        <f t="shared" si="19"/>
        <v>2031.6699999999996</v>
      </c>
      <c r="AE22" s="148">
        <f t="shared" si="19"/>
        <v>2031.6699999999996</v>
      </c>
      <c r="AF22" s="148">
        <f t="shared" ref="AF22" si="20">IF(AF$2=$A$2,AE22+AF$3,AE22)+IF(AF$4=$A$2,AF$5,0)+IF(AF$6=$A$2,AF$7,0)+IF(AF$8=$A$2,AF$9,0)+IF(AF$10=$A$2,AF$11,0)-IF(AF$12=$A$2,AF$13,0)-IF(AF$14=$A$2,AF$15,0)-IF(AF$16=$A$2,AF$17,0)-IF(AF$18=$A$2,AF$19,0)-IF(AF$20=$A$2,AF$21,0)</f>
        <v>2031.6699999999996</v>
      </c>
      <c r="AG22" s="148">
        <f t="shared" ref="AG22" si="21">IF(AG$2=$A$2,AF22+AG$3,AF22)+IF(AG$4=$A$2,AG$5,0)+IF(AG$6=$A$2,AG$7,0)+IF(AG$8=$A$2,AG$9,0)+IF(AG$10=$A$2,AG$11,0)-IF(AG$12=$A$2,AG$13,0)-IF(AG$14=$A$2,AG$15,0)-IF(AG$16=$A$2,AG$17,0)-IF(AG$18=$A$2,AG$19,0)-IF(AG$20=$A$2,AG$21,0)</f>
        <v>2031.6699999999996</v>
      </c>
      <c r="AH22" s="148">
        <f t="shared" ref="AH22" si="22">IF(AH$2=$A$2,AG22+AH$3,AG22)+IF(AH$4=$A$2,AH$5,0)+IF(AH$6=$A$2,AH$7,0)+IF(AH$8=$A$2,AH$9,0)+IF(AH$10=$A$2,AH$11,0)-IF(AH$12=$A$2,AH$13,0)-IF(AH$14=$A$2,AH$15,0)-IF(AH$16=$A$2,AH$17,0)-IF(AH$18=$A$2,AH$19,0)-IF(AH$20=$A$2,AH$21,0)</f>
        <v>2031.6699999999996</v>
      </c>
      <c r="AI22" s="148">
        <f t="shared" ref="AI22" si="23">IF(AI$2=$A$2,AH22+AI$3,AH22)+IF(AI$4=$A$2,AI$5,0)+IF(AI$6=$A$2,AI$7,0)+IF(AI$8=$A$2,AI$9,0)+IF(AI$10=$A$2,AI$11,0)-IF(AI$12=$A$2,AI$13,0)-IF(AI$14=$A$2,AI$15,0)-IF(AI$16=$A$2,AI$17,0)-IF(AI$18=$A$2,AI$19,0)-IF(AI$20=$A$2,AI$21,0)</f>
        <v>2031.6699999999996</v>
      </c>
      <c r="AJ22" s="148">
        <f t="shared" ref="AJ22" si="24">IF(AJ$2=$A$2,AI22+AJ$3,AI22)+IF(AJ$4=$A$2,AJ$5,0)+IF(AJ$6=$A$2,AJ$7,0)+IF(AJ$8=$A$2,AJ$9,0)+IF(AJ$10=$A$2,AJ$11,0)-IF(AJ$12=$A$2,AJ$13,0)-IF(AJ$14=$A$2,AJ$15,0)-IF(AJ$16=$A$2,AJ$17,0)-IF(AJ$18=$A$2,AJ$19,0)-IF(AJ$20=$A$2,AJ$21,0)</f>
        <v>2031.6699999999996</v>
      </c>
      <c r="AK22" s="148">
        <f t="shared" ref="AK22:AL22" si="25">IF(AK$2=$A$2,AJ22+AK$3,AJ22)+IF(AK$4=$A$2,AK$5,0)+IF(AK$6=$A$2,AK$7,0)+IF(AK$8=$A$2,AK$9,0)+IF(AK$10=$A$2,AK$11,0)-IF(AK$12=$A$2,AK$13,0)-IF(AK$14=$A$2,AK$15,0)-IF(AK$16=$A$2,AK$17,0)-IF(AK$18=$A$2,AK$19,0)-IF(AK$20=$A$2,AK$21,0)</f>
        <v>1931.0599999999997</v>
      </c>
      <c r="AL22" s="27">
        <f t="shared" si="25"/>
        <v>1931.0599999999997</v>
      </c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2687.2200000000007</v>
      </c>
      <c r="I23" s="25">
        <f>IF(I$2=$B$2,H23+I$3,H23)+IF(I$4=$B$2,I$5,0)+IF(I$6=$B$2,I$7,0)+IF(I$8=$B$2,I$9,0)+IF(I$10=$B$2,I$11,0)-IF(I$12=$B$2,I$13,0)-IF(I$14=$B$2,I$15,0)-IF(I$16=$B$2,I$17,0)-IF(I$18=$B$2,I$19,0)-IF(I$20=$B$2,I$21,0)</f>
        <v>2687.2200000000007</v>
      </c>
      <c r="J23" s="25">
        <f>IF(J2=$B$2,I23+J3,I23)+IF(J4=$B$2,J5,0)+IF(J6=$B$2,J7,0)+IF(J8=$B$2,J9,0)+IF(J10=$B$2,J11,0)-IF(J12=$B$2,J13,0)-IF(J14=$B$2,J15,0)-IF(J16=$B$2,J17,0)-IF(J18=$B$2,J19,0)-IF(J20=$B$2,J21,0)</f>
        <v>2435.5000000000005</v>
      </c>
      <c r="K23" s="25">
        <f t="shared" ref="K23:M23" si="26">IF(K2=$B$2,J23+K3,J23)+IF(K4=$B$2,K5,0)+IF(K6=$B$2,K7,0)+IF(K8=$B$2,K9,0)+IF(K10=$B$2,K11,0)-IF(K12=$B$2,K13,0)-IF(K14=$B$2,K15,0)-IF(K16=$B$2,K17,0)-IF(K18=$B$2,K19,0)-IF(K20=$B$2,K21,0)</f>
        <v>2435.5000000000005</v>
      </c>
      <c r="L23" s="25">
        <f t="shared" si="26"/>
        <v>2435.5000000000005</v>
      </c>
      <c r="M23" s="25">
        <f t="shared" si="26"/>
        <v>2435.5000000000005</v>
      </c>
      <c r="N23" s="25">
        <f t="shared" ref="N23" si="27">IF(N2=$B$2,M23+N3,M23)+IF(N4=$B$2,N5,0)+IF(N6=$B$2,N7,0)+IF(N8=$B$2,N9,0)+IF(N10=$B$2,N11,0)-IF(N12=$B$2,N13,0)-IF(N14=$B$2,N15,0)-IF(N16=$B$2,N17,0)-IF(N18=$B$2,N19,0)-IF(N20=$B$2,N21,0)</f>
        <v>2435.5000000000005</v>
      </c>
      <c r="O23" s="25">
        <f t="shared" ref="O23" si="28">IF(O2=$B$2,N23+O3,N23)+IF(O4=$B$2,O5,0)+IF(O6=$B$2,O7,0)+IF(O8=$B$2,O9,0)+IF(O10=$B$2,O11,0)-IF(O12=$B$2,O13,0)-IF(O14=$B$2,O15,0)-IF(O16=$B$2,O17,0)-IF(O18=$B$2,O19,0)-IF(O20=$B$2,O21,0)</f>
        <v>2205.1300000000006</v>
      </c>
      <c r="P23" s="25">
        <f t="shared" ref="P23" si="29">IF(P2=$B$2,O23+P3,O23)+IF(P4=$B$2,P5,0)+IF(P6=$B$2,P7,0)+IF(P8=$B$2,P9,0)+IF(P10=$B$2,P11,0)-IF(P12=$B$2,P13,0)-IF(P14=$B$2,P15,0)-IF(P16=$B$2,P17,0)-IF(P18=$B$2,P19,0)-IF(P20=$B$2,P21,0)</f>
        <v>2154.0000000000005</v>
      </c>
      <c r="Q23" s="25">
        <f t="shared" ref="Q23" si="30">IF(Q2=$B$2,P23+Q3,P23)+IF(Q4=$B$2,Q5,0)+IF(Q6=$B$2,Q7,0)+IF(Q8=$B$2,Q9,0)+IF(Q10=$B$2,Q11,0)-IF(Q12=$B$2,Q13,0)-IF(Q14=$B$2,Q15,0)-IF(Q16=$B$2,Q17,0)-IF(Q18=$B$2,Q19,0)-IF(Q20=$B$2,Q21,0)</f>
        <v>2148.0000000000005</v>
      </c>
      <c r="R23" s="25">
        <f t="shared" ref="R23" si="31">IF(R2=$B$2,Q23+R3,Q23)+IF(R4=$B$2,R5,0)+IF(R6=$B$2,R7,0)+IF(R8=$B$2,R9,0)+IF(R10=$B$2,R11,0)-IF(R12=$B$2,R13,0)-IF(R14=$B$2,R15,0)-IF(R16=$B$2,R17,0)-IF(R18=$B$2,R19,0)-IF(R20=$B$2,R21,0)</f>
        <v>2147.3400000000006</v>
      </c>
      <c r="S23" s="25">
        <f t="shared" ref="S23" si="32">IF(S2=$B$2,R23+S3,R23)+IF(S4=$B$2,S5,0)+IF(S6=$B$2,S7,0)+IF(S8=$B$2,S9,0)+IF(S10=$B$2,S11,0)-IF(S12=$B$2,S13,0)-IF(S14=$B$2,S15,0)-IF(S16=$B$2,S17,0)-IF(S18=$B$2,S19,0)-IF(S20=$B$2,S21,0)</f>
        <v>2040.3400000000006</v>
      </c>
      <c r="T23" s="25">
        <f t="shared" ref="T23" si="33">IF(T2=$B$2,S23+T3,S23)+IF(T4=$B$2,T5,0)+IF(T6=$B$2,T7,0)+IF(T8=$B$2,T9,0)+IF(T10=$B$2,T11,0)-IF(T12=$B$2,T13,0)-IF(T14=$B$2,T15,0)-IF(T16=$B$2,T17,0)-IF(T18=$B$2,T19,0)-IF(T20=$B$2,T21,0)</f>
        <v>2040.3400000000006</v>
      </c>
      <c r="U23" s="25">
        <f t="shared" ref="U23" si="34">IF(U2=$B$2,T23+U3,T23)+IF(U4=$B$2,U5,0)+IF(U6=$B$2,U7,0)+IF(U8=$B$2,U9,0)+IF(U10=$B$2,U11,0)-IF(U12=$B$2,U13,0)-IF(U14=$B$2,U15,0)-IF(U16=$B$2,U17,0)-IF(U18=$B$2,U19,0)-IF(U20=$B$2,U21,0)</f>
        <v>2000.6800000000005</v>
      </c>
      <c r="V23" s="25">
        <f t="shared" ref="V23" si="35">IF(V2=$B$2,U23+V3,U23)+IF(V4=$B$2,V5,0)+IF(V6=$B$2,V7,0)+IF(V8=$B$2,V9,0)+IF(V10=$B$2,V11,0)-IF(V12=$B$2,V13,0)-IF(V14=$B$2,V15,0)-IF(V16=$B$2,V17,0)-IF(V18=$B$2,V19,0)-IF(V20=$B$2,V21,0)</f>
        <v>2000.6800000000005</v>
      </c>
      <c r="W23" s="25">
        <f t="shared" ref="W23" si="36">IF(W2=$B$2,V23+W3,V23)+IF(W4=$B$2,W5,0)+IF(W6=$B$2,W7,0)+IF(W8=$B$2,W9,0)+IF(W10=$B$2,W11,0)-IF(W12=$B$2,W13,0)-IF(W14=$B$2,W15,0)-IF(W16=$B$2,W17,0)-IF(W18=$B$2,W19,0)-IF(W20=$B$2,W21,0)</f>
        <v>2000.6800000000005</v>
      </c>
      <c r="X23" s="25">
        <f t="shared" ref="X23" si="37">IF(X2=$B$2,W23+X3,W23)+IF(X4=$B$2,X5,0)+IF(X6=$B$2,X7,0)+IF(X8=$B$2,X9,0)+IF(X10=$B$2,X11,0)-IF(X12=$B$2,X13,0)-IF(X14=$B$2,X15,0)-IF(X16=$B$2,X17,0)-IF(X18=$B$2,X19,0)-IF(X20=$B$2,X21,0)</f>
        <v>1706.4300000000005</v>
      </c>
      <c r="Y23" s="25">
        <f t="shared" ref="Y23:AA23" si="38">IF(Y2=$B$2,X23+Y3,X23)+IF(Y4=$B$2,Y5,0)+IF(Y6=$B$2,Y7,0)+IF(Y8=$B$2,Y9,0)+IF(Y10=$B$2,Y11,0)-IF(Y12=$B$2,Y13,0)-IF(Y14=$B$2,Y15,0)-IF(Y16=$B$2,Y17,0)-IF(Y18=$B$2,Y19,0)-IF(Y20=$B$2,Y21,0)</f>
        <v>790.8300000000005</v>
      </c>
      <c r="Z23" s="25">
        <f t="shared" si="38"/>
        <v>369.10000000000048</v>
      </c>
      <c r="AA23" s="25">
        <f t="shared" si="38"/>
        <v>162.56000000000049</v>
      </c>
      <c r="AB23" s="25">
        <f t="shared" ref="AB23" si="39">IF(AB2=$B$2,AA23+AB3,AA23)+IF(AB4=$B$2,AB5,0)+IF(AB6=$B$2,AB7,0)+IF(AB8=$B$2,AB9,0)+IF(AB10=$B$2,AB11,0)-IF(AB12=$B$2,AB13,0)-IF(AB14=$B$2,AB15,0)-IF(AB16=$B$2,AB17,0)-IF(AB18=$B$2,AB19,0)-IF(AB20=$B$2,AB21,0)</f>
        <v>162.56000000000049</v>
      </c>
      <c r="AC23" s="25">
        <f t="shared" ref="AC23:AE23" si="40">IF(AC2=$B$2,AB23+AC3,AB23)+IF(AC4=$B$2,AC5,0)+IF(AC6=$B$2,AC7,0)+IF(AC8=$B$2,AC9,0)+IF(AC10=$B$2,AC11,0)-IF(AC12=$B$2,AC13,0)-IF(AC14=$B$2,AC15,0)-IF(AC16=$B$2,AC17,0)-IF(AC18=$B$2,AC19,0)-IF(AC20=$B$2,AC21,0)</f>
        <v>132.75000000000048</v>
      </c>
      <c r="AD23" s="25">
        <f t="shared" si="40"/>
        <v>109.90000000000047</v>
      </c>
      <c r="AE23" s="25">
        <f t="shared" si="40"/>
        <v>87.390000000000484</v>
      </c>
      <c r="AF23" s="25">
        <f t="shared" ref="AF23" si="41">IF(AF2=$B$2,AE23+AF3,AE23)+IF(AF4=$B$2,AF5,0)+IF(AF6=$B$2,AF7,0)+IF(AF8=$B$2,AF9,0)+IF(AF10=$B$2,AF11,0)-IF(AF12=$B$2,AF13,0)-IF(AF14=$B$2,AF15,0)-IF(AF16=$B$2,AF17,0)-IF(AF18=$B$2,AF19,0)-IF(AF20=$B$2,AF21,0)</f>
        <v>87.390000000000484</v>
      </c>
      <c r="AG23" s="25">
        <f t="shared" ref="AG23" si="42">IF(AG2=$B$2,AF23+AG3,AF23)+IF(AG4=$B$2,AG5,0)+IF(AG6=$B$2,AG7,0)+IF(AG8=$B$2,AG9,0)+IF(AG10=$B$2,AG11,0)-IF(AG12=$B$2,AG13,0)-IF(AG14=$B$2,AG15,0)-IF(AG16=$B$2,AG17,0)-IF(AG18=$B$2,AG19,0)-IF(AG20=$B$2,AG21,0)</f>
        <v>87.390000000000484</v>
      </c>
      <c r="AH23" s="25">
        <f t="shared" ref="AH23" si="43">IF(AH2=$B$2,AG23+AH3,AG23)+IF(AH4=$B$2,AH5,0)+IF(AH6=$B$2,AH7,0)+IF(AH8=$B$2,AH9,0)+IF(AH10=$B$2,AH11,0)-IF(AH12=$B$2,AH13,0)-IF(AH14=$B$2,AH15,0)-IF(AH16=$B$2,AH17,0)-IF(AH18=$B$2,AH19,0)-IF(AH20=$B$2,AH21,0)</f>
        <v>30.110000000000486</v>
      </c>
      <c r="AI23" s="25">
        <f t="shared" ref="AI23" si="44">IF(AI2=$B$2,AH23+AI3,AH23)+IF(AI4=$B$2,AI5,0)+IF(AI6=$B$2,AI7,0)+IF(AI8=$B$2,AI9,0)+IF(AI10=$B$2,AI11,0)-IF(AI12=$B$2,AI13,0)-IF(AI14=$B$2,AI15,0)-IF(AI16=$B$2,AI17,0)-IF(AI18=$B$2,AI19,0)-IF(AI20=$B$2,AI21,0)</f>
        <v>30.110000000000486</v>
      </c>
      <c r="AJ23" s="25">
        <f t="shared" ref="AJ23" si="45">IF(AJ2=$B$2,AI23+AJ3,AI23)+IF(AJ4=$B$2,AJ5,0)+IF(AJ6=$B$2,AJ7,0)+IF(AJ8=$B$2,AJ9,0)+IF(AJ10=$B$2,AJ11,0)-IF(AJ12=$B$2,AJ13,0)-IF(AJ14=$B$2,AJ15,0)-IF(AJ16=$B$2,AJ17,0)-IF(AJ18=$B$2,AJ19,0)-IF(AJ20=$B$2,AJ21,0)</f>
        <v>30.110000000000486</v>
      </c>
      <c r="AK23" s="25">
        <f t="shared" ref="AK23:AL23" si="46">IF(AK2=$B$2,AJ23+AK3,AJ23)+IF(AK4=$B$2,AK5,0)+IF(AK6=$B$2,AK7,0)+IF(AK8=$B$2,AK9,0)+IF(AK10=$B$2,AK11,0)-IF(AK12=$B$2,AK13,0)-IF(AK14=$B$2,AK15,0)-IF(AK16=$B$2,AK17,0)-IF(AK18=$B$2,AK19,0)-IF(AK20=$B$2,AK21,0)</f>
        <v>630.11000000000047</v>
      </c>
      <c r="AL23" s="30">
        <f t="shared" si="46"/>
        <v>630.11000000000047</v>
      </c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212</v>
      </c>
      <c r="I24" s="29">
        <f>IF(I$2=$C$2,H24+I$3,H24)+IF(I$4=$C$2,I$5,0)+IF(I$6=$C$2,I$7,0)+IF(I$8=$C$2,I$9,0)+IF(I$10=$C$2,I$11,0)-IF(I$12=$C$2,I$13,0)-IF(I$14=$C$2,I$15,0)-IF(I$16=$C$2,I$17,0)-IF(I$18=$C$2,I$19,0)-IF(I$20=$C$2,I$21,0)</f>
        <v>212</v>
      </c>
      <c r="J24" s="29">
        <f>IF(J$2=$C$2,I24+J$3,I24)+IF(J$4=$C$2,J$5,0)+IF(J$6=$C$2,J$7,0)+IF(J$8=$C$2,J$9,0)+IF(J$10=$C$2,J$11,0)-IF(J$12=$C$2,J$13,0)-IF(J$14=$C$2,J$15,0)-IF(J$16=$C$2,J$17,0)-IF(J$18=$C$2,J$19,0)-IF(J$20=$C$2,J$21,0)</f>
        <v>212</v>
      </c>
      <c r="K24" s="29">
        <f t="shared" ref="K24:M24" si="47">IF(K$2=$C$2,J24+K$3,J24)+IF(K$4=$C$2,K$5,0)+IF(K$6=$C$2,K$7,0)+IF(K$8=$C$2,K$9,0)+IF(K$10=$C$2,K$11,0)-IF(K$12=$C$2,K$13,0)-IF(K$14=$C$2,K$15,0)-IF(K$16=$C$2,K$17,0)-IF(K$18=$C$2,K$19,0)-IF(K$20=$C$2,K$21,0)</f>
        <v>212</v>
      </c>
      <c r="L24" s="29">
        <f t="shared" si="47"/>
        <v>212</v>
      </c>
      <c r="M24" s="29">
        <f t="shared" si="47"/>
        <v>212</v>
      </c>
      <c r="N24" s="29">
        <f t="shared" ref="N24" si="48">IF(N$2=$C$2,M24+N$3,M24)+IF(N$4=$C$2,N$5,0)+IF(N$6=$C$2,N$7,0)+IF(N$8=$C$2,N$9,0)+IF(N$10=$C$2,N$11,0)-IF(N$12=$C$2,N$13,0)-IF(N$14=$C$2,N$15,0)-IF(N$16=$C$2,N$17,0)-IF(N$18=$C$2,N$19,0)-IF(N$20=$C$2,N$21,0)</f>
        <v>202</v>
      </c>
      <c r="O24" s="29">
        <f t="shared" ref="O24" si="49">IF(O$2=$C$2,N24+O$3,N24)+IF(O$4=$C$2,O$5,0)+IF(O$6=$C$2,O$7,0)+IF(O$8=$C$2,O$9,0)+IF(O$10=$C$2,O$11,0)-IF(O$12=$C$2,O$13,0)-IF(O$14=$C$2,O$15,0)-IF(O$16=$C$2,O$17,0)-IF(O$18=$C$2,O$19,0)-IF(O$20=$C$2,O$21,0)</f>
        <v>202</v>
      </c>
      <c r="P24" s="29">
        <f t="shared" ref="P24" si="50">IF(P$2=$C$2,O24+P$3,O24)+IF(P$4=$C$2,P$5,0)+IF(P$6=$C$2,P$7,0)+IF(P$8=$C$2,P$9,0)+IF(P$10=$C$2,P$11,0)-IF(P$12=$C$2,P$13,0)-IF(P$14=$C$2,P$15,0)-IF(P$16=$C$2,P$17,0)-IF(P$18=$C$2,P$19,0)-IF(P$20=$C$2,P$21,0)</f>
        <v>202</v>
      </c>
      <c r="Q24" s="29">
        <f t="shared" ref="Q24" si="51">IF(Q$2=$C$2,P24+Q$3,P24)+IF(Q$4=$C$2,Q$5,0)+IF(Q$6=$C$2,Q$7,0)+IF(Q$8=$C$2,Q$9,0)+IF(Q$10=$C$2,Q$11,0)-IF(Q$12=$C$2,Q$13,0)-IF(Q$14=$C$2,Q$15,0)-IF(Q$16=$C$2,Q$17,0)-IF(Q$18=$C$2,Q$19,0)-IF(Q$20=$C$2,Q$21,0)</f>
        <v>202</v>
      </c>
      <c r="R24" s="29">
        <f t="shared" ref="R24" si="52">IF(R$2=$C$2,Q24+R$3,Q24)+IF(R$4=$C$2,R$5,0)+IF(R$6=$C$2,R$7,0)+IF(R$8=$C$2,R$9,0)+IF(R$10=$C$2,R$11,0)-IF(R$12=$C$2,R$13,0)-IF(R$14=$C$2,R$15,0)-IF(R$16=$C$2,R$17,0)-IF(R$18=$C$2,R$19,0)-IF(R$20=$C$2,R$21,0)</f>
        <v>202</v>
      </c>
      <c r="S24" s="29">
        <f t="shared" ref="S24" si="53">IF(S$2=$C$2,R24+S$3,R24)+IF(S$4=$C$2,S$5,0)+IF(S$6=$C$2,S$7,0)+IF(S$8=$C$2,S$9,0)+IF(S$10=$C$2,S$11,0)-IF(S$12=$C$2,S$13,0)-IF(S$14=$C$2,S$15,0)-IF(S$16=$C$2,S$17,0)-IF(S$18=$C$2,S$19,0)-IF(S$20=$C$2,S$21,0)</f>
        <v>202</v>
      </c>
      <c r="T24" s="29">
        <f t="shared" ref="T24" si="54">IF(T$2=$C$2,S24+T$3,S24)+IF(T$4=$C$2,T$5,0)+IF(T$6=$C$2,T$7,0)+IF(T$8=$C$2,T$9,0)+IF(T$10=$C$2,T$11,0)-IF(T$12=$C$2,T$13,0)-IF(T$14=$C$2,T$15,0)-IF(T$16=$C$2,T$17,0)-IF(T$18=$C$2,T$19,0)-IF(T$20=$C$2,T$21,0)</f>
        <v>202</v>
      </c>
      <c r="U24" s="29">
        <f t="shared" ref="U24" si="55">IF(U$2=$C$2,T24+U$3,T24)+IF(U$4=$C$2,U$5,0)+IF(U$6=$C$2,U$7,0)+IF(U$8=$C$2,U$9,0)+IF(U$10=$C$2,U$11,0)-IF(U$12=$C$2,U$13,0)-IF(U$14=$C$2,U$15,0)-IF(U$16=$C$2,U$17,0)-IF(U$18=$C$2,U$19,0)-IF(U$20=$C$2,U$21,0)</f>
        <v>202</v>
      </c>
      <c r="V24" s="29">
        <f t="shared" ref="V24" si="56">IF(V$2=$C$2,U24+V$3,U24)+IF(V$4=$C$2,V$5,0)+IF(V$6=$C$2,V$7,0)+IF(V$8=$C$2,V$9,0)+IF(V$10=$C$2,V$11,0)-IF(V$12=$C$2,V$13,0)-IF(V$14=$C$2,V$15,0)-IF(V$16=$C$2,V$17,0)-IF(V$18=$C$2,V$19,0)-IF(V$20=$C$2,V$21,0)</f>
        <v>202</v>
      </c>
      <c r="W24" s="29">
        <f t="shared" ref="W24" si="57">IF(W$2=$C$2,V24+W$3,V24)+IF(W$4=$C$2,W$5,0)+IF(W$6=$C$2,W$7,0)+IF(W$8=$C$2,W$9,0)+IF(W$10=$C$2,W$11,0)-IF(W$12=$C$2,W$13,0)-IF(W$14=$C$2,W$15,0)-IF(W$16=$C$2,W$17,0)-IF(W$18=$C$2,W$19,0)-IF(W$20=$C$2,W$21,0)</f>
        <v>3</v>
      </c>
      <c r="X24" s="29">
        <f t="shared" ref="X24" si="58">IF(X$2=$C$2,W24+X$3,W24)+IF(X$4=$C$2,X$5,0)+IF(X$6=$C$2,X$7,0)+IF(X$8=$C$2,X$9,0)+IF(X$10=$C$2,X$11,0)-IF(X$12=$C$2,X$13,0)-IF(X$14=$C$2,X$15,0)-IF(X$16=$C$2,X$17,0)-IF(X$18=$C$2,X$19,0)-IF(X$20=$C$2,X$21,0)</f>
        <v>3</v>
      </c>
      <c r="Y24" s="29">
        <f t="shared" ref="Y24:AA24" si="59">IF(Y$2=$C$2,X24+Y$3,X24)+IF(Y$4=$C$2,Y$5,0)+IF(Y$6=$C$2,Y$7,0)+IF(Y$8=$C$2,Y$9,0)+IF(Y$10=$C$2,Y$11,0)-IF(Y$12=$C$2,Y$13,0)-IF(Y$14=$C$2,Y$15,0)-IF(Y$16=$C$2,Y$17,0)-IF(Y$18=$C$2,Y$19,0)-IF(Y$20=$C$2,Y$21,0)</f>
        <v>3</v>
      </c>
      <c r="Z24" s="29">
        <f t="shared" si="59"/>
        <v>3</v>
      </c>
      <c r="AA24" s="29">
        <f t="shared" si="59"/>
        <v>3</v>
      </c>
      <c r="AB24" s="29">
        <f t="shared" ref="AB24" si="60">IF(AB$2=$C$2,AA24+AB$3,AA24)+IF(AB$4=$C$2,AB$5,0)+IF(AB$6=$C$2,AB$7,0)+IF(AB$8=$C$2,AB$9,0)+IF(AB$10=$C$2,AB$11,0)-IF(AB$12=$C$2,AB$13,0)-IF(AB$14=$C$2,AB$15,0)-IF(AB$16=$C$2,AB$17,0)-IF(AB$18=$C$2,AB$19,0)-IF(AB$20=$C$2,AB$21,0)</f>
        <v>3</v>
      </c>
      <c r="AC24" s="29">
        <f t="shared" ref="AC24:AE24" si="61">IF(AC$2=$C$2,AB24+AC$3,AB24)+IF(AC$4=$C$2,AC$5,0)+IF(AC$6=$C$2,AC$7,0)+IF(AC$8=$C$2,AC$9,0)+IF(AC$10=$C$2,AC$11,0)-IF(AC$12=$C$2,AC$13,0)-IF(AC$14=$C$2,AC$15,0)-IF(AC$16=$C$2,AC$17,0)-IF(AC$18=$C$2,AC$19,0)-IF(AC$20=$C$2,AC$21,0)</f>
        <v>3</v>
      </c>
      <c r="AD24" s="29">
        <f t="shared" si="61"/>
        <v>3</v>
      </c>
      <c r="AE24" s="29">
        <f t="shared" si="61"/>
        <v>3</v>
      </c>
      <c r="AF24" s="29">
        <f t="shared" ref="AF24" si="62">IF(AF$2=$C$2,AE24+AF$3,AE24)+IF(AF$4=$C$2,AF$5,0)+IF(AF$6=$C$2,AF$7,0)+IF(AF$8=$C$2,AF$9,0)+IF(AF$10=$C$2,AF$11,0)-IF(AF$12=$C$2,AF$13,0)-IF(AF$14=$C$2,AF$15,0)-IF(AF$16=$C$2,AF$17,0)-IF(AF$18=$C$2,AF$19,0)-IF(AF$20=$C$2,AF$21,0)</f>
        <v>3</v>
      </c>
      <c r="AG24" s="29">
        <f t="shared" ref="AG24" si="63">IF(AG$2=$C$2,AF24+AG$3,AF24)+IF(AG$4=$C$2,AG$5,0)+IF(AG$6=$C$2,AG$7,0)+IF(AG$8=$C$2,AG$9,0)+IF(AG$10=$C$2,AG$11,0)-IF(AG$12=$C$2,AG$13,0)-IF(AG$14=$C$2,AG$15,0)-IF(AG$16=$C$2,AG$17,0)-IF(AG$18=$C$2,AG$19,0)-IF(AG$20=$C$2,AG$21,0)</f>
        <v>3</v>
      </c>
      <c r="AH24" s="29">
        <f t="shared" ref="AH24" si="64">IF(AH$2=$C$2,AG24+AH$3,AG24)+IF(AH$4=$C$2,AH$5,0)+IF(AH$6=$C$2,AH$7,0)+IF(AH$8=$C$2,AH$9,0)+IF(AH$10=$C$2,AH$11,0)-IF(AH$12=$C$2,AH$13,0)-IF(AH$14=$C$2,AH$15,0)-IF(AH$16=$C$2,AH$17,0)-IF(AH$18=$C$2,AH$19,0)-IF(AH$20=$C$2,AH$21,0)</f>
        <v>3</v>
      </c>
      <c r="AI24" s="29">
        <f t="shared" ref="AI24" si="65">IF(AI$2=$C$2,AH24+AI$3,AH24)+IF(AI$4=$C$2,AI$5,0)+IF(AI$6=$C$2,AI$7,0)+IF(AI$8=$C$2,AI$9,0)+IF(AI$10=$C$2,AI$11,0)-IF(AI$12=$C$2,AI$13,0)-IF(AI$14=$C$2,AI$15,0)-IF(AI$16=$C$2,AI$17,0)-IF(AI$18=$C$2,AI$19,0)-IF(AI$20=$C$2,AI$21,0)</f>
        <v>3</v>
      </c>
      <c r="AJ24" s="29">
        <f t="shared" ref="AJ24" si="66">IF(AJ$2=$C$2,AI24+AJ$3,AI24)+IF(AJ$4=$C$2,AJ$5,0)+IF(AJ$6=$C$2,AJ$7,0)+IF(AJ$8=$C$2,AJ$9,0)+IF(AJ$10=$C$2,AJ$11,0)-IF(AJ$12=$C$2,AJ$13,0)-IF(AJ$14=$C$2,AJ$15,0)-IF(AJ$16=$C$2,AJ$17,0)-IF(AJ$18=$C$2,AJ$19,0)-IF(AJ$20=$C$2,AJ$21,0)</f>
        <v>3</v>
      </c>
      <c r="AK24" s="29">
        <f t="shared" ref="AK24:AL24" si="67">IF(AK$2=$C$2,AJ24+AK$3,AJ24)+IF(AK$4=$C$2,AK$5,0)+IF(AK$6=$C$2,AK$7,0)+IF(AK$8=$C$2,AK$9,0)+IF(AK$10=$C$2,AK$11,0)-IF(AK$12=$C$2,AK$13,0)-IF(AK$14=$C$2,AK$15,0)-IF(AK$16=$C$2,AK$17,0)-IF(AK$18=$C$2,AK$19,0)-IF(AK$20=$C$2,AK$21,0)</f>
        <v>3</v>
      </c>
      <c r="AL24" s="30">
        <f t="shared" si="67"/>
        <v>3</v>
      </c>
    </row>
    <row r="25" spans="1:39" ht="18" customHeight="1">
      <c r="G25" s="302"/>
      <c r="H25" s="111">
        <f>IF(H$2=$D$2,D3+H$3,D3)+IF(H$4=$D$2,H$5,0)+IF(H$6=$D$2,H$7,0)+IF(H$8=$D$2,H$9,0)+IF(H$10=$D$2,H$11,0)-IF(H$12=$D$2,H$13,0)-IF(H$14=$D$2,H$15,0)-IF(H$16=$D$2,H$17,0)-IF(H$18=$D$2,H$19,0)-IF(H$20=$D$2,H$21,0)</f>
        <v>327.65999999999997</v>
      </c>
      <c r="I25" s="28">
        <f>IF(I$2=$D$2,H25+I$3,H25)+IF(I$4=$D$2,I$5,0)+IF(I$6=$D$2,I$7,0)+IF(I$8=$D$2,I$9,0)+IF(I$10=$D$2,I$11,0)-IF(I$12=$D$2,I$13,0)-IF(I$14=$D$2,I$15,0)-IF(I$16=$D$2,I$17,0)-IF(I$18=$D$2,I$19,0)-IF(I$20=$D$2,I$21,0)</f>
        <v>327.65999999999997</v>
      </c>
      <c r="J25" s="28">
        <f>IF(J$2=$D$2,I25+J$3,I25)+IF(J$4=$D$2,J$5,0)+IF(J$6=$D$2,J$7,0)+IF(J$8=$D$2,J$9,0)+IF(J$10=$D$2,J$11,0)-IF(J$12=$D$2,J$13,0)-IF(J$14=$D$2,J$15,0)-IF(J$16=$D$2,J$17,0)-IF(J$18=$D$2,J$19,0)-IF(J$20=$D$2,J$21,0)</f>
        <v>327.65999999999997</v>
      </c>
      <c r="K25" s="28">
        <f t="shared" ref="K25:M25" si="68">IF(K$2=$D$2,J25+K$3,J25)+IF(K$4=$D$2,K$5,0)+IF(K$6=$D$2,K$7,0)+IF(K$8=$D$2,K$9,0)+IF(K$10=$D$2,K$11,0)-IF(K$12=$D$2,K$13,0)-IF(K$14=$D$2,K$15,0)-IF(K$16=$D$2,K$17,0)-IF(K$18=$D$2,K$19,0)-IF(K$20=$D$2,K$21,0)</f>
        <v>166.23999999999995</v>
      </c>
      <c r="L25" s="28">
        <f t="shared" si="68"/>
        <v>166.23999999999995</v>
      </c>
      <c r="M25" s="28">
        <f t="shared" si="68"/>
        <v>526.24</v>
      </c>
      <c r="N25" s="28">
        <f t="shared" ref="N25" si="69">IF(N$2=$D$2,M25+N$3,M25)+IF(N$4=$D$2,N$5,0)+IF(N$6=$D$2,N$7,0)+IF(N$8=$D$2,N$9,0)+IF(N$10=$D$2,N$11,0)-IF(N$12=$D$2,N$13,0)-IF(N$14=$D$2,N$15,0)-IF(N$16=$D$2,N$17,0)-IF(N$18=$D$2,N$19,0)-IF(N$20=$D$2,N$21,0)</f>
        <v>526.24</v>
      </c>
      <c r="O25" s="28">
        <f t="shared" ref="O25" si="70">IF(O$2=$D$2,N25+O$3,N25)+IF(O$4=$D$2,O$5,0)+IF(O$6=$D$2,O$7,0)+IF(O$8=$D$2,O$9,0)+IF(O$10=$D$2,O$11,0)-IF(O$12=$D$2,O$13,0)-IF(O$14=$D$2,O$15,0)-IF(O$16=$D$2,O$17,0)-IF(O$18=$D$2,O$19,0)-IF(O$20=$D$2,O$21,0)</f>
        <v>526.24</v>
      </c>
      <c r="P25" s="28">
        <f t="shared" ref="P25" si="71">IF(P$2=$D$2,O25+P$3,O25)+IF(P$4=$D$2,P$5,0)+IF(P$6=$D$2,P$7,0)+IF(P$8=$D$2,P$9,0)+IF(P$10=$D$2,P$11,0)-IF(P$12=$D$2,P$13,0)-IF(P$14=$D$2,P$15,0)-IF(P$16=$D$2,P$17,0)-IF(P$18=$D$2,P$19,0)-IF(P$20=$D$2,P$21,0)</f>
        <v>523.25</v>
      </c>
      <c r="Q25" s="28">
        <f t="shared" ref="Q25" si="72">IF(Q$2=$D$2,P25+Q$3,P25)+IF(Q$4=$D$2,Q$5,0)+IF(Q$6=$D$2,Q$7,0)+IF(Q$8=$D$2,Q$9,0)+IF(Q$10=$D$2,Q$11,0)-IF(Q$12=$D$2,Q$13,0)-IF(Q$14=$D$2,Q$15,0)-IF(Q$16=$D$2,Q$17,0)-IF(Q$18=$D$2,Q$19,0)-IF(Q$20=$D$2,Q$21,0)</f>
        <v>523.25</v>
      </c>
      <c r="R25" s="28">
        <f t="shared" ref="R25" si="73">IF(R$2=$D$2,Q25+R$3,Q25)+IF(R$4=$D$2,R$5,0)+IF(R$6=$D$2,R$7,0)+IF(R$8=$D$2,R$9,0)+IF(R$10=$D$2,R$11,0)-IF(R$12=$D$2,R$13,0)-IF(R$14=$D$2,R$15,0)-IF(R$16=$D$2,R$17,0)-IF(R$18=$D$2,R$19,0)-IF(R$20=$D$2,R$21,0)</f>
        <v>523.25</v>
      </c>
      <c r="S25" s="28">
        <f t="shared" ref="S25" si="74">IF(S$2=$D$2,R25+S$3,R25)+IF(S$4=$D$2,S$5,0)+IF(S$6=$D$2,S$7,0)+IF(S$8=$D$2,S$9,0)+IF(S$10=$D$2,S$11,0)-IF(S$12=$D$2,S$13,0)-IF(S$14=$D$2,S$15,0)-IF(S$16=$D$2,S$17,0)-IF(S$18=$D$2,S$19,0)-IF(S$20=$D$2,S$21,0)</f>
        <v>523.25</v>
      </c>
      <c r="T25" s="28">
        <f t="shared" ref="T25" si="75">IF(T$2=$D$2,S25+T$3,S25)+IF(T$4=$D$2,T$5,0)+IF(T$6=$D$2,T$7,0)+IF(T$8=$D$2,T$9,0)+IF(T$10=$D$2,T$11,0)-IF(T$12=$D$2,T$13,0)-IF(T$14=$D$2,T$15,0)-IF(T$16=$D$2,T$17,0)-IF(T$18=$D$2,T$19,0)-IF(T$20=$D$2,T$21,0)</f>
        <v>523.25</v>
      </c>
      <c r="U25" s="28">
        <f t="shared" ref="U25" si="76">IF(U$2=$D$2,T25+U$3,T25)+IF(U$4=$D$2,U$5,0)+IF(U$6=$D$2,U$7,0)+IF(U$8=$D$2,U$9,0)+IF(U$10=$D$2,U$11,0)-IF(U$12=$D$2,U$13,0)-IF(U$14=$D$2,U$15,0)-IF(U$16=$D$2,U$17,0)-IF(U$18=$D$2,U$19,0)-IF(U$20=$D$2,U$21,0)</f>
        <v>523.25</v>
      </c>
      <c r="V25" s="28">
        <f t="shared" ref="V25" si="77">IF(V$2=$D$2,U25+V$3,U25)+IF(V$4=$D$2,V$5,0)+IF(V$6=$D$2,V$7,0)+IF(V$8=$D$2,V$9,0)+IF(V$10=$D$2,V$11,0)-IF(V$12=$D$2,V$13,0)-IF(V$14=$D$2,V$15,0)-IF(V$16=$D$2,V$17,0)-IF(V$18=$D$2,V$19,0)-IF(V$20=$D$2,V$21,0)</f>
        <v>523.25</v>
      </c>
      <c r="W25" s="28">
        <f t="shared" ref="W25" si="78">IF(W$2=$D$2,V25+W$3,V25)+IF(W$4=$D$2,W$5,0)+IF(W$6=$D$2,W$7,0)+IF(W$8=$D$2,W$9,0)+IF(W$10=$D$2,W$11,0)-IF(W$12=$D$2,W$13,0)-IF(W$14=$D$2,W$15,0)-IF(W$16=$D$2,W$17,0)-IF(W$18=$D$2,W$19,0)-IF(W$20=$D$2,W$21,0)</f>
        <v>523.25</v>
      </c>
      <c r="X25" s="28">
        <f t="shared" ref="X25" si="79">IF(X$2=$D$2,W25+X$3,W25)+IF(X$4=$D$2,X$5,0)+IF(X$6=$D$2,X$7,0)+IF(X$8=$D$2,X$9,0)+IF(X$10=$D$2,X$11,0)-IF(X$12=$D$2,X$13,0)-IF(X$14=$D$2,X$15,0)-IF(X$16=$D$2,X$17,0)-IF(X$18=$D$2,X$19,0)-IF(X$20=$D$2,X$21,0)</f>
        <v>523.25</v>
      </c>
      <c r="Y25" s="28">
        <f t="shared" ref="Y25" si="80">IF(Y$2=$D$2,X25+Y$3,X25)+IF(Y$4=$D$2,Y$5,0)+IF(Y$6=$D$2,Y$7,0)+IF(Y$8=$D$2,Y$9,0)+IF(Y$10=$D$2,Y$11,0)-IF(Y$12=$D$2,Y$13,0)-IF(Y$14=$D$2,Y$15,0)-IF(Y$16=$D$2,Y$17,0)-IF(Y$18=$D$2,Y$19,0)-IF(Y$20=$D$2,Y$21,0)</f>
        <v>373.78999999999996</v>
      </c>
      <c r="Z25" s="28">
        <f t="shared" ref="Z25:AA25" si="81">IF(Z$2=$D$2,Y25+Z$3,Y25)+IF(Z$4=$D$2,Z$5,0)+IF(Z$6=$D$2,Z$7,0)+IF(Z$8=$D$2,Z$9,0)+IF(Z$10=$D$2,Z$11,0)-IF(Z$12=$D$2,Z$13,0)-IF(Z$14=$D$2,Z$15,0)-IF(Z$16=$D$2,Z$17,0)-IF(Z$18=$D$2,Z$19,0)-IF(Z$20=$D$2,Z$21,0)</f>
        <v>373.78999999999996</v>
      </c>
      <c r="AA25" s="28">
        <f t="shared" si="81"/>
        <v>373.78999999999996</v>
      </c>
      <c r="AB25" s="28">
        <f t="shared" ref="AB25" si="82">IF(AB$2=$D$2,AA25+AB$3,AA25)+IF(AB$4=$D$2,AB$5,0)+IF(AB$6=$D$2,AB$7,0)+IF(AB$8=$D$2,AB$9,0)+IF(AB$10=$D$2,AB$11,0)-IF(AB$12=$D$2,AB$13,0)-IF(AB$14=$D$2,AB$15,0)-IF(AB$16=$D$2,AB$17,0)-IF(AB$18=$D$2,AB$19,0)-IF(AB$20=$D$2,AB$21,0)</f>
        <v>373.78999999999996</v>
      </c>
      <c r="AC25" s="28">
        <f t="shared" ref="AC25:AE25" si="83">IF(AC$2=$D$2,AB25+AC$3,AB25)+IF(AC$4=$D$2,AC$5,0)+IF(AC$6=$D$2,AC$7,0)+IF(AC$8=$D$2,AC$9,0)+IF(AC$10=$D$2,AC$11,0)-IF(AC$12=$D$2,AC$13,0)-IF(AC$14=$D$2,AC$15,0)-IF(AC$16=$D$2,AC$17,0)-IF(AC$18=$D$2,AC$19,0)-IF(AC$20=$D$2,AC$21,0)</f>
        <v>257.45999999999998</v>
      </c>
      <c r="AD25" s="28">
        <f t="shared" si="83"/>
        <v>257.45999999999998</v>
      </c>
      <c r="AE25" s="28">
        <f t="shared" si="83"/>
        <v>107.45999999999998</v>
      </c>
      <c r="AF25" s="28">
        <f t="shared" ref="AF25" si="84">IF(AF$2=$D$2,AE25+AF$3,AE25)+IF(AF$4=$D$2,AF$5,0)+IF(AF$6=$D$2,AF$7,0)+IF(AF$8=$D$2,AF$9,0)+IF(AF$10=$D$2,AF$11,0)-IF(AF$12=$D$2,AF$13,0)-IF(AF$14=$D$2,AF$15,0)-IF(AF$16=$D$2,AF$17,0)-IF(AF$18=$D$2,AF$19,0)-IF(AF$20=$D$2,AF$21,0)</f>
        <v>107.45999999999998</v>
      </c>
      <c r="AG25" s="28">
        <f t="shared" ref="AG25" si="85">IF(AG$2=$D$2,AF25+AG$3,AF25)+IF(AG$4=$D$2,AG$5,0)+IF(AG$6=$D$2,AG$7,0)+IF(AG$8=$D$2,AG$9,0)+IF(AG$10=$D$2,AG$11,0)-IF(AG$12=$D$2,AG$13,0)-IF(AG$14=$D$2,AG$15,0)-IF(AG$16=$D$2,AG$17,0)-IF(AG$18=$D$2,AG$19,0)-IF(AG$20=$D$2,AG$21,0)</f>
        <v>107.45999999999998</v>
      </c>
      <c r="AH25" s="28">
        <f t="shared" ref="AH25" si="86">IF(AH$2=$D$2,AG25+AH$3,AG25)+IF(AH$4=$D$2,AH$5,0)+IF(AH$6=$D$2,AH$7,0)+IF(AH$8=$D$2,AH$9,0)+IF(AH$10=$D$2,AH$11,0)-IF(AH$12=$D$2,AH$13,0)-IF(AH$14=$D$2,AH$15,0)-IF(AH$16=$D$2,AH$17,0)-IF(AH$18=$D$2,AH$19,0)-IF(AH$20=$D$2,AH$21,0)</f>
        <v>107.45999999999998</v>
      </c>
      <c r="AI25" s="28">
        <f t="shared" ref="AI25" si="87">IF(AI$2=$D$2,AH25+AI$3,AH25)+IF(AI$4=$D$2,AI$5,0)+IF(AI$6=$D$2,AI$7,0)+IF(AI$8=$D$2,AI$9,0)+IF(AI$10=$D$2,AI$11,0)-IF(AI$12=$D$2,AI$13,0)-IF(AI$14=$D$2,AI$15,0)-IF(AI$16=$D$2,AI$17,0)-IF(AI$18=$D$2,AI$19,0)-IF(AI$20=$D$2,AI$21,0)</f>
        <v>107.45999999999998</v>
      </c>
      <c r="AJ25" s="28">
        <f t="shared" ref="AJ25" si="88">IF(AJ$2=$D$2,AI25+AJ$3,AI25)+IF(AJ$4=$D$2,AJ$5,0)+IF(AJ$6=$D$2,AJ$7,0)+IF(AJ$8=$D$2,AJ$9,0)+IF(AJ$10=$D$2,AJ$11,0)-IF(AJ$12=$D$2,AJ$13,0)-IF(AJ$14=$D$2,AJ$15,0)-IF(AJ$16=$D$2,AJ$17,0)-IF(AJ$18=$D$2,AJ$19,0)-IF(AJ$20=$D$2,AJ$21,0)</f>
        <v>427.46</v>
      </c>
      <c r="AK25" s="28">
        <f t="shared" ref="AK25:AL25" si="89">IF(AK$2=$D$2,AJ25+AK$3,AJ25)+IF(AK$4=$D$2,AK$5,0)+IF(AK$6=$D$2,AK$7,0)+IF(AK$8=$D$2,AK$9,0)+IF(AK$10=$D$2,AK$11,0)-IF(AK$12=$D$2,AK$13,0)-IF(AK$14=$D$2,AK$15,0)-IF(AK$16=$D$2,AK$17,0)-IF(AK$18=$D$2,AK$19,0)-IF(AK$20=$D$2,AK$21,0)</f>
        <v>318.08</v>
      </c>
      <c r="AL25" s="30">
        <f t="shared" si="89"/>
        <v>318.08</v>
      </c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2358.52</v>
      </c>
      <c r="I26" s="28">
        <f>IF(I$2=$E$2,H26+I$3,H26)+IF(I$4=$E$2,I$5,0)+IF(I$6=$E$2,I$7,0)+IF(I$8=$E$2,I$9,0)+IF(I$10=$E$2,I$11,0)-IF(I$12=$E$2,I$13,0)-IF(I$14=$E$2,I$15,0)-IF(I$16=$E$2,I$17,0)-IF(I$18=$E$2,I$19,0)-IF(I$20=$E$2,I$21,0)</f>
        <v>2358.52</v>
      </c>
      <c r="J26" s="28">
        <f>IF(J$2=$E$2,I26+J$3,I26)+IF(J$4=$E$2,J$5,0)+IF(J$6=$E$2,J$7,0)+IF(J$8=$E$2,J$9,0)+IF(J$10=$E$2,J$11,0)-IF(J$12=$E$2,J$13,0)-IF(J$14=$E$2,J$15,0)-IF(J$16=$E$2,J$17,0)-IF(J$18=$E$2,J$19,0)-IF(J$20=$E$2,J$21,0)</f>
        <v>2358.52</v>
      </c>
      <c r="K26" s="28">
        <f t="shared" ref="K26:M26" si="90">IF(K$2=$E$2,J26+K$3,J26)+IF(K$4=$E$2,K$5,0)+IF(K$6=$E$2,K$7,0)+IF(K$8=$E$2,K$9,0)+IF(K$10=$E$2,K$11,0)-IF(K$12=$E$2,K$13,0)-IF(K$14=$E$2,K$15,0)-IF(K$16=$E$2,K$17,0)-IF(K$18=$E$2,K$19,0)-IF(K$20=$E$2,K$21,0)</f>
        <v>2358.52</v>
      </c>
      <c r="L26" s="28">
        <f t="shared" si="90"/>
        <v>2358.52</v>
      </c>
      <c r="M26" s="28">
        <f t="shared" si="90"/>
        <v>2358.52</v>
      </c>
      <c r="N26" s="28">
        <f t="shared" ref="N26" si="91">IF(N$2=$E$2,M26+N$3,M26)+IF(N$4=$E$2,N$5,0)+IF(N$6=$E$2,N$7,0)+IF(N$8=$E$2,N$9,0)+IF(N$10=$E$2,N$11,0)-IF(N$12=$E$2,N$13,0)-IF(N$14=$E$2,N$15,0)-IF(N$16=$E$2,N$17,0)-IF(N$18=$E$2,N$19,0)-IF(N$20=$E$2,N$21,0)</f>
        <v>2358.52</v>
      </c>
      <c r="O26" s="28">
        <f t="shared" ref="O26" si="92">IF(O$2=$E$2,N26+O$3,N26)+IF(O$4=$E$2,O$5,0)+IF(O$6=$E$2,O$7,0)+IF(O$8=$E$2,O$9,0)+IF(O$10=$E$2,O$11,0)-IF(O$12=$E$2,O$13,0)-IF(O$14=$E$2,O$15,0)-IF(O$16=$E$2,O$17,0)-IF(O$18=$E$2,O$19,0)-IF(O$20=$E$2,O$21,0)</f>
        <v>2358.52</v>
      </c>
      <c r="P26" s="28">
        <f t="shared" ref="P26" si="93">IF(P$2=$E$2,O26+P$3,O26)+IF(P$4=$E$2,P$5,0)+IF(P$6=$E$2,P$7,0)+IF(P$8=$E$2,P$9,0)+IF(P$10=$E$2,P$11,0)-IF(P$12=$E$2,P$13,0)-IF(P$14=$E$2,P$15,0)-IF(P$16=$E$2,P$17,0)-IF(P$18=$E$2,P$19,0)-IF(P$20=$E$2,P$21,0)</f>
        <v>2358.52</v>
      </c>
      <c r="Q26" s="28">
        <f t="shared" ref="Q26" si="94">IF(Q$2=$E$2,P26+Q$3,P26)+IF(Q$4=$E$2,Q$5,0)+IF(Q$6=$E$2,Q$7,0)+IF(Q$8=$E$2,Q$9,0)+IF(Q$10=$E$2,Q$11,0)-IF(Q$12=$E$2,Q$13,0)-IF(Q$14=$E$2,Q$15,0)-IF(Q$16=$E$2,Q$17,0)-IF(Q$18=$E$2,Q$19,0)-IF(Q$20=$E$2,Q$21,0)</f>
        <v>2358.52</v>
      </c>
      <c r="R26" s="28">
        <f t="shared" ref="R26" si="95">IF(R$2=$E$2,Q26+R$3,Q26)+IF(R$4=$E$2,R$5,0)+IF(R$6=$E$2,R$7,0)+IF(R$8=$E$2,R$9,0)+IF(R$10=$E$2,R$11,0)-IF(R$12=$E$2,R$13,0)-IF(R$14=$E$2,R$15,0)-IF(R$16=$E$2,R$17,0)-IF(R$18=$E$2,R$19,0)-IF(R$20=$E$2,R$21,0)</f>
        <v>2358.52</v>
      </c>
      <c r="S26" s="28">
        <f t="shared" ref="S26" si="96">IF(S$2=$E$2,R26+S$3,R26)+IF(S$4=$E$2,S$5,0)+IF(S$6=$E$2,S$7,0)+IF(S$8=$E$2,S$9,0)+IF(S$10=$E$2,S$11,0)-IF(S$12=$E$2,S$13,0)-IF(S$14=$E$2,S$15,0)-IF(S$16=$E$2,S$17,0)-IF(S$18=$E$2,S$19,0)-IF(S$20=$E$2,S$21,0)</f>
        <v>2358.52</v>
      </c>
      <c r="T26" s="28">
        <f t="shared" ref="T26" si="97">IF(T$2=$E$2,S26+T$3,S26)+IF(T$4=$E$2,T$5,0)+IF(T$6=$E$2,T$7,0)+IF(T$8=$E$2,T$9,0)+IF(T$10=$E$2,T$11,0)-IF(T$12=$E$2,T$13,0)-IF(T$14=$E$2,T$15,0)-IF(T$16=$E$2,T$17,0)-IF(T$18=$E$2,T$19,0)-IF(T$20=$E$2,T$21,0)</f>
        <v>2358.52</v>
      </c>
      <c r="U26" s="28">
        <f t="shared" ref="U26" si="98">IF(U$2=$E$2,T26+U$3,T26)+IF(U$4=$E$2,U$5,0)+IF(U$6=$E$2,U$7,0)+IF(U$8=$E$2,U$9,0)+IF(U$10=$E$2,U$11,0)-IF(U$12=$E$2,U$13,0)-IF(U$14=$E$2,U$15,0)-IF(U$16=$E$2,U$17,0)-IF(U$18=$E$2,U$19,0)-IF(U$20=$E$2,U$21,0)</f>
        <v>2658.52</v>
      </c>
      <c r="V26" s="28">
        <f t="shared" ref="V26" si="99">IF(V$2=$E$2,U26+V$3,U26)+IF(V$4=$E$2,V$5,0)+IF(V$6=$E$2,V$7,0)+IF(V$8=$E$2,V$9,0)+IF(V$10=$E$2,V$11,0)-IF(V$12=$E$2,V$13,0)-IF(V$14=$E$2,V$15,0)-IF(V$16=$E$2,V$17,0)-IF(V$18=$E$2,V$19,0)-IF(V$20=$E$2,V$21,0)</f>
        <v>22656.52</v>
      </c>
      <c r="W26" s="28">
        <f t="shared" ref="W26" si="100">IF(W$2=$E$2,V26+W$3,V26)+IF(W$4=$E$2,W$5,0)+IF(W$6=$E$2,W$7,0)+IF(W$8=$E$2,W$9,0)+IF(W$10=$E$2,W$11,0)-IF(W$12=$E$2,W$13,0)-IF(W$14=$E$2,W$15,0)-IF(W$16=$E$2,W$17,0)-IF(W$18=$E$2,W$19,0)-IF(W$20=$E$2,W$21,0)</f>
        <v>22699.11</v>
      </c>
      <c r="X26" s="28">
        <f t="shared" ref="X26" si="101">IF(X$2=$E$2,W26+X$3,W26)+IF(X$4=$E$2,X$5,0)+IF(X$6=$E$2,X$7,0)+IF(X$8=$E$2,X$9,0)+IF(X$10=$E$2,X$11,0)-IF(X$12=$E$2,X$13,0)-IF(X$14=$E$2,X$15,0)-IF(X$16=$E$2,X$17,0)-IF(X$18=$E$2,X$19,0)-IF(X$20=$E$2,X$21,0)</f>
        <v>22699.11</v>
      </c>
      <c r="Y26" s="28">
        <f t="shared" ref="Y26" si="102">IF(Y$2=$E$2,X26+Y$3,X26)+IF(Y$4=$E$2,Y$5,0)+IF(Y$6=$E$2,Y$7,0)+IF(Y$8=$E$2,Y$9,0)+IF(Y$10=$E$2,Y$11,0)-IF(Y$12=$E$2,Y$13,0)-IF(Y$14=$E$2,Y$15,0)-IF(Y$16=$E$2,Y$17,0)-IF(Y$18=$E$2,Y$19,0)-IF(Y$20=$E$2,Y$21,0)</f>
        <v>22699.11</v>
      </c>
      <c r="Z26" s="28">
        <f t="shared" ref="Z26:AA26" si="103">IF(Z$2=$E$2,Y26+Z$3,Y26)+IF(Z$4=$E$2,Z$5,0)+IF(Z$6=$E$2,Z$7,0)+IF(Z$8=$E$2,Z$9,0)+IF(Z$10=$E$2,Z$11,0)-IF(Z$12=$E$2,Z$13,0)-IF(Z$14=$E$2,Z$15,0)-IF(Z$16=$E$2,Z$17,0)-IF(Z$18=$E$2,Z$19,0)-IF(Z$20=$E$2,Z$21,0)</f>
        <v>22699.11</v>
      </c>
      <c r="AA26" s="28">
        <f t="shared" si="103"/>
        <v>22699.11</v>
      </c>
      <c r="AB26" s="28">
        <f t="shared" ref="AB26" si="104">IF(AB$2=$E$2,AA26+AB$3,AA26)+IF(AB$4=$E$2,AB$5,0)+IF(AB$6=$E$2,AB$7,0)+IF(AB$8=$E$2,AB$9,0)+IF(AB$10=$E$2,AB$11,0)-IF(AB$12=$E$2,AB$13,0)-IF(AB$14=$E$2,AB$15,0)-IF(AB$16=$E$2,AB$17,0)-IF(AB$18=$E$2,AB$19,0)-IF(AB$20=$E$2,AB$21,0)</f>
        <v>22699.11</v>
      </c>
      <c r="AC26" s="28">
        <f t="shared" ref="AC26:AE26" si="105">IF(AC$2=$E$2,AB26+AC$3,AB26)+IF(AC$4=$E$2,AC$5,0)+IF(AC$6=$E$2,AC$7,0)+IF(AC$8=$E$2,AC$9,0)+IF(AC$10=$E$2,AC$11,0)-IF(AC$12=$E$2,AC$13,0)-IF(AC$14=$E$2,AC$15,0)-IF(AC$16=$E$2,AC$17,0)-IF(AC$18=$E$2,AC$19,0)-IF(AC$20=$E$2,AC$21,0)</f>
        <v>22699.11</v>
      </c>
      <c r="AD26" s="28">
        <f t="shared" si="105"/>
        <v>22699.11</v>
      </c>
      <c r="AE26" s="28">
        <f t="shared" si="105"/>
        <v>22699.11</v>
      </c>
      <c r="AF26" s="28">
        <f t="shared" ref="AF26" si="106">IF(AF$2=$E$2,AE26+AF$3,AE26)+IF(AF$4=$E$2,AF$5,0)+IF(AF$6=$E$2,AF$7,0)+IF(AF$8=$E$2,AF$9,0)+IF(AF$10=$E$2,AF$11,0)-IF(AF$12=$E$2,AF$13,0)-IF(AF$14=$E$2,AF$15,0)-IF(AF$16=$E$2,AF$17,0)-IF(AF$18=$E$2,AF$19,0)-IF(AF$20=$E$2,AF$21,0)</f>
        <v>22699.11</v>
      </c>
      <c r="AG26" s="28">
        <f t="shared" ref="AG26" si="107">IF(AG$2=$E$2,AF26+AG$3,AF26)+IF(AG$4=$E$2,AG$5,0)+IF(AG$6=$E$2,AG$7,0)+IF(AG$8=$E$2,AG$9,0)+IF(AG$10=$E$2,AG$11,0)-IF(AG$12=$E$2,AG$13,0)-IF(AG$14=$E$2,AG$15,0)-IF(AG$16=$E$2,AG$17,0)-IF(AG$18=$E$2,AG$19,0)-IF(AG$20=$E$2,AG$21,0)</f>
        <v>22699.11</v>
      </c>
      <c r="AH26" s="28">
        <f t="shared" ref="AH26" si="108">IF(AH$2=$E$2,AG26+AH$3,AG26)+IF(AH$4=$E$2,AH$5,0)+IF(AH$6=$E$2,AH$7,0)+IF(AH$8=$E$2,AH$9,0)+IF(AH$10=$E$2,AH$11,0)-IF(AH$12=$E$2,AH$13,0)-IF(AH$14=$E$2,AH$15,0)-IF(AH$16=$E$2,AH$17,0)-IF(AH$18=$E$2,AH$19,0)-IF(AH$20=$E$2,AH$21,0)</f>
        <v>22699.11</v>
      </c>
      <c r="AI26" s="28">
        <f t="shared" ref="AI26" si="109">IF(AI$2=$E$2,AH26+AI$3,AH26)+IF(AI$4=$E$2,AI$5,0)+IF(AI$6=$E$2,AI$7,0)+IF(AI$8=$E$2,AI$9,0)+IF(AI$10=$E$2,AI$11,0)-IF(AI$12=$E$2,AI$13,0)-IF(AI$14=$E$2,AI$15,0)-IF(AI$16=$E$2,AI$17,0)-IF(AI$18=$E$2,AI$19,0)-IF(AI$20=$E$2,AI$21,0)</f>
        <v>22699.11</v>
      </c>
      <c r="AJ26" s="28">
        <f t="shared" ref="AJ26" si="110">IF(AJ$2=$E$2,AI26+AJ$3,AI26)+IF(AJ$4=$E$2,AJ$5,0)+IF(AJ$6=$E$2,AJ$7,0)+IF(AJ$8=$E$2,AJ$9,0)+IF(AJ$10=$E$2,AJ$11,0)-IF(AJ$12=$E$2,AJ$13,0)-IF(AJ$14=$E$2,AJ$15,0)-IF(AJ$16=$E$2,AJ$17,0)-IF(AJ$18=$E$2,AJ$19,0)-IF(AJ$20=$E$2,AJ$21,0)</f>
        <v>22699.11</v>
      </c>
      <c r="AK26" s="28">
        <f t="shared" ref="AK26:AL26" si="111">IF(AK$2=$E$2,AJ26+AK$3,AJ26)+IF(AK$4=$E$2,AK$5,0)+IF(AK$6=$E$2,AK$7,0)+IF(AK$8=$E$2,AK$9,0)+IF(AK$10=$E$2,AK$11,0)-IF(AK$12=$E$2,AK$13,0)-IF(AK$14=$E$2,AK$15,0)-IF(AK$16=$E$2,AK$17,0)-IF(AK$18=$E$2,AK$19,0)-IF(AK$20=$E$2,AK$21,0)</f>
        <v>22699.11</v>
      </c>
      <c r="AL26" s="30">
        <f t="shared" si="111"/>
        <v>22699.11</v>
      </c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3400</v>
      </c>
      <c r="I27" s="31">
        <f>IF(I$2=$F$2,H27+I$3,H27)+IF(I$4=$F$2,I$5,0)+IF(I$6=$F$2,I$7,0)+IF(I$8=$F$2,I$9,0)+IF(I$10=$F$2,I$11,0)-IF(I$12=$F$2,I$13,0)-IF(I$14=$F$2,I$15,0)-IF(I$16=$F$2,I$17,0)-IF(I$18=$F$2,I$19,0)-IF(I$20=$F$2,I$21,0)</f>
        <v>3400</v>
      </c>
      <c r="J27" s="31">
        <f>IF(J$2=$F$2,I27+J$3,I27)+IF(J$4=$F$2,J$5,0)+IF(J$6=$F$2,J$7,0)+IF(J$8=$F$2,J$9,0)+IF(J$10=$F$2,J$11,0)-IF(J$12=$F$2,J$13,0)-IF(J$14=$F$2,J$15,0)-IF(J$16=$F$2,J$17,0)-IF(J$18=$F$2,J$19,0)-IF(J$20=$F$2,J$21,0)</f>
        <v>3400</v>
      </c>
      <c r="K27" s="31">
        <f t="shared" ref="K27:M27" si="112">IF(K$2=$F$2,J27+K$3,J27)+IF(K$4=$F$2,K$5,0)+IF(K$6=$F$2,K$7,0)+IF(K$8=$F$2,K$9,0)+IF(K$10=$F$2,K$11,0)-IF(K$12=$F$2,K$13,0)-IF(K$14=$F$2,K$15,0)-IF(K$16=$F$2,K$17,0)-IF(K$18=$F$2,K$19,0)-IF(K$20=$F$2,K$21,0)</f>
        <v>3400</v>
      </c>
      <c r="L27" s="31">
        <f t="shared" si="112"/>
        <v>3400</v>
      </c>
      <c r="M27" s="31">
        <f t="shared" si="112"/>
        <v>3400</v>
      </c>
      <c r="N27" s="31">
        <f t="shared" ref="N27" si="113">IF(N$2=$F$2,M27+N$3,M27)+IF(N$4=$F$2,N$5,0)+IF(N$6=$F$2,N$7,0)+IF(N$8=$F$2,N$9,0)+IF(N$10=$F$2,N$11,0)-IF(N$12=$F$2,N$13,0)-IF(N$14=$F$2,N$15,0)-IF(N$16=$F$2,N$17,0)-IF(N$18=$F$2,N$19,0)-IF(N$20=$F$2,N$21,0)</f>
        <v>3400</v>
      </c>
      <c r="O27" s="31">
        <f t="shared" ref="O27" si="114">IF(O$2=$F$2,N27+O$3,N27)+IF(O$4=$F$2,O$5,0)+IF(O$6=$F$2,O$7,0)+IF(O$8=$F$2,O$9,0)+IF(O$10=$F$2,O$11,0)-IF(O$12=$F$2,O$13,0)-IF(O$14=$F$2,O$15,0)-IF(O$16=$F$2,O$17,0)-IF(O$18=$F$2,O$19,0)-IF(O$20=$F$2,O$21,0)</f>
        <v>3400</v>
      </c>
      <c r="P27" s="31">
        <f t="shared" ref="P27" si="115">IF(P$2=$F$2,O27+P$3,O27)+IF(P$4=$F$2,P$5,0)+IF(P$6=$F$2,P$7,0)+IF(P$8=$F$2,P$9,0)+IF(P$10=$F$2,P$11,0)-IF(P$12=$F$2,P$13,0)-IF(P$14=$F$2,P$15,0)-IF(P$16=$F$2,P$17,0)-IF(P$18=$F$2,P$19,0)-IF(P$20=$F$2,P$21,0)</f>
        <v>3400</v>
      </c>
      <c r="Q27" s="31">
        <f t="shared" ref="Q27" si="116">IF(Q$2=$F$2,P27+Q$3,P27)+IF(Q$4=$F$2,Q$5,0)+IF(Q$6=$F$2,Q$7,0)+IF(Q$8=$F$2,Q$9,0)+IF(Q$10=$F$2,Q$11,0)-IF(Q$12=$F$2,Q$13,0)-IF(Q$14=$F$2,Q$15,0)-IF(Q$16=$F$2,Q$17,0)-IF(Q$18=$F$2,Q$19,0)-IF(Q$20=$F$2,Q$21,0)</f>
        <v>3400</v>
      </c>
      <c r="R27" s="31">
        <f t="shared" ref="R27" si="117">IF(R$2=$F$2,Q27+R$3,Q27)+IF(R$4=$F$2,R$5,0)+IF(R$6=$F$2,R$7,0)+IF(R$8=$F$2,R$9,0)+IF(R$10=$F$2,R$11,0)-IF(R$12=$F$2,R$13,0)-IF(R$14=$F$2,R$15,0)-IF(R$16=$F$2,R$17,0)-IF(R$18=$F$2,R$19,0)-IF(R$20=$F$2,R$21,0)</f>
        <v>3400</v>
      </c>
      <c r="S27" s="31">
        <f t="shared" ref="S27" si="118">IF(S$2=$F$2,R27+S$3,R27)+IF(S$4=$F$2,S$5,0)+IF(S$6=$F$2,S$7,0)+IF(S$8=$F$2,S$9,0)+IF(S$10=$F$2,S$11,0)-IF(S$12=$F$2,S$13,0)-IF(S$14=$F$2,S$15,0)-IF(S$16=$F$2,S$17,0)-IF(S$18=$F$2,S$19,0)-IF(S$20=$F$2,S$21,0)</f>
        <v>3400</v>
      </c>
      <c r="T27" s="31">
        <f t="shared" ref="T27" si="119">IF(T$2=$F$2,S27+T$3,S27)+IF(T$4=$F$2,T$5,0)+IF(T$6=$F$2,T$7,0)+IF(T$8=$F$2,T$9,0)+IF(T$10=$F$2,T$11,0)-IF(T$12=$F$2,T$13,0)-IF(T$14=$F$2,T$15,0)-IF(T$16=$F$2,T$17,0)-IF(T$18=$F$2,T$19,0)-IF(T$20=$F$2,T$21,0)</f>
        <v>3400</v>
      </c>
      <c r="U27" s="31">
        <f t="shared" ref="U27" si="120">IF(U$2=$F$2,T27+U$3,T27)+IF(U$4=$F$2,U$5,0)+IF(U$6=$F$2,U$7,0)+IF(U$8=$F$2,U$9,0)+IF(U$10=$F$2,U$11,0)-IF(U$12=$F$2,U$13,0)-IF(U$14=$F$2,U$15,0)-IF(U$16=$F$2,U$17,0)-IF(U$18=$F$2,U$19,0)-IF(U$20=$F$2,U$21,0)</f>
        <v>3400</v>
      </c>
      <c r="V27" s="31">
        <f t="shared" ref="V27" si="121">IF(V$2=$F$2,U27+V$3,U27)+IF(V$4=$F$2,V$5,0)+IF(V$6=$F$2,V$7,0)+IF(V$8=$F$2,V$9,0)+IF(V$10=$F$2,V$11,0)-IF(V$12=$F$2,V$13,0)-IF(V$14=$F$2,V$15,0)-IF(V$16=$F$2,V$17,0)-IF(V$18=$F$2,V$19,0)-IF(V$20=$F$2,V$21,0)</f>
        <v>3400</v>
      </c>
      <c r="W27" s="31">
        <f t="shared" ref="W27" si="122">IF(W$2=$F$2,V27+W$3,V27)+IF(W$4=$F$2,W$5,0)+IF(W$6=$F$2,W$7,0)+IF(W$8=$F$2,W$9,0)+IF(W$10=$F$2,W$11,0)-IF(W$12=$F$2,W$13,0)-IF(W$14=$F$2,W$15,0)-IF(W$16=$F$2,W$17,0)-IF(W$18=$F$2,W$19,0)-IF(W$20=$F$2,W$21,0)</f>
        <v>3055.5</v>
      </c>
      <c r="X27" s="31">
        <f t="shared" ref="X27" si="123">IF(X$2=$F$2,W27+X$3,W27)+IF(X$4=$F$2,X$5,0)+IF(X$6=$F$2,X$7,0)+IF(X$8=$F$2,X$9,0)+IF(X$10=$F$2,X$11,0)-IF(X$12=$F$2,X$13,0)-IF(X$14=$F$2,X$15,0)-IF(X$16=$F$2,X$17,0)-IF(X$18=$F$2,X$19,0)-IF(X$20=$F$2,X$21,0)</f>
        <v>3055.5</v>
      </c>
      <c r="Y27" s="31">
        <f t="shared" ref="Y27" si="124">IF(Y$2=$F$2,X27+Y$3,X27)+IF(Y$4=$F$2,Y$5,0)+IF(Y$6=$F$2,Y$7,0)+IF(Y$8=$F$2,Y$9,0)+IF(Y$10=$F$2,Y$11,0)-IF(Y$12=$F$2,Y$13,0)-IF(Y$14=$F$2,Y$15,0)-IF(Y$16=$F$2,Y$17,0)-IF(Y$18=$F$2,Y$19,0)-IF(Y$20=$F$2,Y$21,0)</f>
        <v>3055.5</v>
      </c>
      <c r="Z27" s="31">
        <f t="shared" ref="Z27:AA27" si="125">IF(Z$2=$F$2,Y27+Z$3,Y27)+IF(Z$4=$F$2,Z$5,0)+IF(Z$6=$F$2,Z$7,0)+IF(Z$8=$F$2,Z$9,0)+IF(Z$10=$F$2,Z$11,0)-IF(Z$12=$F$2,Z$13,0)-IF(Z$14=$F$2,Z$15,0)-IF(Z$16=$F$2,Z$17,0)-IF(Z$18=$F$2,Z$19,0)-IF(Z$20=$F$2,Z$21,0)</f>
        <v>3055.5</v>
      </c>
      <c r="AA27" s="31">
        <f t="shared" si="125"/>
        <v>3055.5</v>
      </c>
      <c r="AB27" s="31">
        <f t="shared" ref="AB27" si="126">IF(AB$2=$F$2,AA27+AB$3,AA27)+IF(AB$4=$F$2,AB$5,0)+IF(AB$6=$F$2,AB$7,0)+IF(AB$8=$F$2,AB$9,0)+IF(AB$10=$F$2,AB$11,0)-IF(AB$12=$F$2,AB$13,0)-IF(AB$14=$F$2,AB$15,0)-IF(AB$16=$F$2,AB$17,0)-IF(AB$18=$F$2,AB$19,0)-IF(AB$20=$F$2,AB$21,0)</f>
        <v>3055.5</v>
      </c>
      <c r="AC27" s="31">
        <f t="shared" ref="AC27:AE27" si="127">IF(AC$2=$F$2,AB27+AC$3,AB27)+IF(AC$4=$F$2,AC$5,0)+IF(AC$6=$F$2,AC$7,0)+IF(AC$8=$F$2,AC$9,0)+IF(AC$10=$F$2,AC$11,0)-IF(AC$12=$F$2,AC$13,0)-IF(AC$14=$F$2,AC$15,0)-IF(AC$16=$F$2,AC$17,0)-IF(AC$18=$F$2,AC$19,0)-IF(AC$20=$F$2,AC$21,0)</f>
        <v>3055.5</v>
      </c>
      <c r="AD27" s="31">
        <f t="shared" si="127"/>
        <v>3055.5</v>
      </c>
      <c r="AE27" s="31">
        <f t="shared" si="127"/>
        <v>3055.5</v>
      </c>
      <c r="AF27" s="31">
        <f t="shared" ref="AF27" si="128">IF(AF$2=$F$2,AE27+AF$3,AE27)+IF(AF$4=$F$2,AF$5,0)+IF(AF$6=$F$2,AF$7,0)+IF(AF$8=$F$2,AF$9,0)+IF(AF$10=$F$2,AF$11,0)-IF(AF$12=$F$2,AF$13,0)-IF(AF$14=$F$2,AF$15,0)-IF(AF$16=$F$2,AF$17,0)-IF(AF$18=$F$2,AF$19,0)-IF(AF$20=$F$2,AF$21,0)</f>
        <v>3055.5</v>
      </c>
      <c r="AG27" s="31">
        <f t="shared" ref="AG27" si="129">IF(AG$2=$F$2,AF27+AG$3,AF27)+IF(AG$4=$F$2,AG$5,0)+IF(AG$6=$F$2,AG$7,0)+IF(AG$8=$F$2,AG$9,0)+IF(AG$10=$F$2,AG$11,0)-IF(AG$12=$F$2,AG$13,0)-IF(AG$14=$F$2,AG$15,0)-IF(AG$16=$F$2,AG$17,0)-IF(AG$18=$F$2,AG$19,0)-IF(AG$20=$F$2,AG$21,0)</f>
        <v>3055.5</v>
      </c>
      <c r="AH27" s="31">
        <f t="shared" ref="AH27" si="130">IF(AH$2=$F$2,AG27+AH$3,AG27)+IF(AH$4=$F$2,AH$5,0)+IF(AH$6=$F$2,AH$7,0)+IF(AH$8=$F$2,AH$9,0)+IF(AH$10=$F$2,AH$11,0)-IF(AH$12=$F$2,AH$13,0)-IF(AH$14=$F$2,AH$15,0)-IF(AH$16=$F$2,AH$17,0)-IF(AH$18=$F$2,AH$19,0)-IF(AH$20=$F$2,AH$21,0)</f>
        <v>3055.5</v>
      </c>
      <c r="AI27" s="31">
        <f t="shared" ref="AI27" si="131">IF(AI$2=$F$2,AH27+AI$3,AH27)+IF(AI$4=$F$2,AI$5,0)+IF(AI$6=$F$2,AI$7,0)+IF(AI$8=$F$2,AI$9,0)+IF(AI$10=$F$2,AI$11,0)-IF(AI$12=$F$2,AI$13,0)-IF(AI$14=$F$2,AI$15,0)-IF(AI$16=$F$2,AI$17,0)-IF(AI$18=$F$2,AI$19,0)-IF(AI$20=$F$2,AI$21,0)</f>
        <v>3055.5</v>
      </c>
      <c r="AJ27" s="31">
        <f t="shared" ref="AJ27" si="132">IF(AJ$2=$F$2,AI27+AJ$3,AI27)+IF(AJ$4=$F$2,AJ$5,0)+IF(AJ$6=$F$2,AJ$7,0)+IF(AJ$8=$F$2,AJ$9,0)+IF(AJ$10=$F$2,AJ$11,0)-IF(AJ$12=$F$2,AJ$13,0)-IF(AJ$14=$F$2,AJ$15,0)-IF(AJ$16=$F$2,AJ$17,0)-IF(AJ$18=$F$2,AJ$19,0)-IF(AJ$20=$F$2,AJ$21,0)</f>
        <v>3055.5</v>
      </c>
      <c r="AK27" s="31">
        <f t="shared" ref="AK27:AL27" si="133">IF(AK$2=$F$2,AJ27+AK$3,AJ27)+IF(AK$4=$F$2,AK$5,0)+IF(AK$6=$F$2,AK$7,0)+IF(AK$8=$F$2,AK$9,0)+IF(AK$10=$F$2,AK$11,0)-IF(AK$12=$F$2,AK$13,0)-IF(AK$14=$F$2,AK$15,0)-IF(AK$16=$F$2,AK$17,0)-IF(AK$18=$F$2,AK$19,0)-IF(AK$20=$F$2,AK$21,0)</f>
        <v>3055.5</v>
      </c>
      <c r="AL27" s="128">
        <f t="shared" si="133"/>
        <v>3055.5</v>
      </c>
    </row>
    <row r="28" spans="1:39" ht="18" customHeight="1" thickBot="1">
      <c r="G28" s="116" t="s">
        <v>49</v>
      </c>
      <c r="H28" s="113" t="s">
        <v>47</v>
      </c>
      <c r="I28" s="114" t="s">
        <v>48</v>
      </c>
      <c r="J28" s="114" t="s">
        <v>43</v>
      </c>
      <c r="K28" s="114" t="s">
        <v>44</v>
      </c>
      <c r="L28" s="114" t="s">
        <v>45</v>
      </c>
      <c r="M28" s="114" t="s">
        <v>46</v>
      </c>
      <c r="N28" s="114" t="s">
        <v>46</v>
      </c>
      <c r="O28" s="114" t="s">
        <v>47</v>
      </c>
      <c r="P28" s="114" t="s">
        <v>48</v>
      </c>
      <c r="Q28" s="114" t="s">
        <v>43</v>
      </c>
      <c r="R28" s="114" t="s">
        <v>44</v>
      </c>
      <c r="S28" s="114" t="s">
        <v>45</v>
      </c>
      <c r="T28" s="114" t="s">
        <v>46</v>
      </c>
      <c r="U28" s="114" t="s">
        <v>46</v>
      </c>
      <c r="V28" s="114" t="s">
        <v>47</v>
      </c>
      <c r="W28" s="114" t="s">
        <v>48</v>
      </c>
      <c r="X28" s="114" t="s">
        <v>43</v>
      </c>
      <c r="Y28" s="114" t="s">
        <v>44</v>
      </c>
      <c r="Z28" s="114" t="s">
        <v>45</v>
      </c>
      <c r="AA28" s="114" t="s">
        <v>46</v>
      </c>
      <c r="AB28" s="114" t="s">
        <v>46</v>
      </c>
      <c r="AC28" s="114" t="s">
        <v>47</v>
      </c>
      <c r="AD28" s="114" t="s">
        <v>48</v>
      </c>
      <c r="AE28" s="114" t="s">
        <v>43</v>
      </c>
      <c r="AF28" s="114" t="s">
        <v>44</v>
      </c>
      <c r="AG28" s="114" t="s">
        <v>45</v>
      </c>
      <c r="AH28" s="114" t="s">
        <v>46</v>
      </c>
      <c r="AI28" s="114" t="s">
        <v>46</v>
      </c>
      <c r="AJ28" s="114" t="s">
        <v>47</v>
      </c>
      <c r="AK28" s="149" t="s">
        <v>48</v>
      </c>
      <c r="AL28" s="150" t="s">
        <v>43</v>
      </c>
    </row>
    <row r="29" spans="1:39" ht="18" customHeight="1" thickBot="1">
      <c r="C29" s="122" t="s">
        <v>8</v>
      </c>
      <c r="D29" s="5" t="s">
        <v>17</v>
      </c>
      <c r="E29" s="123" t="s">
        <v>9</v>
      </c>
      <c r="F29" s="5" t="s">
        <v>17</v>
      </c>
    </row>
    <row r="30" spans="1:39" ht="18" customHeight="1">
      <c r="C30" s="70" t="s">
        <v>14</v>
      </c>
      <c r="D30" s="119">
        <f>Y13</f>
        <v>900</v>
      </c>
      <c r="E30" s="70" t="s">
        <v>25</v>
      </c>
      <c r="F30" s="71">
        <f>H3+P3+AD3</f>
        <v>5100</v>
      </c>
      <c r="Z30" s="13"/>
      <c r="AD30" s="13"/>
      <c r="AE30" s="13"/>
    </row>
    <row r="31" spans="1:39" ht="18" customHeight="1" thickBot="1">
      <c r="C31" s="57" t="s">
        <v>15</v>
      </c>
      <c r="D31" s="118">
        <f>J13+X13+V13*4.85+Z17+AD13+AC15+AH13</f>
        <v>235.32000000000002</v>
      </c>
      <c r="E31" s="57" t="s">
        <v>26</v>
      </c>
      <c r="F31" s="59">
        <f>M3+AJ3</f>
        <v>680</v>
      </c>
      <c r="J31" s="13"/>
    </row>
    <row r="32" spans="1:39" ht="18" customHeight="1">
      <c r="A32" s="304" t="s">
        <v>55</v>
      </c>
      <c r="B32" s="305"/>
      <c r="C32" s="100" t="s">
        <v>16</v>
      </c>
      <c r="D32" s="118">
        <f>H13+N13+O13+X15+X19+AK13</f>
        <v>1676.0999999999997</v>
      </c>
      <c r="E32" s="57" t="s">
        <v>27</v>
      </c>
      <c r="F32" s="59"/>
      <c r="G32" s="13"/>
    </row>
    <row r="33" spans="1:6" ht="18" customHeight="1" thickBot="1">
      <c r="A33" s="306">
        <f>'Iunie 2021'!A33:B33+0.32+D38</f>
        <v>1251.53</v>
      </c>
      <c r="B33" s="307"/>
      <c r="C33" s="100" t="s">
        <v>33</v>
      </c>
      <c r="D33" s="118">
        <f>M15+K13+K15+X17+Y17+P15+P17+Y19+AC17+AE13+AE15+AK25</f>
        <v>993.41000000000008</v>
      </c>
      <c r="E33" s="57" t="s">
        <v>19</v>
      </c>
      <c r="F33" s="59">
        <f>AK3</f>
        <v>600</v>
      </c>
    </row>
    <row r="34" spans="1:6" ht="18" customHeight="1">
      <c r="A34" s="315" t="s">
        <v>56</v>
      </c>
      <c r="B34" s="316"/>
      <c r="C34" s="100" t="s">
        <v>36</v>
      </c>
      <c r="D34" s="118">
        <f>M13+N15+AC13</f>
        <v>217.36</v>
      </c>
      <c r="E34" s="57"/>
      <c r="F34" s="59"/>
    </row>
    <row r="35" spans="1:6" ht="18" customHeight="1" thickBot="1">
      <c r="A35" s="313">
        <f>2500-U3*4.85-W3*4.85</f>
        <v>560</v>
      </c>
      <c r="B35" s="314"/>
      <c r="C35" s="100" t="s">
        <v>20</v>
      </c>
      <c r="D35" s="118">
        <f>L13+M17</f>
        <v>174</v>
      </c>
      <c r="E35" s="124"/>
      <c r="F35" s="125"/>
    </row>
    <row r="36" spans="1:6" ht="18" customHeight="1" thickBot="1">
      <c r="A36" s="308" t="s">
        <v>57</v>
      </c>
      <c r="B36" s="309"/>
      <c r="C36" s="100" t="s">
        <v>18</v>
      </c>
      <c r="D36" s="118">
        <f>Z13+AA13</f>
        <v>550</v>
      </c>
      <c r="E36" s="268">
        <f>SUM(F30:F33)</f>
        <v>6380</v>
      </c>
      <c r="F36" s="269"/>
    </row>
    <row r="37" spans="1:6" ht="18" customHeight="1" thickBot="1">
      <c r="A37" s="310">
        <f>'Iunie 2021'!A37:B37</f>
        <v>2291.6047466568521</v>
      </c>
      <c r="B37" s="311"/>
      <c r="C37" s="100" t="s">
        <v>35</v>
      </c>
      <c r="D37" s="118">
        <f>J15+U13+S13+W13</f>
        <v>559.48</v>
      </c>
      <c r="E37" s="228">
        <f>E36-C39</f>
        <v>991.43000000000029</v>
      </c>
      <c r="F37" s="229"/>
    </row>
    <row r="38" spans="1:6" ht="18" customHeight="1" thickBot="1">
      <c r="C38" s="101" t="s">
        <v>51</v>
      </c>
      <c r="D38" s="120">
        <f>H15+J17+O15+X21+Y15+R13+P13+Z15+AA15+Q13+AD15+AE17+AH15</f>
        <v>82.9</v>
      </c>
      <c r="E38" s="232">
        <f>E37+D38</f>
        <v>1074.3300000000004</v>
      </c>
      <c r="F38" s="233"/>
    </row>
    <row r="39" spans="1:6" ht="18" customHeight="1" thickBot="1">
      <c r="C39" s="292">
        <f>SUM(D30:D38)</f>
        <v>5388.57</v>
      </c>
      <c r="D39" s="293"/>
      <c r="E39" s="234" t="s">
        <v>62</v>
      </c>
      <c r="F39" s="235"/>
    </row>
    <row r="54" spans="1:4" ht="18" customHeight="1">
      <c r="A54" s="64"/>
      <c r="B54" s="64"/>
      <c r="C54" s="64"/>
      <c r="D54" s="64"/>
    </row>
    <row r="55" spans="1:4" ht="18" customHeight="1">
      <c r="A55" s="64"/>
      <c r="B55" s="64"/>
      <c r="C55" s="64"/>
      <c r="D55" s="64"/>
    </row>
    <row r="56" spans="1:4" ht="18" customHeight="1">
      <c r="A56" s="64"/>
      <c r="B56" s="64"/>
      <c r="C56" s="64"/>
      <c r="D56" s="64"/>
    </row>
    <row r="57" spans="1:4" ht="18" customHeight="1">
      <c r="A57" s="64"/>
      <c r="B57" s="64"/>
      <c r="C57" s="64"/>
      <c r="D57" s="64"/>
    </row>
    <row r="58" spans="1:4" ht="18" customHeight="1">
      <c r="A58" s="64"/>
      <c r="B58" s="64"/>
      <c r="C58" s="64"/>
      <c r="D58" s="64"/>
    </row>
    <row r="59" spans="1:4" ht="18" customHeight="1">
      <c r="A59" s="64"/>
      <c r="B59" s="64"/>
      <c r="C59" s="64"/>
      <c r="D59" s="64"/>
    </row>
    <row r="60" spans="1:4" ht="18" customHeight="1">
      <c r="A60" s="64"/>
      <c r="B60" s="64"/>
      <c r="C60" s="64"/>
      <c r="D60" s="64"/>
    </row>
    <row r="61" spans="1:4" ht="18" customHeight="1">
      <c r="A61" s="64"/>
      <c r="B61" s="64"/>
      <c r="C61" s="64"/>
      <c r="D61" s="64"/>
    </row>
    <row r="62" spans="1:4" ht="18" customHeight="1">
      <c r="A62" s="64"/>
      <c r="B62" s="64"/>
      <c r="C62" s="64"/>
      <c r="D62" s="64"/>
    </row>
    <row r="63" spans="1:4" ht="18" customHeight="1">
      <c r="A63" s="64"/>
      <c r="B63" s="64"/>
      <c r="C63" s="64"/>
      <c r="D63" s="64"/>
    </row>
    <row r="64" spans="1:4" ht="18" customHeight="1">
      <c r="A64" s="64"/>
      <c r="B64" s="64"/>
      <c r="C64" s="64"/>
      <c r="D64" s="64"/>
    </row>
    <row r="65" spans="3:4" ht="18" customHeight="1">
      <c r="C65" s="64"/>
      <c r="D65" s="64"/>
    </row>
  </sheetData>
  <mergeCells count="29">
    <mergeCell ref="A1:F1"/>
    <mergeCell ref="G2:G11"/>
    <mergeCell ref="A4:D4"/>
    <mergeCell ref="E4:F4"/>
    <mergeCell ref="A5:D5"/>
    <mergeCell ref="E5:F5"/>
    <mergeCell ref="A6:F6"/>
    <mergeCell ref="A9:D9"/>
    <mergeCell ref="E9:F9"/>
    <mergeCell ref="A10:D10"/>
    <mergeCell ref="A36:B36"/>
    <mergeCell ref="E36:F36"/>
    <mergeCell ref="E10:F10"/>
    <mergeCell ref="A11:F11"/>
    <mergeCell ref="G12:G21"/>
    <mergeCell ref="A14:D14"/>
    <mergeCell ref="E14:F14"/>
    <mergeCell ref="A15:D15"/>
    <mergeCell ref="E15:F15"/>
    <mergeCell ref="G22:G27"/>
    <mergeCell ref="A32:B32"/>
    <mergeCell ref="A33:B33"/>
    <mergeCell ref="A34:B34"/>
    <mergeCell ref="A35:B35"/>
    <mergeCell ref="A37:B37"/>
    <mergeCell ref="E37:F37"/>
    <mergeCell ref="E38:F38"/>
    <mergeCell ref="C39:D39"/>
    <mergeCell ref="E39:F39"/>
  </mergeCells>
  <conditionalFormatting sqref="A13:F13 E15:F15 A15">
    <cfRule type="cellIs" dxfId="24" priority="4" operator="lessThan">
      <formula>0</formula>
    </cfRule>
    <cfRule type="cellIs" dxfId="23" priority="5" operator="greaterThanOrEqual">
      <formula>0</formula>
    </cfRule>
  </conditionalFormatting>
  <conditionalFormatting sqref="E37:F38">
    <cfRule type="cellIs" dxfId="22" priority="2" operator="lessThan">
      <formula>0</formula>
    </cfRule>
    <cfRule type="cellIs" dxfId="21" priority="3" operator="greaterThan">
      <formula>0</formula>
    </cfRule>
  </conditionalFormatting>
  <conditionalFormatting sqref="E38:F38">
    <cfRule type="cellIs" dxfId="20" priority="1" operator="greaterThan">
      <formula>0</formula>
    </cfRule>
  </conditionalFormatting>
  <dataValidations count="8">
    <dataValidation type="list" allowBlank="1" showInputMessage="1" showErrorMessage="1" sqref="A8" xr:uid="{DBE79312-26C5-4F22-881E-7E72B07A9E0E}">
      <formula1>$H$22:$AL$22</formula1>
    </dataValidation>
    <dataValidation type="list" allowBlank="1" showInputMessage="1" showErrorMessage="1" sqref="H2:AK2 H6:AK6 H8:AK8 H10:AK10 H12:AK12 H14:AK14 H16:AK16 H18:AK18 H20:AK20 H4:O4 Q4:AK4" xr:uid="{6BAEF434-F4BF-4FE2-B821-4B59908A5D06}">
      <formula1>$A$2:$F$2</formula1>
    </dataValidation>
    <dataValidation type="list" allowBlank="1" showInputMessage="1" showErrorMessage="1" sqref="B8" xr:uid="{BA2E1977-A264-47F3-A720-584F21ABBD98}">
      <formula1>$H$23:$AL$23</formula1>
    </dataValidation>
    <dataValidation type="list" allowBlank="1" showInputMessage="1" showErrorMessage="1" sqref="C8" xr:uid="{B5F88961-4F98-490A-9925-444981C2267D}">
      <formula1>$H$24:$AL$24</formula1>
    </dataValidation>
    <dataValidation type="list" allowBlank="1" showInputMessage="1" showErrorMessage="1" sqref="D8" xr:uid="{1830A53E-CD61-4FD6-AB4D-A734509E7534}">
      <formula1>$H$25:$AL$25</formula1>
    </dataValidation>
    <dataValidation type="list" allowBlank="1" showInputMessage="1" showErrorMessage="1" sqref="E8" xr:uid="{28D37CF3-71F3-4FF5-BBDA-098917635FE2}">
      <formula1>$H$26:$AL$26</formula1>
    </dataValidation>
    <dataValidation type="list" allowBlank="1" showInputMessage="1" showErrorMessage="1" sqref="F8" xr:uid="{BDC775D3-0466-403D-9217-7E56E4460AD5}">
      <formula1>$H$27:$AL$27</formula1>
    </dataValidation>
    <dataValidation type="list" allowBlank="1" showInputMessage="1" showErrorMessage="1" sqref="AL4 AL20 AL18 AL16 AL14 AL2 AL10 AL8 AL6 AL12" xr:uid="{A928E134-610C-4CD2-A0D4-0F68C6C3BAFC}">
      <formula1>$A$2:$E$2</formula1>
    </dataValidation>
  </dataValidation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9EF3-5F1B-452A-8E76-84FDF117AD1E}">
  <sheetPr codeName="Sheet6">
    <tabColor rgb="FF00B050"/>
  </sheetPr>
  <dimension ref="A1:AM65"/>
  <sheetViews>
    <sheetView topLeftCell="A25" zoomScaleNormal="100" workbookViewId="0">
      <pane xSplit="6" topLeftCell="G1" activePane="topRight" state="frozen"/>
      <selection pane="topRight" activeCell="E10" sqref="E10:F10"/>
    </sheetView>
  </sheetViews>
  <sheetFormatPr defaultColWidth="15.77734375" defaultRowHeight="18" customHeight="1"/>
  <cols>
    <col min="1" max="6" width="15.77734375" style="1"/>
    <col min="7" max="7" width="15.77734375" style="1" customWidth="1"/>
    <col min="8" max="38" width="10.77734375" style="1" customWidth="1"/>
    <col min="39" max="16384" width="15.77734375" style="1"/>
  </cols>
  <sheetData>
    <row r="1" spans="1:39" ht="18" customHeight="1" thickBot="1">
      <c r="A1" s="277" t="s">
        <v>65</v>
      </c>
      <c r="B1" s="278"/>
      <c r="C1" s="278"/>
      <c r="D1" s="278"/>
      <c r="E1" s="278"/>
      <c r="F1" s="312"/>
      <c r="G1" s="2" t="s">
        <v>7</v>
      </c>
      <c r="H1" s="16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103">
        <v>7</v>
      </c>
      <c r="O1" s="139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103">
        <v>14</v>
      </c>
      <c r="V1" s="139">
        <v>15</v>
      </c>
      <c r="W1" s="4">
        <v>16</v>
      </c>
      <c r="X1" s="4">
        <v>17</v>
      </c>
      <c r="Y1" s="4">
        <v>18</v>
      </c>
      <c r="Z1" s="4">
        <v>19</v>
      </c>
      <c r="AA1" s="4">
        <v>20</v>
      </c>
      <c r="AB1" s="103">
        <v>21</v>
      </c>
      <c r="AC1" s="139">
        <v>22</v>
      </c>
      <c r="AD1" s="4">
        <v>23</v>
      </c>
      <c r="AE1" s="4">
        <v>24</v>
      </c>
      <c r="AF1" s="4">
        <v>25</v>
      </c>
      <c r="AG1" s="4">
        <v>26</v>
      </c>
      <c r="AH1" s="4">
        <v>27</v>
      </c>
      <c r="AI1" s="103">
        <v>28</v>
      </c>
      <c r="AJ1" s="139">
        <v>29</v>
      </c>
      <c r="AK1" s="4">
        <v>30</v>
      </c>
      <c r="AL1" s="165">
        <v>31</v>
      </c>
    </row>
    <row r="2" spans="1:39" ht="18" customHeight="1">
      <c r="A2" s="104" t="s">
        <v>53</v>
      </c>
      <c r="B2" s="6" t="s">
        <v>54</v>
      </c>
      <c r="C2" s="7" t="s">
        <v>2</v>
      </c>
      <c r="D2" s="7" t="s">
        <v>13</v>
      </c>
      <c r="E2" s="7" t="s">
        <v>3</v>
      </c>
      <c r="F2" s="129" t="s">
        <v>1</v>
      </c>
      <c r="G2" s="238" t="s">
        <v>9</v>
      </c>
      <c r="H2" s="19"/>
      <c r="I2" s="20" t="s">
        <v>54</v>
      </c>
      <c r="J2" s="20"/>
      <c r="K2" s="20" t="s">
        <v>2</v>
      </c>
      <c r="L2" s="20" t="s">
        <v>13</v>
      </c>
      <c r="M2" s="20"/>
      <c r="N2" s="20"/>
      <c r="O2" s="20"/>
      <c r="P2" s="20" t="s">
        <v>54</v>
      </c>
      <c r="Q2" s="20" t="s">
        <v>53</v>
      </c>
      <c r="R2" s="20"/>
      <c r="S2" s="20" t="s">
        <v>2</v>
      </c>
      <c r="T2" s="20"/>
      <c r="U2" s="20"/>
      <c r="V2" s="20"/>
      <c r="W2" s="20"/>
      <c r="X2" s="20"/>
      <c r="Y2" s="20" t="s">
        <v>54</v>
      </c>
      <c r="Z2" s="20"/>
      <c r="AA2" s="20"/>
      <c r="AB2" s="20"/>
      <c r="AC2" s="20"/>
      <c r="AD2" s="20"/>
      <c r="AE2" s="20"/>
      <c r="AF2" s="20" t="s">
        <v>53</v>
      </c>
      <c r="AG2" s="20"/>
      <c r="AH2" s="20" t="s">
        <v>13</v>
      </c>
      <c r="AI2" s="20"/>
      <c r="AJ2" s="140"/>
      <c r="AK2" s="20" t="s">
        <v>54</v>
      </c>
      <c r="AL2" s="21"/>
      <c r="AM2" s="64"/>
    </row>
    <row r="3" spans="1:39" s="13" customFormat="1" ht="18" customHeight="1" thickBot="1">
      <c r="A3" s="105">
        <v>1931.0599999999997</v>
      </c>
      <c r="B3" s="9">
        <v>630.11000000000047</v>
      </c>
      <c r="C3" s="10">
        <v>4</v>
      </c>
      <c r="D3" s="10">
        <v>318.08</v>
      </c>
      <c r="E3" s="10">
        <v>22699.11</v>
      </c>
      <c r="F3" s="130">
        <v>3055.5</v>
      </c>
      <c r="G3" s="239"/>
      <c r="H3" s="166"/>
      <c r="I3" s="12">
        <v>3261</v>
      </c>
      <c r="J3" s="167"/>
      <c r="K3" s="12">
        <v>140</v>
      </c>
      <c r="L3" s="12">
        <v>288</v>
      </c>
      <c r="M3" s="167"/>
      <c r="N3" s="167"/>
      <c r="O3" s="167"/>
      <c r="P3" s="12">
        <v>350</v>
      </c>
      <c r="Q3" s="12">
        <v>1366</v>
      </c>
      <c r="R3" s="167"/>
      <c r="S3" s="12">
        <v>120</v>
      </c>
      <c r="T3" s="167"/>
      <c r="U3" s="167"/>
      <c r="V3" s="167"/>
      <c r="W3" s="167"/>
      <c r="X3" s="167"/>
      <c r="Y3" s="12">
        <v>500</v>
      </c>
      <c r="Z3" s="167"/>
      <c r="AA3" s="167"/>
      <c r="AB3" s="167"/>
      <c r="AC3" s="167"/>
      <c r="AD3" s="167"/>
      <c r="AE3" s="167"/>
      <c r="AF3" s="12">
        <v>1000</v>
      </c>
      <c r="AG3" s="167"/>
      <c r="AH3" s="12">
        <v>440</v>
      </c>
      <c r="AI3" s="167"/>
      <c r="AJ3" s="168"/>
      <c r="AK3" s="12">
        <v>600</v>
      </c>
      <c r="AL3" s="169"/>
      <c r="AM3" s="64"/>
    </row>
    <row r="4" spans="1:39" ht="18" customHeight="1" thickBot="1">
      <c r="A4" s="277" t="s">
        <v>5</v>
      </c>
      <c r="B4" s="278"/>
      <c r="C4" s="278"/>
      <c r="D4" s="279"/>
      <c r="E4" s="273" t="s">
        <v>6</v>
      </c>
      <c r="F4" s="320"/>
      <c r="G4" s="239"/>
      <c r="H4" s="22"/>
      <c r="I4" s="23"/>
      <c r="J4" s="23"/>
      <c r="K4" s="23"/>
      <c r="L4" s="23"/>
      <c r="M4" s="23"/>
      <c r="N4" s="23"/>
      <c r="O4" s="23"/>
      <c r="P4" s="23" t="s">
        <v>54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142"/>
      <c r="AK4" s="23"/>
      <c r="AL4" s="24"/>
      <c r="AM4" s="64"/>
    </row>
    <row r="5" spans="1:39" ht="18" customHeight="1" thickBot="1">
      <c r="A5" s="280">
        <f>SUM(A3:D3)</f>
        <v>2883.25</v>
      </c>
      <c r="B5" s="281"/>
      <c r="C5" s="281"/>
      <c r="D5" s="282"/>
      <c r="E5" s="275">
        <f>SUM(E3:F3)</f>
        <v>25754.61</v>
      </c>
      <c r="F5" s="321"/>
      <c r="G5" s="239"/>
      <c r="H5" s="166"/>
      <c r="I5" s="167"/>
      <c r="J5" s="167"/>
      <c r="K5" s="167"/>
      <c r="L5" s="167"/>
      <c r="M5" s="167"/>
      <c r="N5" s="167"/>
      <c r="O5" s="167"/>
      <c r="P5" s="12">
        <v>65</v>
      </c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8"/>
      <c r="AK5" s="167"/>
      <c r="AL5" s="169"/>
      <c r="AM5" s="64"/>
    </row>
    <row r="6" spans="1:39" ht="18" customHeight="1" thickBot="1">
      <c r="A6" s="241" t="s">
        <v>38</v>
      </c>
      <c r="B6" s="242"/>
      <c r="C6" s="242"/>
      <c r="D6" s="242"/>
      <c r="E6" s="242"/>
      <c r="F6" s="243"/>
      <c r="G6" s="23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42"/>
      <c r="AK6" s="23"/>
      <c r="AL6" s="24"/>
      <c r="AM6" s="64"/>
    </row>
    <row r="7" spans="1:39" ht="18" customHeight="1">
      <c r="A7" s="106" t="s">
        <v>53</v>
      </c>
      <c r="B7" s="37" t="s">
        <v>54</v>
      </c>
      <c r="C7" s="38" t="s">
        <v>2</v>
      </c>
      <c r="D7" s="38" t="s">
        <v>13</v>
      </c>
      <c r="E7" s="38" t="s">
        <v>3</v>
      </c>
      <c r="F7" s="131" t="s">
        <v>1</v>
      </c>
      <c r="G7" s="239"/>
      <c r="H7" s="166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8"/>
      <c r="AK7" s="167"/>
      <c r="AL7" s="169"/>
      <c r="AM7" s="64"/>
    </row>
    <row r="8" spans="1:39" ht="18" customHeight="1" thickBot="1">
      <c r="A8" s="107">
        <v>3707.0299999999997</v>
      </c>
      <c r="B8" s="40">
        <v>2349.2000000000007</v>
      </c>
      <c r="C8" s="41">
        <v>90.699999999999989</v>
      </c>
      <c r="D8" s="41">
        <v>175.97000000000003</v>
      </c>
      <c r="E8" s="41">
        <v>22697.11</v>
      </c>
      <c r="F8" s="132">
        <v>3055.5</v>
      </c>
      <c r="G8" s="23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42"/>
      <c r="AK8" s="23"/>
      <c r="AL8" s="24"/>
      <c r="AM8" s="64"/>
    </row>
    <row r="9" spans="1:39" ht="18" customHeight="1" thickBot="1">
      <c r="A9" s="241" t="s">
        <v>5</v>
      </c>
      <c r="B9" s="242"/>
      <c r="C9" s="242"/>
      <c r="D9" s="249"/>
      <c r="E9" s="253" t="s">
        <v>6</v>
      </c>
      <c r="F9" s="243"/>
      <c r="G9" s="239"/>
      <c r="H9" s="166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8"/>
      <c r="AK9" s="167"/>
      <c r="AL9" s="169"/>
      <c r="AM9" s="64"/>
    </row>
    <row r="10" spans="1:39" ht="18" customHeight="1" thickBot="1">
      <c r="A10" s="250">
        <f>SUM(A8:D8)</f>
        <v>6322.9000000000005</v>
      </c>
      <c r="B10" s="251"/>
      <c r="C10" s="251"/>
      <c r="D10" s="252"/>
      <c r="E10" s="244">
        <f>SUM(E8:F8)</f>
        <v>25752.61</v>
      </c>
      <c r="F10" s="317"/>
      <c r="G10" s="23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42"/>
      <c r="AK10" s="158"/>
      <c r="AL10" s="161"/>
      <c r="AM10" s="64"/>
    </row>
    <row r="11" spans="1:39" ht="18" customHeight="1" thickBot="1">
      <c r="A11" s="246" t="s">
        <v>12</v>
      </c>
      <c r="B11" s="247"/>
      <c r="C11" s="247"/>
      <c r="D11" s="247"/>
      <c r="E11" s="247"/>
      <c r="F11" s="248"/>
      <c r="G11" s="240"/>
      <c r="H11" s="166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7"/>
      <c r="AL11" s="169"/>
      <c r="AM11" s="64"/>
    </row>
    <row r="12" spans="1:39" ht="18" customHeight="1">
      <c r="A12" s="108" t="s">
        <v>53</v>
      </c>
      <c r="B12" s="14" t="s">
        <v>54</v>
      </c>
      <c r="C12" s="15" t="s">
        <v>2</v>
      </c>
      <c r="D12" s="15" t="s">
        <v>13</v>
      </c>
      <c r="E12" s="15" t="s">
        <v>3</v>
      </c>
      <c r="F12" s="133" t="s">
        <v>1</v>
      </c>
      <c r="G12" s="261" t="s">
        <v>8</v>
      </c>
      <c r="H12" s="154"/>
      <c r="I12" s="20" t="s">
        <v>54</v>
      </c>
      <c r="J12" s="20" t="s">
        <v>54</v>
      </c>
      <c r="K12" s="20" t="s">
        <v>53</v>
      </c>
      <c r="L12" s="20" t="s">
        <v>2</v>
      </c>
      <c r="M12" s="20"/>
      <c r="N12" s="20" t="s">
        <v>13</v>
      </c>
      <c r="O12" s="20" t="s">
        <v>54</v>
      </c>
      <c r="P12" s="20" t="s">
        <v>2</v>
      </c>
      <c r="Q12" s="20" t="s">
        <v>54</v>
      </c>
      <c r="R12" s="20"/>
      <c r="S12" s="20" t="s">
        <v>2</v>
      </c>
      <c r="T12" s="20" t="s">
        <v>13</v>
      </c>
      <c r="U12" s="20" t="s">
        <v>54</v>
      </c>
      <c r="V12" s="20" t="s">
        <v>53</v>
      </c>
      <c r="W12" s="20" t="s">
        <v>13</v>
      </c>
      <c r="X12" s="20" t="s">
        <v>54</v>
      </c>
      <c r="Y12" s="20" t="s">
        <v>54</v>
      </c>
      <c r="Z12" s="20"/>
      <c r="AA12" s="20" t="s">
        <v>54</v>
      </c>
      <c r="AB12" s="20"/>
      <c r="AC12" s="20" t="s">
        <v>13</v>
      </c>
      <c r="AD12" s="20" t="s">
        <v>53</v>
      </c>
      <c r="AE12" s="20" t="s">
        <v>2</v>
      </c>
      <c r="AF12" s="20" t="s">
        <v>2</v>
      </c>
      <c r="AG12" s="20"/>
      <c r="AH12" s="20" t="s">
        <v>54</v>
      </c>
      <c r="AI12" s="20" t="s">
        <v>54</v>
      </c>
      <c r="AJ12" s="140" t="s">
        <v>13</v>
      </c>
      <c r="AK12" s="20"/>
      <c r="AL12" s="159" t="s">
        <v>2</v>
      </c>
      <c r="AM12" s="64"/>
    </row>
    <row r="13" spans="1:39" s="174" customFormat="1" ht="18" customHeight="1" thickBot="1">
      <c r="A13" s="109">
        <f t="shared" ref="A13:F13" si="0">A8-A3</f>
        <v>1775.97</v>
      </c>
      <c r="B13" s="34">
        <f t="shared" si="0"/>
        <v>1719.0900000000001</v>
      </c>
      <c r="C13" s="35">
        <f t="shared" si="0"/>
        <v>86.699999999999989</v>
      </c>
      <c r="D13" s="35">
        <f t="shared" si="0"/>
        <v>-142.10999999999996</v>
      </c>
      <c r="E13" s="35">
        <f t="shared" si="0"/>
        <v>-2</v>
      </c>
      <c r="F13" s="134">
        <f t="shared" si="0"/>
        <v>0</v>
      </c>
      <c r="G13" s="262"/>
      <c r="H13" s="166"/>
      <c r="I13" s="170">
        <v>34.43</v>
      </c>
      <c r="J13" s="170">
        <v>107.96</v>
      </c>
      <c r="K13" s="170">
        <v>140</v>
      </c>
      <c r="L13" s="170">
        <v>18</v>
      </c>
      <c r="M13" s="171"/>
      <c r="N13" s="170">
        <v>135.52000000000001</v>
      </c>
      <c r="O13" s="170">
        <v>500</v>
      </c>
      <c r="P13" s="170">
        <v>10</v>
      </c>
      <c r="Q13" s="170">
        <v>150.06</v>
      </c>
      <c r="R13" s="171"/>
      <c r="S13" s="170">
        <v>37</v>
      </c>
      <c r="T13" s="170">
        <v>26.65</v>
      </c>
      <c r="U13" s="170">
        <f>5+22.05</f>
        <v>27.05</v>
      </c>
      <c r="V13" s="170">
        <v>30</v>
      </c>
      <c r="W13" s="170">
        <v>130</v>
      </c>
      <c r="X13" s="170">
        <v>29.69</v>
      </c>
      <c r="Y13" s="170">
        <v>900</v>
      </c>
      <c r="Z13" s="171"/>
      <c r="AA13" s="170">
        <v>56.44</v>
      </c>
      <c r="AB13" s="171"/>
      <c r="AC13" s="170">
        <v>113.43</v>
      </c>
      <c r="AD13" s="170">
        <v>325</v>
      </c>
      <c r="AE13" s="170">
        <v>48.3</v>
      </c>
      <c r="AF13" s="170">
        <v>40</v>
      </c>
      <c r="AG13" s="171"/>
      <c r="AH13" s="170">
        <v>150.33000000000001</v>
      </c>
      <c r="AI13" s="170">
        <v>15.7</v>
      </c>
      <c r="AJ13" s="177">
        <v>280.36</v>
      </c>
      <c r="AK13" s="171"/>
      <c r="AL13" s="179">
        <v>20</v>
      </c>
      <c r="AM13" s="138"/>
    </row>
    <row r="14" spans="1:39" ht="18" customHeight="1" thickBot="1">
      <c r="A14" s="246" t="s">
        <v>5</v>
      </c>
      <c r="B14" s="247"/>
      <c r="C14" s="247"/>
      <c r="D14" s="264"/>
      <c r="E14" s="257" t="s">
        <v>6</v>
      </c>
      <c r="F14" s="318"/>
      <c r="G14" s="262"/>
      <c r="H14" s="156"/>
      <c r="I14" s="23" t="s">
        <v>54</v>
      </c>
      <c r="J14" s="23" t="s">
        <v>54</v>
      </c>
      <c r="K14" s="23"/>
      <c r="L14" s="23"/>
      <c r="M14" s="23"/>
      <c r="N14" s="23" t="s">
        <v>13</v>
      </c>
      <c r="O14" s="23"/>
      <c r="P14" s="23"/>
      <c r="Q14" s="23" t="s">
        <v>54</v>
      </c>
      <c r="R14" s="23"/>
      <c r="S14" s="23"/>
      <c r="T14" s="23"/>
      <c r="U14" s="23" t="s">
        <v>54</v>
      </c>
      <c r="V14" s="23" t="s">
        <v>3</v>
      </c>
      <c r="W14" s="23" t="s">
        <v>13</v>
      </c>
      <c r="X14" s="23" t="s">
        <v>13</v>
      </c>
      <c r="Y14" s="23" t="s">
        <v>13</v>
      </c>
      <c r="Z14" s="23"/>
      <c r="AA14" s="23" t="s">
        <v>54</v>
      </c>
      <c r="AB14" s="23"/>
      <c r="AC14" s="23"/>
      <c r="AD14" s="23"/>
      <c r="AE14" s="23" t="s">
        <v>53</v>
      </c>
      <c r="AF14" s="23"/>
      <c r="AG14" s="23"/>
      <c r="AH14" s="23" t="s">
        <v>54</v>
      </c>
      <c r="AI14" s="23" t="s">
        <v>54</v>
      </c>
      <c r="AJ14" s="142"/>
      <c r="AK14" s="23"/>
      <c r="AL14" s="24"/>
      <c r="AM14" s="64"/>
    </row>
    <row r="15" spans="1:39" s="174" customFormat="1" ht="18" customHeight="1" thickBot="1">
      <c r="A15" s="265">
        <f>SUM(A13:D13)</f>
        <v>3439.65</v>
      </c>
      <c r="B15" s="266"/>
      <c r="C15" s="266"/>
      <c r="D15" s="267"/>
      <c r="E15" s="259">
        <f>SUM(E13:F13)</f>
        <v>-2</v>
      </c>
      <c r="F15" s="319"/>
      <c r="G15" s="262"/>
      <c r="H15" s="166"/>
      <c r="I15" s="170">
        <v>2.85</v>
      </c>
      <c r="J15" s="170">
        <v>10.199999999999999</v>
      </c>
      <c r="K15" s="171"/>
      <c r="L15" s="171"/>
      <c r="M15" s="171"/>
      <c r="N15" s="170">
        <v>87.58</v>
      </c>
      <c r="O15" s="171"/>
      <c r="P15" s="171"/>
      <c r="Q15" s="170">
        <v>9.35</v>
      </c>
      <c r="R15" s="171"/>
      <c r="S15" s="171"/>
      <c r="T15" s="171"/>
      <c r="U15" s="170">
        <v>100.59</v>
      </c>
      <c r="V15" s="170">
        <v>2</v>
      </c>
      <c r="W15" s="170">
        <v>71.52</v>
      </c>
      <c r="X15" s="170">
        <v>9.07</v>
      </c>
      <c r="Y15" s="170">
        <v>15.98</v>
      </c>
      <c r="Z15" s="171"/>
      <c r="AA15" s="170">
        <v>17.8</v>
      </c>
      <c r="AB15" s="171"/>
      <c r="AC15" s="171"/>
      <c r="AD15" s="171"/>
      <c r="AE15" s="170">
        <v>30.05</v>
      </c>
      <c r="AF15" s="171"/>
      <c r="AG15" s="171"/>
      <c r="AH15" s="170">
        <f>23.35+4.2+8.5</f>
        <v>36.049999999999997</v>
      </c>
      <c r="AI15" s="170">
        <v>43</v>
      </c>
      <c r="AJ15" s="172"/>
      <c r="AK15" s="171"/>
      <c r="AL15" s="173"/>
      <c r="AM15" s="138"/>
    </row>
    <row r="16" spans="1:39" ht="18" customHeight="1">
      <c r="G16" s="262"/>
      <c r="H16" s="156"/>
      <c r="I16" s="23"/>
      <c r="J16" s="23" t="s">
        <v>54</v>
      </c>
      <c r="K16" s="23"/>
      <c r="L16" s="23"/>
      <c r="M16" s="23"/>
      <c r="N16" s="23"/>
      <c r="O16" s="23"/>
      <c r="P16" s="23"/>
      <c r="Q16" s="23" t="s">
        <v>54</v>
      </c>
      <c r="R16" s="23"/>
      <c r="S16" s="23"/>
      <c r="T16" s="23"/>
      <c r="U16" s="23" t="s">
        <v>54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 t="s">
        <v>54</v>
      </c>
      <c r="AI16" s="23"/>
      <c r="AJ16" s="142"/>
      <c r="AK16" s="158"/>
      <c r="AL16" s="161"/>
      <c r="AM16" s="64"/>
    </row>
    <row r="17" spans="1:39" s="174" customFormat="1" ht="18" customHeight="1">
      <c r="A17" s="1"/>
      <c r="B17" s="1"/>
      <c r="C17" s="1"/>
      <c r="D17" s="1"/>
      <c r="E17" s="1"/>
      <c r="F17" s="1"/>
      <c r="G17" s="262"/>
      <c r="H17" s="166"/>
      <c r="I17" s="170"/>
      <c r="J17" s="170">
        <v>156</v>
      </c>
      <c r="K17" s="171"/>
      <c r="L17" s="171"/>
      <c r="M17" s="171"/>
      <c r="N17" s="171"/>
      <c r="O17" s="171"/>
      <c r="P17" s="171"/>
      <c r="Q17" s="170">
        <f>3.25+24.7</f>
        <v>27.95</v>
      </c>
      <c r="R17" s="171"/>
      <c r="S17" s="171"/>
      <c r="T17" s="171"/>
      <c r="U17" s="170">
        <v>4</v>
      </c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0">
        <v>64.16</v>
      </c>
      <c r="AI17" s="171"/>
      <c r="AJ17" s="172"/>
      <c r="AK17" s="171"/>
      <c r="AL17" s="173"/>
      <c r="AM17" s="138"/>
    </row>
    <row r="18" spans="1:39" ht="18" customHeight="1">
      <c r="G18" s="262"/>
      <c r="H18" s="156"/>
      <c r="I18" s="23"/>
      <c r="J18" s="23" t="s">
        <v>53</v>
      </c>
      <c r="K18" s="23"/>
      <c r="L18" s="23"/>
      <c r="M18" s="23"/>
      <c r="N18" s="23"/>
      <c r="O18" s="23"/>
      <c r="P18" s="23"/>
      <c r="Q18" s="23" t="s">
        <v>54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 t="s">
        <v>54</v>
      </c>
      <c r="AI18" s="23"/>
      <c r="AJ18" s="142"/>
      <c r="AK18" s="23"/>
      <c r="AL18" s="24"/>
      <c r="AM18" s="64"/>
    </row>
    <row r="19" spans="1:39" s="174" customFormat="1" ht="18" customHeight="1">
      <c r="A19" s="1"/>
      <c r="B19" s="1"/>
      <c r="C19" s="1"/>
      <c r="D19" s="1"/>
      <c r="E19" s="1"/>
      <c r="F19" s="1"/>
      <c r="G19" s="262"/>
      <c r="H19" s="166"/>
      <c r="I19" s="170"/>
      <c r="J19" s="170">
        <v>59.98</v>
      </c>
      <c r="K19" s="171"/>
      <c r="L19" s="171"/>
      <c r="M19" s="171"/>
      <c r="N19" s="171"/>
      <c r="O19" s="171"/>
      <c r="P19" s="171"/>
      <c r="Q19" s="170">
        <v>600</v>
      </c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0">
        <v>13.3</v>
      </c>
      <c r="AI19" s="171"/>
      <c r="AJ19" s="172"/>
      <c r="AK19" s="171"/>
      <c r="AL19" s="173"/>
      <c r="AM19" s="138"/>
    </row>
    <row r="20" spans="1:39" ht="18" customHeight="1">
      <c r="G20" s="262"/>
      <c r="H20" s="156"/>
      <c r="I20" s="23"/>
      <c r="J20" s="23" t="s">
        <v>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42"/>
      <c r="AK20" s="158"/>
      <c r="AL20" s="161"/>
      <c r="AM20" s="64"/>
    </row>
    <row r="21" spans="1:39" s="174" customFormat="1" ht="18" customHeight="1" thickBot="1">
      <c r="A21" s="1"/>
      <c r="B21" s="1"/>
      <c r="C21" s="1"/>
      <c r="D21" s="1"/>
      <c r="E21" s="1"/>
      <c r="F21" s="1"/>
      <c r="G21" s="263"/>
      <c r="H21" s="166"/>
      <c r="I21" s="170"/>
      <c r="J21" s="170">
        <v>5</v>
      </c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2"/>
      <c r="AK21" s="175"/>
      <c r="AL21" s="176"/>
      <c r="AM21" s="138"/>
    </row>
    <row r="22" spans="1:39" ht="18" customHeight="1">
      <c r="G22" s="301" t="s">
        <v>10</v>
      </c>
      <c r="H22" s="147">
        <f>IF($H$2=$A$2,A3+$H$3,A3)+IF($H$4=$A$2,$H$5,0)+IF($H$6=$A$2,$H$7,0)+IF($H$8=$A$2,$H$9,0)+IF($H$10=$A$2,$H$11,0)-IF($H$12=$A$2,$H$13,0)-IF($H$14=$A$2,$H$15,0)-IF($H$16=$A$2,$H$17,0)-IF($H$18=$A$2,$H$19,0)-IF($H$20=$A$2,$H$21,0)</f>
        <v>1931.0599999999997</v>
      </c>
      <c r="I22" s="148">
        <f>IF(I$2=$A$2,H22+I$3,H22)+IF(I$4=$A$2,I$5,0)+IF(I$6=$A$2,I$7,0)+IF(I$8=$A$2,I$9,0)+IF(I$10=$A$2,I$11,0)-IF(I$12=$A$2,I$13,0)-IF(I$14=$A$2,I$15,0)-IF(I$16=$A$2,I$17,0)-IF(I$18=$A$2,I$19,0)-IF(I$20=$A$2,I$21,0)</f>
        <v>1931.0599999999997</v>
      </c>
      <c r="J22" s="148">
        <f>IF(J$2=$A$2,I22+J$3,I22)+IF(J$4=$A$2,J$5,0)+IF(J$6=$A$2,J$7,0)+IF(J$8=$A$2,J$9,0)+IF(J$10=$A$2,J$11,0)-IF(J$12=$A$2,J$13,0)-IF(J$14=$A$2,J$15,0)-IF(J$16=$A$2,J$17,0)-IF(J$18=$A$2,J$19,0)-IF(J$20=$A$2,J$21,0)</f>
        <v>1866.0799999999997</v>
      </c>
      <c r="K22" s="148">
        <f>IF(K$2=$A$2,J22+K$3,J22)+IF(K$4=$A$2,K$5,0)+IF(K$6=$A$2,K$7,0)+IF(K$8=$A$2,K$9,0)+IF(K$10=$A$2,K$11,0)-IF(K$12=$A$2,K$13,0)-IF(K$14=$A$2,K$15,0)-IF(K$16=$A$2,K$17,0)-IF(K$18=$A$2,K$19,0)-IF(K$20=$A$2,K$21,0)</f>
        <v>1726.0799999999997</v>
      </c>
      <c r="L22" s="148">
        <f>IF(L$2=$A$2,K22+L$3,K22)+IF(L$4=$A$2,L$5,0)+IF(L$6=$A$2,L$7,0)+IF(L$8=$A$2,L$9,0)+IF(L$10=$A$2,L$11,0)-IF(L$12=$A$2,L$13,0)-IF(L$14=$A$2,L$15,0)-IF(L$16=$A$2,L$17,0)-IF(L$18=$A$2,L$19,0)-IF(L$20=$A$2,L$21,0)</f>
        <v>1726.0799999999997</v>
      </c>
      <c r="M22" s="148">
        <f t="shared" ref="M22:N22" si="1">IF(M$2=$A$2,L22+M$3,L22)+IF(M$4=$A$2,M$5,0)+IF(M$6=$A$2,M$7,0)+IF(M$8=$A$2,M$9,0)+IF(M$10=$A$2,M$11,0)-IF(M$12=$A$2,M$13,0)-IF(M$14=$A$2,M$15,0)-IF(M$16=$A$2,M$17,0)-IF(M$18=$A$2,M$19,0)-IF(M$20=$A$2,M$21,0)</f>
        <v>1726.0799999999997</v>
      </c>
      <c r="N22" s="148">
        <f t="shared" si="1"/>
        <v>1726.0799999999997</v>
      </c>
      <c r="O22" s="148">
        <f t="shared" ref="O22:Q22" si="2">IF(O$2=$A$2,N22+O$3,N22)+IF(O$4=$A$2,O$5,0)+IF(O$6=$A$2,O$7,0)+IF(O$8=$A$2,O$9,0)+IF(O$10=$A$2,O$11,0)-IF(O$12=$A$2,O$13,0)-IF(O$14=$A$2,O$15,0)-IF(O$16=$A$2,O$17,0)-IF(O$18=$A$2,O$19,0)-IF(O$20=$A$2,O$21,0)</f>
        <v>1726.0799999999997</v>
      </c>
      <c r="P22" s="148">
        <f t="shared" si="2"/>
        <v>1726.0799999999997</v>
      </c>
      <c r="Q22" s="148">
        <f t="shared" si="2"/>
        <v>3092.08</v>
      </c>
      <c r="R22" s="148">
        <f t="shared" ref="R22" si="3">IF(R$2=$A$2,Q22+R$3,Q22)+IF(R$4=$A$2,R$5,0)+IF(R$6=$A$2,R$7,0)+IF(R$8=$A$2,R$9,0)+IF(R$10=$A$2,R$11,0)-IF(R$12=$A$2,R$13,0)-IF(R$14=$A$2,R$15,0)-IF(R$16=$A$2,R$17,0)-IF(R$18=$A$2,R$19,0)-IF(R$20=$A$2,R$21,0)</f>
        <v>3092.08</v>
      </c>
      <c r="S22" s="148">
        <f t="shared" ref="S22" si="4">IF(S$2=$A$2,R22+S$3,R22)+IF(S$4=$A$2,S$5,0)+IF(S$6=$A$2,S$7,0)+IF(S$8=$A$2,S$9,0)+IF(S$10=$A$2,S$11,0)-IF(S$12=$A$2,S$13,0)-IF(S$14=$A$2,S$15,0)-IF(S$16=$A$2,S$17,0)-IF(S$18=$A$2,S$19,0)-IF(S$20=$A$2,S$21,0)</f>
        <v>3092.08</v>
      </c>
      <c r="T22" s="148">
        <f t="shared" ref="T22" si="5">IF(T$2=$A$2,S22+T$3,S22)+IF(T$4=$A$2,T$5,0)+IF(T$6=$A$2,T$7,0)+IF(T$8=$A$2,T$9,0)+IF(T$10=$A$2,T$11,0)-IF(T$12=$A$2,T$13,0)-IF(T$14=$A$2,T$15,0)-IF(T$16=$A$2,T$17,0)-IF(T$18=$A$2,T$19,0)-IF(T$20=$A$2,T$21,0)</f>
        <v>3092.08</v>
      </c>
      <c r="U22" s="148">
        <f t="shared" ref="U22:W22" si="6">IF(U$2=$A$2,T22+U$3,T22)+IF(U$4=$A$2,U$5,0)+IF(U$6=$A$2,U$7,0)+IF(U$8=$A$2,U$9,0)+IF(U$10=$A$2,U$11,0)-IF(U$12=$A$2,U$13,0)-IF(U$14=$A$2,U$15,0)-IF(U$16=$A$2,U$17,0)-IF(U$18=$A$2,U$19,0)-IF(U$20=$A$2,U$21,0)</f>
        <v>3092.08</v>
      </c>
      <c r="V22" s="148">
        <f t="shared" si="6"/>
        <v>3062.08</v>
      </c>
      <c r="W22" s="148">
        <f t="shared" si="6"/>
        <v>3062.08</v>
      </c>
      <c r="X22" s="148">
        <f t="shared" ref="X22" si="7">IF(X$2=$A$2,W22+X$3,W22)+IF(X$4=$A$2,X$5,0)+IF(X$6=$A$2,X$7,0)+IF(X$8=$A$2,X$9,0)+IF(X$10=$A$2,X$11,0)-IF(X$12=$A$2,X$13,0)-IF(X$14=$A$2,X$15,0)-IF(X$16=$A$2,X$17,0)-IF(X$18=$A$2,X$19,0)-IF(X$20=$A$2,X$21,0)</f>
        <v>3062.08</v>
      </c>
      <c r="Y22" s="148">
        <f t="shared" ref="Y22" si="8">IF(Y$2=$A$2,X22+Y$3,X22)+IF(Y$4=$A$2,Y$5,0)+IF(Y$6=$A$2,Y$7,0)+IF(Y$8=$A$2,Y$9,0)+IF(Y$10=$A$2,Y$11,0)-IF(Y$12=$A$2,Y$13,0)-IF(Y$14=$A$2,Y$15,0)-IF(Y$16=$A$2,Y$17,0)-IF(Y$18=$A$2,Y$19,0)-IF(Y$20=$A$2,Y$21,0)</f>
        <v>3062.08</v>
      </c>
      <c r="Z22" s="148">
        <f t="shared" ref="Z22" si="9">IF(Z$2=$A$2,Y22+Z$3,Y22)+IF(Z$4=$A$2,Z$5,0)+IF(Z$6=$A$2,Z$7,0)+IF(Z$8=$A$2,Z$9,0)+IF(Z$10=$A$2,Z$11,0)-IF(Z$12=$A$2,Z$13,0)-IF(Z$14=$A$2,Z$15,0)-IF(Z$16=$A$2,Z$17,0)-IF(Z$18=$A$2,Z$19,0)-IF(Z$20=$A$2,Z$21,0)</f>
        <v>3062.08</v>
      </c>
      <c r="AA22" s="148">
        <f t="shared" ref="AA22" si="10">IF(AA$2=$A$2,Z22+AA$3,Z22)+IF(AA$4=$A$2,AA$5,0)+IF(AA$6=$A$2,AA$7,0)+IF(AA$8=$A$2,AA$9,0)+IF(AA$10=$A$2,AA$11,0)-IF(AA$12=$A$2,AA$13,0)-IF(AA$14=$A$2,AA$15,0)-IF(AA$16=$A$2,AA$17,0)-IF(AA$18=$A$2,AA$19,0)-IF(AA$20=$A$2,AA$21,0)</f>
        <v>3062.08</v>
      </c>
      <c r="AB22" s="148">
        <f t="shared" ref="AB22" si="11">IF(AB$2=$A$2,AA22+AB$3,AA22)+IF(AB$4=$A$2,AB$5,0)+IF(AB$6=$A$2,AB$7,0)+IF(AB$8=$A$2,AB$9,0)+IF(AB$10=$A$2,AB$11,0)-IF(AB$12=$A$2,AB$13,0)-IF(AB$14=$A$2,AB$15,0)-IF(AB$16=$A$2,AB$17,0)-IF(AB$18=$A$2,AB$19,0)-IF(AB$20=$A$2,AB$21,0)</f>
        <v>3062.08</v>
      </c>
      <c r="AC22" s="148">
        <f t="shared" ref="AC22" si="12">IF(AC$2=$A$2,AB22+AC$3,AB22)+IF(AC$4=$A$2,AC$5,0)+IF(AC$6=$A$2,AC$7,0)+IF(AC$8=$A$2,AC$9,0)+IF(AC$10=$A$2,AC$11,0)-IF(AC$12=$A$2,AC$13,0)-IF(AC$14=$A$2,AC$15,0)-IF(AC$16=$A$2,AC$17,0)-IF(AC$18=$A$2,AC$19,0)-IF(AC$20=$A$2,AC$21,0)</f>
        <v>3062.08</v>
      </c>
      <c r="AD22" s="148">
        <f t="shared" ref="AD22:AJ22" si="13">IF(AD$2=$A$2,AC22+AD$3,AC22)+IF(AD$4=$A$2,AD$5,0)+IF(AD$6=$A$2,AD$7,0)+IF(AD$8=$A$2,AD$9,0)+IF(AD$10=$A$2,AD$11,0)-IF(AD$12=$A$2,AD$13,0)-IF(AD$14=$A$2,AD$15,0)-IF(AD$16=$A$2,AD$17,0)-IF(AD$18=$A$2,AD$19,0)-IF(AD$20=$A$2,AD$21,0)</f>
        <v>2737.08</v>
      </c>
      <c r="AE22" s="148">
        <f t="shared" si="13"/>
        <v>2707.0299999999997</v>
      </c>
      <c r="AF22" s="148">
        <f t="shared" si="13"/>
        <v>3707.0299999999997</v>
      </c>
      <c r="AG22" s="148">
        <f t="shared" si="13"/>
        <v>3707.0299999999997</v>
      </c>
      <c r="AH22" s="148">
        <f t="shared" si="13"/>
        <v>3707.0299999999997</v>
      </c>
      <c r="AI22" s="148">
        <f t="shared" si="13"/>
        <v>3707.0299999999997</v>
      </c>
      <c r="AJ22" s="148">
        <f t="shared" si="13"/>
        <v>3707.0299999999997</v>
      </c>
      <c r="AK22" s="148">
        <f t="shared" ref="AK22" si="14">IF(AK$2=$A$2,AJ22+AK$3,AJ22)+IF(AK$4=$A$2,AK$5,0)+IF(AK$6=$A$2,AK$7,0)+IF(AK$8=$A$2,AK$9,0)+IF(AK$10=$A$2,AK$11,0)-IF(AK$12=$A$2,AK$13,0)-IF(AK$14=$A$2,AK$15,0)-IF(AK$16=$A$2,AK$17,0)-IF(AK$18=$A$2,AK$19,0)-IF(AK$20=$A$2,AK$21,0)</f>
        <v>3707.0299999999997</v>
      </c>
      <c r="AL22" s="148">
        <f t="shared" ref="AL22" si="15">IF(AL$2=$A$2,AK22+AL$3,AK22)+IF(AL$4=$A$2,AL$5,0)+IF(AL$6=$A$2,AL$7,0)+IF(AL$8=$A$2,AL$9,0)+IF(AL$10=$A$2,AL$11,0)-IF(AL$12=$A$2,AL$13,0)-IF(AL$14=$A$2,AL$15,0)-IF(AL$16=$A$2,AL$17,0)-IF(AL$18=$A$2,AL$19,0)-IF(AL$20=$A$2,AL$21,0)</f>
        <v>3707.0299999999997</v>
      </c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630.11000000000047</v>
      </c>
      <c r="I23" s="25">
        <f>IF(I$2=$B$2,H23+I$3,H23)+IF(I$4=$B$2,I$5,0)+IF(I$6=$B$2,I$7,0)+IF(I$8=$B$2,I$9,0)+IF(I$10=$B$2,I$11,0)-IF(I$12=$B$2,I$13,0)-IF(I$14=$B$2,I$15,0)-IF(I$16=$B$2,I$17,0)-IF(I$18=$B$2,I$19,0)-IF(I$20=$B$2,I$21,0)</f>
        <v>3853.8300000000008</v>
      </c>
      <c r="J23" s="25">
        <f>IF(J$2=$B$2,I23+J$3,I23)+IF(J$4=$B$2,J$5,0)+IF(J$6=$B$2,J$7,0)+IF(J$8=$B$2,J$9,0)+IF(J$10=$B$2,J$11,0)-IF(J$12=$B$2,J$13,0)-IF(J$14=$B$2,J$15,0)-IF(J$16=$B$2,J$17,0)-IF(J$18=$B$2,J$19,0)-IF(J$20=$B$2,J$21,0)</f>
        <v>3579.670000000001</v>
      </c>
      <c r="K23" s="25">
        <f>IF(K$2=$B$2,J23+K$3,J23)+IF(K$4=$B$2,K$5,0)+IF(K$6=$B$2,K$7,0)+IF(K$8=$B$2,K$9,0)+IF(K$10=$B$2,K$11,0)-IF(K$12=$B$2,K$13,0)-IF(K$14=$B$2,K$15,0)-IF(K$16=$B$2,K$17,0)-IF(K$18=$B$2,K$19,0)-IF(K$20=$B$2,K$21,0)</f>
        <v>3579.670000000001</v>
      </c>
      <c r="L23" s="25">
        <f>IF(L$2=$B$2,K23+L$3,K23)+IF(L$4=$B$2,L$5,0)+IF(L$6=$B$2,L$7,0)+IF(L$8=$B$2,L$9,0)+IF(L$10=$B$2,L$11,0)-IF(L$12=$B$2,L$13,0)-IF(L$14=$B$2,L$15,0)-IF(L$16=$B$2,L$17,0)-IF(L$18=$B$2,L$19,0)-IF(L$20=$B$2,L$21,0)</f>
        <v>3579.670000000001</v>
      </c>
      <c r="M23" s="25">
        <f t="shared" ref="M23:N23" si="16">IF(M$2=$B$2,L23+M$3,L23)+IF(M$4=$B$2,M$5,0)+IF(M$6=$B$2,M$7,0)+IF(M$8=$B$2,M$9,0)+IF(M$10=$B$2,M$11,0)-IF(M$12=$B$2,M$13,0)-IF(M$14=$B$2,M$15,0)-IF(M$16=$B$2,M$17,0)-IF(M$18=$B$2,M$19,0)-IF(M$20=$B$2,M$21,0)</f>
        <v>3579.670000000001</v>
      </c>
      <c r="N23" s="25">
        <f t="shared" si="16"/>
        <v>3579.670000000001</v>
      </c>
      <c r="O23" s="25">
        <f t="shared" ref="O23:Q23" si="17">IF(O$2=$B$2,N23+O$3,N23)+IF(O$4=$B$2,O$5,0)+IF(O$6=$B$2,O$7,0)+IF(O$8=$B$2,O$9,0)+IF(O$10=$B$2,O$11,0)-IF(O$12=$B$2,O$13,0)-IF(O$14=$B$2,O$15,0)-IF(O$16=$B$2,O$17,0)-IF(O$18=$B$2,O$19,0)-IF(O$20=$B$2,O$21,0)</f>
        <v>3079.670000000001</v>
      </c>
      <c r="P23" s="25">
        <f t="shared" si="17"/>
        <v>3494.670000000001</v>
      </c>
      <c r="Q23" s="25">
        <f t="shared" si="17"/>
        <v>2707.3100000000013</v>
      </c>
      <c r="R23" s="25">
        <f t="shared" ref="R23" si="18">IF(R$2=$B$2,Q23+R$3,Q23)+IF(R$4=$B$2,R$5,0)+IF(R$6=$B$2,R$7,0)+IF(R$8=$B$2,R$9,0)+IF(R$10=$B$2,R$11,0)-IF(R$12=$B$2,R$13,0)-IF(R$14=$B$2,R$15,0)-IF(R$16=$B$2,R$17,0)-IF(R$18=$B$2,R$19,0)-IF(R$20=$B$2,R$21,0)</f>
        <v>2707.3100000000013</v>
      </c>
      <c r="S23" s="25">
        <f t="shared" ref="S23" si="19">IF(S$2=$B$2,R23+S$3,R23)+IF(S$4=$B$2,S$5,0)+IF(S$6=$B$2,S$7,0)+IF(S$8=$B$2,S$9,0)+IF(S$10=$B$2,S$11,0)-IF(S$12=$B$2,S$13,0)-IF(S$14=$B$2,S$15,0)-IF(S$16=$B$2,S$17,0)-IF(S$18=$B$2,S$19,0)-IF(S$20=$B$2,S$21,0)</f>
        <v>2707.3100000000013</v>
      </c>
      <c r="T23" s="25">
        <f t="shared" ref="T23" si="20">IF(T$2=$B$2,S23+T$3,S23)+IF(T$4=$B$2,T$5,0)+IF(T$6=$B$2,T$7,0)+IF(T$8=$B$2,T$9,0)+IF(T$10=$B$2,T$11,0)-IF(T$12=$B$2,T$13,0)-IF(T$14=$B$2,T$15,0)-IF(T$16=$B$2,T$17,0)-IF(T$18=$B$2,T$19,0)-IF(T$20=$B$2,T$21,0)</f>
        <v>2707.3100000000013</v>
      </c>
      <c r="U23" s="25">
        <f t="shared" ref="U23:W23" si="21">IF(U$2=$B$2,T23+U$3,T23)+IF(U$4=$B$2,U$5,0)+IF(U$6=$B$2,U$7,0)+IF(U$8=$B$2,U$9,0)+IF(U$10=$B$2,U$11,0)-IF(U$12=$B$2,U$13,0)-IF(U$14=$B$2,U$15,0)-IF(U$16=$B$2,U$17,0)-IF(U$18=$B$2,U$19,0)-IF(U$20=$B$2,U$21,0)</f>
        <v>2575.670000000001</v>
      </c>
      <c r="V23" s="25">
        <f t="shared" si="21"/>
        <v>2575.670000000001</v>
      </c>
      <c r="W23" s="25">
        <f t="shared" si="21"/>
        <v>2575.670000000001</v>
      </c>
      <c r="X23" s="25">
        <f t="shared" ref="X23" si="22">IF(X$2=$B$2,W23+X$3,W23)+IF(X$4=$B$2,X$5,0)+IF(X$6=$B$2,X$7,0)+IF(X$8=$B$2,X$9,0)+IF(X$10=$B$2,X$11,0)-IF(X$12=$B$2,X$13,0)-IF(X$14=$B$2,X$15,0)-IF(X$16=$B$2,X$17,0)-IF(X$18=$B$2,X$19,0)-IF(X$20=$B$2,X$21,0)</f>
        <v>2545.9800000000009</v>
      </c>
      <c r="Y23" s="25">
        <f t="shared" ref="Y23" si="23">IF(Y$2=$B$2,X23+Y$3,X23)+IF(Y$4=$B$2,Y$5,0)+IF(Y$6=$B$2,Y$7,0)+IF(Y$8=$B$2,Y$9,0)+IF(Y$10=$B$2,Y$11,0)-IF(Y$12=$B$2,Y$13,0)-IF(Y$14=$B$2,Y$15,0)-IF(Y$16=$B$2,Y$17,0)-IF(Y$18=$B$2,Y$19,0)-IF(Y$20=$B$2,Y$21,0)</f>
        <v>2145.9800000000009</v>
      </c>
      <c r="Z23" s="25">
        <f t="shared" ref="Z23" si="24">IF(Z$2=$B$2,Y23+Z$3,Y23)+IF(Z$4=$B$2,Z$5,0)+IF(Z$6=$B$2,Z$7,0)+IF(Z$8=$B$2,Z$9,0)+IF(Z$10=$B$2,Z$11,0)-IF(Z$12=$B$2,Z$13,0)-IF(Z$14=$B$2,Z$15,0)-IF(Z$16=$B$2,Z$17,0)-IF(Z$18=$B$2,Z$19,0)-IF(Z$20=$B$2,Z$21,0)</f>
        <v>2145.9800000000009</v>
      </c>
      <c r="AA23" s="25">
        <f t="shared" ref="AA23" si="25">IF(AA$2=$B$2,Z23+AA$3,Z23)+IF(AA$4=$B$2,AA$5,0)+IF(AA$6=$B$2,AA$7,0)+IF(AA$8=$B$2,AA$9,0)+IF(AA$10=$B$2,AA$11,0)-IF(AA$12=$B$2,AA$13,0)-IF(AA$14=$B$2,AA$15,0)-IF(AA$16=$B$2,AA$17,0)-IF(AA$18=$B$2,AA$19,0)-IF(AA$20=$B$2,AA$21,0)</f>
        <v>2071.7400000000007</v>
      </c>
      <c r="AB23" s="25">
        <f t="shared" ref="AB23" si="26">IF(AB$2=$B$2,AA23+AB$3,AA23)+IF(AB$4=$B$2,AB$5,0)+IF(AB$6=$B$2,AB$7,0)+IF(AB$8=$B$2,AB$9,0)+IF(AB$10=$B$2,AB$11,0)-IF(AB$12=$B$2,AB$13,0)-IF(AB$14=$B$2,AB$15,0)-IF(AB$16=$B$2,AB$17,0)-IF(AB$18=$B$2,AB$19,0)-IF(AB$20=$B$2,AB$21,0)</f>
        <v>2071.7400000000007</v>
      </c>
      <c r="AC23" s="25">
        <f t="shared" ref="AC23" si="27">IF(AC$2=$B$2,AB23+AC$3,AB23)+IF(AC$4=$B$2,AC$5,0)+IF(AC$6=$B$2,AC$7,0)+IF(AC$8=$B$2,AC$9,0)+IF(AC$10=$B$2,AC$11,0)-IF(AC$12=$B$2,AC$13,0)-IF(AC$14=$B$2,AC$15,0)-IF(AC$16=$B$2,AC$17,0)-IF(AC$18=$B$2,AC$19,0)-IF(AC$20=$B$2,AC$21,0)</f>
        <v>2071.7400000000007</v>
      </c>
      <c r="AD23" s="25">
        <f t="shared" ref="AD23:AJ23" si="28">IF(AD$2=$B$2,AC23+AD$3,AC23)+IF(AD$4=$B$2,AD$5,0)+IF(AD$6=$B$2,AD$7,0)+IF(AD$8=$B$2,AD$9,0)+IF(AD$10=$B$2,AD$11,0)-IF(AD$12=$B$2,AD$13,0)-IF(AD$14=$B$2,AD$15,0)-IF(AD$16=$B$2,AD$17,0)-IF(AD$18=$B$2,AD$19,0)-IF(AD$20=$B$2,AD$21,0)</f>
        <v>2071.7400000000007</v>
      </c>
      <c r="AE23" s="25">
        <f t="shared" si="28"/>
        <v>2071.7400000000007</v>
      </c>
      <c r="AF23" s="25">
        <f t="shared" si="28"/>
        <v>2071.7400000000007</v>
      </c>
      <c r="AG23" s="25">
        <f t="shared" si="28"/>
        <v>2071.7400000000007</v>
      </c>
      <c r="AH23" s="25">
        <f t="shared" si="28"/>
        <v>1807.9000000000008</v>
      </c>
      <c r="AI23" s="25">
        <f t="shared" si="28"/>
        <v>1749.2000000000007</v>
      </c>
      <c r="AJ23" s="25">
        <f t="shared" si="28"/>
        <v>1749.2000000000007</v>
      </c>
      <c r="AK23" s="25">
        <f t="shared" ref="AK23" si="29">IF(AK$2=$B$2,AJ23+AK$3,AJ23)+IF(AK$4=$B$2,AK$5,0)+IF(AK$6=$B$2,AK$7,0)+IF(AK$8=$B$2,AK$9,0)+IF(AK$10=$B$2,AK$11,0)-IF(AK$12=$B$2,AK$13,0)-IF(AK$14=$B$2,AK$15,0)-IF(AK$16=$B$2,AK$17,0)-IF(AK$18=$B$2,AK$19,0)-IF(AK$20=$B$2,AK$21,0)</f>
        <v>2349.2000000000007</v>
      </c>
      <c r="AL23" s="25">
        <f t="shared" ref="AL23" si="30">IF(AL$2=$B$2,AK23+AL$3,AK23)+IF(AL$4=$B$2,AL$5,0)+IF(AL$6=$B$2,AL$7,0)+IF(AL$8=$B$2,AL$9,0)+IF(AL$10=$B$2,AL$11,0)-IF(AL$12=$B$2,AL$13,0)-IF(AL$14=$B$2,AL$15,0)-IF(AL$16=$B$2,AL$17,0)-IF(AL$18=$B$2,AL$19,0)-IF(AL$20=$B$2,AL$21,0)</f>
        <v>2349.2000000000007</v>
      </c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4</v>
      </c>
      <c r="I24" s="29">
        <f>IF(I$2=$C$2,H24+I$3,H24)+IF(I$4=$C$2,I$5,0)+IF(I$6=$C$2,I$7,0)+IF(I$8=$C$2,I$9,0)+IF(I$10=$C$2,I$11,0)-IF(I$12=$C$2,I$13,0)-IF(I$14=$C$2,I$15,0)-IF(I$16=$C$2,I$17,0)-IF(I$18=$C$2,I$19,0)-IF(I$20=$C$2,I$21,0)</f>
        <v>4</v>
      </c>
      <c r="J24" s="29">
        <f>IF(J$2=$C$2,I24+J$3,I24)+IF(J$4=$C$2,J$5,0)+IF(J$6=$C$2,J$7,0)+IF(J$8=$C$2,J$9,0)+IF(J$10=$C$2,J$11,0)-IF(J$12=$C$2,J$13,0)-IF(J$14=$C$2,J$15,0)-IF(J$16=$C$2,J$17,0)-IF(J$18=$C$2,J$19,0)-IF(J$20=$C$2,J$21,0)</f>
        <v>4</v>
      </c>
      <c r="K24" s="29">
        <f>IF(K$2=$C$2,J24+K$3,J24)+IF(K$4=$C$2,K$5,0)+IF(K$6=$C$2,K$7,0)+IF(K$8=$C$2,K$9,0)+IF(K$10=$C$2,K$11,0)-IF(K$12=$C$2,K$13,0)-IF(K$14=$C$2,K$15,0)-IF(K$16=$C$2,K$17,0)-IF(K$18=$C$2,K$19,0)-IF(K$20=$C$2,K$21,0)</f>
        <v>144</v>
      </c>
      <c r="L24" s="29">
        <f>IF(L$2=$C$2,K24+L$3,K24)+IF(L$4=$C$2,L$5,0)+IF(L$6=$C$2,L$7,0)+IF(L$8=$C$2,L$9,0)+IF(L$10=$C$2,L$11,0)-IF(L$12=$C$2,L$13,0)-IF(L$14=$C$2,L$15,0)-IF(L$16=$C$2,L$17,0)-IF(L$18=$C$2,L$19,0)-IF(L$20=$C$2,L$21,0)</f>
        <v>126</v>
      </c>
      <c r="M24" s="29">
        <f t="shared" ref="M24:N24" si="31">IF(M$2=$C$2,L24+M$3,L24)+IF(M$4=$C$2,M$5,0)+IF(M$6=$C$2,M$7,0)+IF(M$8=$C$2,M$9,0)+IF(M$10=$C$2,M$11,0)-IF(M$12=$C$2,M$13,0)-IF(M$14=$C$2,M$15,0)-IF(M$16=$C$2,M$17,0)-IF(M$18=$C$2,M$19,0)-IF(M$20=$C$2,M$21,0)</f>
        <v>126</v>
      </c>
      <c r="N24" s="29">
        <f t="shared" si="31"/>
        <v>126</v>
      </c>
      <c r="O24" s="29">
        <f t="shared" ref="O24:Q24" si="32">IF(O$2=$C$2,N24+O$3,N24)+IF(O$4=$C$2,O$5,0)+IF(O$6=$C$2,O$7,0)+IF(O$8=$C$2,O$9,0)+IF(O$10=$C$2,O$11,0)-IF(O$12=$C$2,O$13,0)-IF(O$14=$C$2,O$15,0)-IF(O$16=$C$2,O$17,0)-IF(O$18=$C$2,O$19,0)-IF(O$20=$C$2,O$21,0)</f>
        <v>126</v>
      </c>
      <c r="P24" s="29">
        <f t="shared" si="32"/>
        <v>116</v>
      </c>
      <c r="Q24" s="29">
        <f t="shared" si="32"/>
        <v>116</v>
      </c>
      <c r="R24" s="29">
        <f t="shared" ref="R24" si="33">IF(R$2=$C$2,Q24+R$3,Q24)+IF(R$4=$C$2,R$5,0)+IF(R$6=$C$2,R$7,0)+IF(R$8=$C$2,R$9,0)+IF(R$10=$C$2,R$11,0)-IF(R$12=$C$2,R$13,0)-IF(R$14=$C$2,R$15,0)-IF(R$16=$C$2,R$17,0)-IF(R$18=$C$2,R$19,0)-IF(R$20=$C$2,R$21,0)</f>
        <v>116</v>
      </c>
      <c r="S24" s="29">
        <f t="shared" ref="S24" si="34">IF(S$2=$C$2,R24+S$3,R24)+IF(S$4=$C$2,S$5,0)+IF(S$6=$C$2,S$7,0)+IF(S$8=$C$2,S$9,0)+IF(S$10=$C$2,S$11,0)-IF(S$12=$C$2,S$13,0)-IF(S$14=$C$2,S$15,0)-IF(S$16=$C$2,S$17,0)-IF(S$18=$C$2,S$19,0)-IF(S$20=$C$2,S$21,0)</f>
        <v>199</v>
      </c>
      <c r="T24" s="29">
        <f t="shared" ref="T24" si="35">IF(T$2=$C$2,S24+T$3,S24)+IF(T$4=$C$2,T$5,0)+IF(T$6=$C$2,T$7,0)+IF(T$8=$C$2,T$9,0)+IF(T$10=$C$2,T$11,0)-IF(T$12=$C$2,T$13,0)-IF(T$14=$C$2,T$15,0)-IF(T$16=$C$2,T$17,0)-IF(T$18=$C$2,T$19,0)-IF(T$20=$C$2,T$21,0)</f>
        <v>199</v>
      </c>
      <c r="U24" s="29">
        <f t="shared" ref="U24:W24" si="36">IF(U$2=$C$2,T24+U$3,T24)+IF(U$4=$C$2,U$5,0)+IF(U$6=$C$2,U$7,0)+IF(U$8=$C$2,U$9,0)+IF(U$10=$C$2,U$11,0)-IF(U$12=$C$2,U$13,0)-IF(U$14=$C$2,U$15,0)-IF(U$16=$C$2,U$17,0)-IF(U$18=$C$2,U$19,0)-IF(U$20=$C$2,U$21,0)</f>
        <v>199</v>
      </c>
      <c r="V24" s="29">
        <f t="shared" si="36"/>
        <v>199</v>
      </c>
      <c r="W24" s="29">
        <f t="shared" si="36"/>
        <v>199</v>
      </c>
      <c r="X24" s="29">
        <f t="shared" ref="X24" si="37">IF(X$2=$C$2,W24+X$3,W24)+IF(X$4=$C$2,X$5,0)+IF(X$6=$C$2,X$7,0)+IF(X$8=$C$2,X$9,0)+IF(X$10=$C$2,X$11,0)-IF(X$12=$C$2,X$13,0)-IF(X$14=$C$2,X$15,0)-IF(X$16=$C$2,X$17,0)-IF(X$18=$C$2,X$19,0)-IF(X$20=$C$2,X$21,0)</f>
        <v>199</v>
      </c>
      <c r="Y24" s="29">
        <f t="shared" ref="Y24" si="38">IF(Y$2=$C$2,X24+Y$3,X24)+IF(Y$4=$C$2,Y$5,0)+IF(Y$6=$C$2,Y$7,0)+IF(Y$8=$C$2,Y$9,0)+IF(Y$10=$C$2,Y$11,0)-IF(Y$12=$C$2,Y$13,0)-IF(Y$14=$C$2,Y$15,0)-IF(Y$16=$C$2,Y$17,0)-IF(Y$18=$C$2,Y$19,0)-IF(Y$20=$C$2,Y$21,0)</f>
        <v>199</v>
      </c>
      <c r="Z24" s="29">
        <f t="shared" ref="Z24" si="39">IF(Z$2=$C$2,Y24+Z$3,Y24)+IF(Z$4=$C$2,Z$5,0)+IF(Z$6=$C$2,Z$7,0)+IF(Z$8=$C$2,Z$9,0)+IF(Z$10=$C$2,Z$11,0)-IF(Z$12=$C$2,Z$13,0)-IF(Z$14=$C$2,Z$15,0)-IF(Z$16=$C$2,Z$17,0)-IF(Z$18=$C$2,Z$19,0)-IF(Z$20=$C$2,Z$21,0)</f>
        <v>199</v>
      </c>
      <c r="AA24" s="29">
        <f t="shared" ref="AA24" si="40">IF(AA$2=$C$2,Z24+AA$3,Z24)+IF(AA$4=$C$2,AA$5,0)+IF(AA$6=$C$2,AA$7,0)+IF(AA$8=$C$2,AA$9,0)+IF(AA$10=$C$2,AA$11,0)-IF(AA$12=$C$2,AA$13,0)-IF(AA$14=$C$2,AA$15,0)-IF(AA$16=$C$2,AA$17,0)-IF(AA$18=$C$2,AA$19,0)-IF(AA$20=$C$2,AA$21,0)</f>
        <v>199</v>
      </c>
      <c r="AB24" s="29">
        <f t="shared" ref="AB24" si="41">IF(AB$2=$C$2,AA24+AB$3,AA24)+IF(AB$4=$C$2,AB$5,0)+IF(AB$6=$C$2,AB$7,0)+IF(AB$8=$C$2,AB$9,0)+IF(AB$10=$C$2,AB$11,0)-IF(AB$12=$C$2,AB$13,0)-IF(AB$14=$C$2,AB$15,0)-IF(AB$16=$C$2,AB$17,0)-IF(AB$18=$C$2,AB$19,0)-IF(AB$20=$C$2,AB$21,0)</f>
        <v>199</v>
      </c>
      <c r="AC24" s="29">
        <f t="shared" ref="AC24" si="42">IF(AC$2=$C$2,AB24+AC$3,AB24)+IF(AC$4=$C$2,AC$5,0)+IF(AC$6=$C$2,AC$7,0)+IF(AC$8=$C$2,AC$9,0)+IF(AC$10=$C$2,AC$11,0)-IF(AC$12=$C$2,AC$13,0)-IF(AC$14=$C$2,AC$15,0)-IF(AC$16=$C$2,AC$17,0)-IF(AC$18=$C$2,AC$19,0)-IF(AC$20=$C$2,AC$21,0)</f>
        <v>199</v>
      </c>
      <c r="AD24" s="29">
        <f t="shared" ref="AD24:AJ24" si="43">IF(AD$2=$C$2,AC24+AD$3,AC24)+IF(AD$4=$C$2,AD$5,0)+IF(AD$6=$C$2,AD$7,0)+IF(AD$8=$C$2,AD$9,0)+IF(AD$10=$C$2,AD$11,0)-IF(AD$12=$C$2,AD$13,0)-IF(AD$14=$C$2,AD$15,0)-IF(AD$16=$C$2,AD$17,0)-IF(AD$18=$C$2,AD$19,0)-IF(AD$20=$C$2,AD$21,0)</f>
        <v>199</v>
      </c>
      <c r="AE24" s="29">
        <f t="shared" si="43"/>
        <v>150.69999999999999</v>
      </c>
      <c r="AF24" s="29">
        <f t="shared" si="43"/>
        <v>110.69999999999999</v>
      </c>
      <c r="AG24" s="29">
        <f t="shared" si="43"/>
        <v>110.69999999999999</v>
      </c>
      <c r="AH24" s="29">
        <f t="shared" si="43"/>
        <v>110.69999999999999</v>
      </c>
      <c r="AI24" s="29">
        <f t="shared" si="43"/>
        <v>110.69999999999999</v>
      </c>
      <c r="AJ24" s="29">
        <f t="shared" si="43"/>
        <v>110.69999999999999</v>
      </c>
      <c r="AK24" s="29">
        <f t="shared" ref="AK24" si="44">IF(AK$2=$C$2,AJ24+AK$3,AJ24)+IF(AK$4=$C$2,AK$5,0)+IF(AK$6=$C$2,AK$7,0)+IF(AK$8=$C$2,AK$9,0)+IF(AK$10=$C$2,AK$11,0)-IF(AK$12=$C$2,AK$13,0)-IF(AK$14=$C$2,AK$15,0)-IF(AK$16=$C$2,AK$17,0)-IF(AK$18=$C$2,AK$19,0)-IF(AK$20=$C$2,AK$21,0)</f>
        <v>110.69999999999999</v>
      </c>
      <c r="AL24" s="29">
        <f t="shared" ref="AL24" si="45">IF(AL$2=$C$2,AK24+AL$3,AK24)+IF(AL$4=$C$2,AL$5,0)+IF(AL$6=$C$2,AL$7,0)+IF(AL$8=$C$2,AL$9,0)+IF(AL$10=$C$2,AL$11,0)-IF(AL$12=$C$2,AL$13,0)-IF(AL$14=$C$2,AL$15,0)-IF(AL$16=$C$2,AL$17,0)-IF(AL$18=$C$2,AL$19,0)-IF(AL$20=$C$2,AL$21,0)</f>
        <v>90.699999999999989</v>
      </c>
    </row>
    <row r="25" spans="1:39" ht="18" customHeight="1">
      <c r="G25" s="302"/>
      <c r="H25" s="111">
        <f>IF(H$2=$D$2,D3+H$3,D3)+IF(H$4=$D$2,H$5,0)+IF(H$6=$D$2,H$7,0)+IF(H$8=$D$2,H$9,0)+IF(H$10=$D$2,H$11,0)-IF(H$12=$D$2,H$13,0)-IF(H$14=$D$2,H$15,0)-IF(H$16=$D$2,H$17,0)-IF(H$18=$D$2,H$19,0)-IF(H$20=$D$2,H$21,0)</f>
        <v>318.08</v>
      </c>
      <c r="I25" s="28">
        <f>IF(I$2=$D$2,H25+I$3,H25)+IF(I$4=$D$2,I$5,0)+IF(I$6=$D$2,I$7,0)+IF(I$8=$D$2,I$9,0)+IF(I$10=$D$2,I$11,0)-IF(I$12=$D$2,I$13,0)-IF(I$14=$D$2,I$15,0)-IF(I$16=$D$2,I$17,0)-IF(I$18=$D$2,I$19,0)-IF(I$20=$D$2,I$21,0)</f>
        <v>318.08</v>
      </c>
      <c r="J25" s="28">
        <f>IF(J$2=$D$2,I25+J$3,I25)+IF(J$4=$D$2,J$5,0)+IF(J$6=$D$2,J$7,0)+IF(J$8=$D$2,J$9,0)+IF(J$10=$D$2,J$11,0)-IF(J$12=$D$2,J$13,0)-IF(J$14=$D$2,J$15,0)-IF(J$16=$D$2,J$17,0)-IF(J$18=$D$2,J$19,0)-IF(J$20=$D$2,J$21,0)</f>
        <v>318.08</v>
      </c>
      <c r="K25" s="28">
        <f>IF(K$2=$D$2,J25+K$3,J25)+IF(K$4=$D$2,K$5,0)+IF(K$6=$D$2,K$7,0)+IF(K$8=$D$2,K$9,0)+IF(K$10=$D$2,K$11,0)-IF(K$12=$D$2,K$13,0)-IF(K$14=$D$2,K$15,0)-IF(K$16=$D$2,K$17,0)-IF(K$18=$D$2,K$19,0)-IF(K$20=$D$2,K$21,0)</f>
        <v>318.08</v>
      </c>
      <c r="L25" s="28">
        <f>IF(L$2=$D$2,K25+L$3,K25)+IF(L$4=$D$2,L$5,0)+IF(L$6=$D$2,L$7,0)+IF(L$8=$D$2,L$9,0)+IF(L$10=$D$2,L$11,0)-IF(L$12=$D$2,L$13,0)-IF(L$14=$D$2,L$15,0)-IF(L$16=$D$2,L$17,0)-IF(L$18=$D$2,L$19,0)-IF(L$20=$D$2,L$21,0)</f>
        <v>606.07999999999993</v>
      </c>
      <c r="M25" s="28">
        <f t="shared" ref="M25:N25" si="46">IF(M$2=$D$2,L25+M$3,L25)+IF(M$4=$D$2,M$5,0)+IF(M$6=$D$2,M$7,0)+IF(M$8=$D$2,M$9,0)+IF(M$10=$D$2,M$11,0)-IF(M$12=$D$2,M$13,0)-IF(M$14=$D$2,M$15,0)-IF(M$16=$D$2,M$17,0)-IF(M$18=$D$2,M$19,0)-IF(M$20=$D$2,M$21,0)</f>
        <v>606.07999999999993</v>
      </c>
      <c r="N25" s="28">
        <f t="shared" si="46"/>
        <v>382.97999999999996</v>
      </c>
      <c r="O25" s="28">
        <f t="shared" ref="O25:Q25" si="47">IF(O$2=$D$2,N25+O$3,N25)+IF(O$4=$D$2,O$5,0)+IF(O$6=$D$2,O$7,0)+IF(O$8=$D$2,O$9,0)+IF(O$10=$D$2,O$11,0)-IF(O$12=$D$2,O$13,0)-IF(O$14=$D$2,O$15,0)-IF(O$16=$D$2,O$17,0)-IF(O$18=$D$2,O$19,0)-IF(O$20=$D$2,O$21,0)</f>
        <v>382.97999999999996</v>
      </c>
      <c r="P25" s="28">
        <f t="shared" si="47"/>
        <v>382.97999999999996</v>
      </c>
      <c r="Q25" s="28">
        <f t="shared" si="47"/>
        <v>382.97999999999996</v>
      </c>
      <c r="R25" s="28">
        <f t="shared" ref="R25" si="48">IF(R$2=$D$2,Q25+R$3,Q25)+IF(R$4=$D$2,R$5,0)+IF(R$6=$D$2,R$7,0)+IF(R$8=$D$2,R$9,0)+IF(R$10=$D$2,R$11,0)-IF(R$12=$D$2,R$13,0)-IF(R$14=$D$2,R$15,0)-IF(R$16=$D$2,R$17,0)-IF(R$18=$D$2,R$19,0)-IF(R$20=$D$2,R$21,0)</f>
        <v>382.97999999999996</v>
      </c>
      <c r="S25" s="28">
        <f t="shared" ref="S25" si="49">IF(S$2=$D$2,R25+S$3,R25)+IF(S$4=$D$2,S$5,0)+IF(S$6=$D$2,S$7,0)+IF(S$8=$D$2,S$9,0)+IF(S$10=$D$2,S$11,0)-IF(S$12=$D$2,S$13,0)-IF(S$14=$D$2,S$15,0)-IF(S$16=$D$2,S$17,0)-IF(S$18=$D$2,S$19,0)-IF(S$20=$D$2,S$21,0)</f>
        <v>382.97999999999996</v>
      </c>
      <c r="T25" s="28">
        <f t="shared" ref="T25" si="50">IF(T$2=$D$2,S25+T$3,S25)+IF(T$4=$D$2,T$5,0)+IF(T$6=$D$2,T$7,0)+IF(T$8=$D$2,T$9,0)+IF(T$10=$D$2,T$11,0)-IF(T$12=$D$2,T$13,0)-IF(T$14=$D$2,T$15,0)-IF(T$16=$D$2,T$17,0)-IF(T$18=$D$2,T$19,0)-IF(T$20=$D$2,T$21,0)</f>
        <v>356.33</v>
      </c>
      <c r="U25" s="28">
        <f t="shared" ref="U25:W25" si="51">IF(U$2=$D$2,T25+U$3,T25)+IF(U$4=$D$2,U$5,0)+IF(U$6=$D$2,U$7,0)+IF(U$8=$D$2,U$9,0)+IF(U$10=$D$2,U$11,0)-IF(U$12=$D$2,U$13,0)-IF(U$14=$D$2,U$15,0)-IF(U$16=$D$2,U$17,0)-IF(U$18=$D$2,U$19,0)-IF(U$20=$D$2,U$21,0)</f>
        <v>356.33</v>
      </c>
      <c r="V25" s="28">
        <f t="shared" si="51"/>
        <v>356.33</v>
      </c>
      <c r="W25" s="28">
        <f t="shared" si="51"/>
        <v>154.81</v>
      </c>
      <c r="X25" s="28">
        <f t="shared" ref="X25" si="52">IF(X$2=$D$2,W25+X$3,W25)+IF(X$4=$D$2,X$5,0)+IF(X$6=$D$2,X$7,0)+IF(X$8=$D$2,X$9,0)+IF(X$10=$D$2,X$11,0)-IF(X$12=$D$2,X$13,0)-IF(X$14=$D$2,X$15,0)-IF(X$16=$D$2,X$17,0)-IF(X$18=$D$2,X$19,0)-IF(X$20=$D$2,X$21,0)</f>
        <v>145.74</v>
      </c>
      <c r="Y25" s="28">
        <f t="shared" ref="Y25" si="53">IF(Y$2=$D$2,X25+Y$3,X25)+IF(Y$4=$D$2,Y$5,0)+IF(Y$6=$D$2,Y$7,0)+IF(Y$8=$D$2,Y$9,0)+IF(Y$10=$D$2,Y$11,0)-IF(Y$12=$D$2,Y$13,0)-IF(Y$14=$D$2,Y$15,0)-IF(Y$16=$D$2,Y$17,0)-IF(Y$18=$D$2,Y$19,0)-IF(Y$20=$D$2,Y$21,0)</f>
        <v>129.76000000000002</v>
      </c>
      <c r="Z25" s="28">
        <f t="shared" ref="Z25" si="54">IF(Z$2=$D$2,Y25+Z$3,Y25)+IF(Z$4=$D$2,Z$5,0)+IF(Z$6=$D$2,Z$7,0)+IF(Z$8=$D$2,Z$9,0)+IF(Z$10=$D$2,Z$11,0)-IF(Z$12=$D$2,Z$13,0)-IF(Z$14=$D$2,Z$15,0)-IF(Z$16=$D$2,Z$17,0)-IF(Z$18=$D$2,Z$19,0)-IF(Z$20=$D$2,Z$21,0)</f>
        <v>129.76000000000002</v>
      </c>
      <c r="AA25" s="28">
        <f t="shared" ref="AA25" si="55">IF(AA$2=$D$2,Z25+AA$3,Z25)+IF(AA$4=$D$2,AA$5,0)+IF(AA$6=$D$2,AA$7,0)+IF(AA$8=$D$2,AA$9,0)+IF(AA$10=$D$2,AA$11,0)-IF(AA$12=$D$2,AA$13,0)-IF(AA$14=$D$2,AA$15,0)-IF(AA$16=$D$2,AA$17,0)-IF(AA$18=$D$2,AA$19,0)-IF(AA$20=$D$2,AA$21,0)</f>
        <v>129.76000000000002</v>
      </c>
      <c r="AB25" s="28">
        <f t="shared" ref="AB25" si="56">IF(AB$2=$D$2,AA25+AB$3,AA25)+IF(AB$4=$D$2,AB$5,0)+IF(AB$6=$D$2,AB$7,0)+IF(AB$8=$D$2,AB$9,0)+IF(AB$10=$D$2,AB$11,0)-IF(AB$12=$D$2,AB$13,0)-IF(AB$14=$D$2,AB$15,0)-IF(AB$16=$D$2,AB$17,0)-IF(AB$18=$D$2,AB$19,0)-IF(AB$20=$D$2,AB$21,0)</f>
        <v>129.76000000000002</v>
      </c>
      <c r="AC25" s="28">
        <f t="shared" ref="AC25" si="57">IF(AC$2=$D$2,AB25+AC$3,AB25)+IF(AC$4=$D$2,AC$5,0)+IF(AC$6=$D$2,AC$7,0)+IF(AC$8=$D$2,AC$9,0)+IF(AC$10=$D$2,AC$11,0)-IF(AC$12=$D$2,AC$13,0)-IF(AC$14=$D$2,AC$15,0)-IF(AC$16=$D$2,AC$17,0)-IF(AC$18=$D$2,AC$19,0)-IF(AC$20=$D$2,AC$21,0)</f>
        <v>16.330000000000013</v>
      </c>
      <c r="AD25" s="28">
        <f t="shared" ref="AD25:AJ25" si="58">IF(AD$2=$D$2,AC25+AD$3,AC25)+IF(AD$4=$D$2,AD$5,0)+IF(AD$6=$D$2,AD$7,0)+IF(AD$8=$D$2,AD$9,0)+IF(AD$10=$D$2,AD$11,0)-IF(AD$12=$D$2,AD$13,0)-IF(AD$14=$D$2,AD$15,0)-IF(AD$16=$D$2,AD$17,0)-IF(AD$18=$D$2,AD$19,0)-IF(AD$20=$D$2,AD$21,0)</f>
        <v>16.330000000000013</v>
      </c>
      <c r="AE25" s="28">
        <f t="shared" si="58"/>
        <v>16.330000000000013</v>
      </c>
      <c r="AF25" s="28">
        <f t="shared" si="58"/>
        <v>16.330000000000013</v>
      </c>
      <c r="AG25" s="28">
        <f t="shared" si="58"/>
        <v>16.330000000000013</v>
      </c>
      <c r="AH25" s="28">
        <f t="shared" si="58"/>
        <v>456.33000000000004</v>
      </c>
      <c r="AI25" s="28">
        <f t="shared" si="58"/>
        <v>456.33000000000004</v>
      </c>
      <c r="AJ25" s="28">
        <f t="shared" si="58"/>
        <v>175.97000000000003</v>
      </c>
      <c r="AK25" s="28">
        <f t="shared" ref="AK25" si="59">IF(AK$2=$D$2,AJ25+AK$3,AJ25)+IF(AK$4=$D$2,AK$5,0)+IF(AK$6=$D$2,AK$7,0)+IF(AK$8=$D$2,AK$9,0)+IF(AK$10=$D$2,AK$11,0)-IF(AK$12=$D$2,AK$13,0)-IF(AK$14=$D$2,AK$15,0)-IF(AK$16=$D$2,AK$17,0)-IF(AK$18=$D$2,AK$19,0)-IF(AK$20=$D$2,AK$21,0)</f>
        <v>175.97000000000003</v>
      </c>
      <c r="AL25" s="28">
        <f t="shared" ref="AL25" si="60">IF(AL$2=$D$2,AK25+AL$3,AK25)+IF(AL$4=$D$2,AL$5,0)+IF(AL$6=$D$2,AL$7,0)+IF(AL$8=$D$2,AL$9,0)+IF(AL$10=$D$2,AL$11,0)-IF(AL$12=$D$2,AL$13,0)-IF(AL$14=$D$2,AL$15,0)-IF(AL$16=$D$2,AL$17,0)-IF(AL$18=$D$2,AL$19,0)-IF(AL$20=$D$2,AL$21,0)</f>
        <v>175.97000000000003</v>
      </c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22699.11</v>
      </c>
      <c r="I26" s="28">
        <f>IF(I$2=$E$2,H26+I$3,H26)+IF(I$4=$E$2,I$5,0)+IF(I$6=$E$2,I$7,0)+IF(I$8=$E$2,I$9,0)+IF(I$10=$E$2,I$11,0)-IF(I$12=$E$2,I$13,0)-IF(I$14=$E$2,I$15,0)-IF(I$16=$E$2,I$17,0)-IF(I$18=$E$2,I$19,0)-IF(I$20=$E$2,I$21,0)</f>
        <v>22699.11</v>
      </c>
      <c r="J26" s="28">
        <f>IF(J$2=$E$2,I26+J$3,I26)+IF(J$4=$E$2,J$5,0)+IF(J$6=$E$2,J$7,0)+IF(J$8=$E$2,J$9,0)+IF(J$10=$E$2,J$11,0)-IF(J$12=$E$2,J$13,0)-IF(J$14=$E$2,J$15,0)-IF(J$16=$E$2,J$17,0)-IF(J$18=$E$2,J$19,0)-IF(J$20=$E$2,J$21,0)</f>
        <v>22699.11</v>
      </c>
      <c r="K26" s="28">
        <f>IF(K$2=$E$2,J26+K$3,J26)+IF(K$4=$E$2,K$5,0)+IF(K$6=$E$2,K$7,0)+IF(K$8=$E$2,K$9,0)+IF(K$10=$E$2,K$11,0)-IF(K$12=$E$2,K$13,0)-IF(K$14=$E$2,K$15,0)-IF(K$16=$E$2,K$17,0)-IF(K$18=$E$2,K$19,0)-IF(K$20=$E$2,K$21,0)</f>
        <v>22699.11</v>
      </c>
      <c r="L26" s="28">
        <f>IF(L$2=$E$2,K26+L$3,K26)+IF(L$4=$E$2,L$5,0)+IF(L$6=$E$2,L$7,0)+IF(L$8=$E$2,L$9,0)+IF(L$10=$E$2,L$11,0)-IF(L$12=$E$2,L$13,0)-IF(L$14=$E$2,L$15,0)-IF(L$16=$E$2,L$17,0)-IF(L$18=$E$2,L$19,0)-IF(L$20=$E$2,L$21,0)</f>
        <v>22699.11</v>
      </c>
      <c r="M26" s="28">
        <f t="shared" ref="M26:N26" si="61">IF(M$2=$E$2,L26+M$3,L26)+IF(M$4=$E$2,M$5,0)+IF(M$6=$E$2,M$7,0)+IF(M$8=$E$2,M$9,0)+IF(M$10=$E$2,M$11,0)-IF(M$12=$E$2,M$13,0)-IF(M$14=$E$2,M$15,0)-IF(M$16=$E$2,M$17,0)-IF(M$18=$E$2,M$19,0)-IF(M$20=$E$2,M$21,0)</f>
        <v>22699.11</v>
      </c>
      <c r="N26" s="28">
        <f t="shared" si="61"/>
        <v>22699.11</v>
      </c>
      <c r="O26" s="28">
        <f t="shared" ref="O26:Q26" si="62">IF(O$2=$E$2,N26+O$3,N26)+IF(O$4=$E$2,O$5,0)+IF(O$6=$E$2,O$7,0)+IF(O$8=$E$2,O$9,0)+IF(O$10=$E$2,O$11,0)-IF(O$12=$E$2,O$13,0)-IF(O$14=$E$2,O$15,0)-IF(O$16=$E$2,O$17,0)-IF(O$18=$E$2,O$19,0)-IF(O$20=$E$2,O$21,0)</f>
        <v>22699.11</v>
      </c>
      <c r="P26" s="28">
        <f t="shared" si="62"/>
        <v>22699.11</v>
      </c>
      <c r="Q26" s="28">
        <f t="shared" si="62"/>
        <v>22699.11</v>
      </c>
      <c r="R26" s="28">
        <f t="shared" ref="R26" si="63">IF(R$2=$E$2,Q26+R$3,Q26)+IF(R$4=$E$2,R$5,0)+IF(R$6=$E$2,R$7,0)+IF(R$8=$E$2,R$9,0)+IF(R$10=$E$2,R$11,0)-IF(R$12=$E$2,R$13,0)-IF(R$14=$E$2,R$15,0)-IF(R$16=$E$2,R$17,0)-IF(R$18=$E$2,R$19,0)-IF(R$20=$E$2,R$21,0)</f>
        <v>22699.11</v>
      </c>
      <c r="S26" s="28">
        <f t="shared" ref="S26" si="64">IF(S$2=$E$2,R26+S$3,R26)+IF(S$4=$E$2,S$5,0)+IF(S$6=$E$2,S$7,0)+IF(S$8=$E$2,S$9,0)+IF(S$10=$E$2,S$11,0)-IF(S$12=$E$2,S$13,0)-IF(S$14=$E$2,S$15,0)-IF(S$16=$E$2,S$17,0)-IF(S$18=$E$2,S$19,0)-IF(S$20=$E$2,S$21,0)</f>
        <v>22699.11</v>
      </c>
      <c r="T26" s="28">
        <f t="shared" ref="T26" si="65">IF(T$2=$E$2,S26+T$3,S26)+IF(T$4=$E$2,T$5,0)+IF(T$6=$E$2,T$7,0)+IF(T$8=$E$2,T$9,0)+IF(T$10=$E$2,T$11,0)-IF(T$12=$E$2,T$13,0)-IF(T$14=$E$2,T$15,0)-IF(T$16=$E$2,T$17,0)-IF(T$18=$E$2,T$19,0)-IF(T$20=$E$2,T$21,0)</f>
        <v>22699.11</v>
      </c>
      <c r="U26" s="28">
        <f t="shared" ref="U26:W26" si="66">IF(U$2=$E$2,T26+U$3,T26)+IF(U$4=$E$2,U$5,0)+IF(U$6=$E$2,U$7,0)+IF(U$8=$E$2,U$9,0)+IF(U$10=$E$2,U$11,0)-IF(U$12=$E$2,U$13,0)-IF(U$14=$E$2,U$15,0)-IF(U$16=$E$2,U$17,0)-IF(U$18=$E$2,U$19,0)-IF(U$20=$E$2,U$21,0)</f>
        <v>22699.11</v>
      </c>
      <c r="V26" s="28">
        <f t="shared" si="66"/>
        <v>22697.11</v>
      </c>
      <c r="W26" s="28">
        <f t="shared" si="66"/>
        <v>22697.11</v>
      </c>
      <c r="X26" s="28">
        <f t="shared" ref="X26" si="67">IF(X$2=$E$2,W26+X$3,W26)+IF(X$4=$E$2,X$5,0)+IF(X$6=$E$2,X$7,0)+IF(X$8=$E$2,X$9,0)+IF(X$10=$E$2,X$11,0)-IF(X$12=$E$2,X$13,0)-IF(X$14=$E$2,X$15,0)-IF(X$16=$E$2,X$17,0)-IF(X$18=$E$2,X$19,0)-IF(X$20=$E$2,X$21,0)</f>
        <v>22697.11</v>
      </c>
      <c r="Y26" s="28">
        <f t="shared" ref="Y26" si="68">IF(Y$2=$E$2,X26+Y$3,X26)+IF(Y$4=$E$2,Y$5,0)+IF(Y$6=$E$2,Y$7,0)+IF(Y$8=$E$2,Y$9,0)+IF(Y$10=$E$2,Y$11,0)-IF(Y$12=$E$2,Y$13,0)-IF(Y$14=$E$2,Y$15,0)-IF(Y$16=$E$2,Y$17,0)-IF(Y$18=$E$2,Y$19,0)-IF(Y$20=$E$2,Y$21,0)</f>
        <v>22697.11</v>
      </c>
      <c r="Z26" s="28">
        <f t="shared" ref="Z26" si="69">IF(Z$2=$E$2,Y26+Z$3,Y26)+IF(Z$4=$E$2,Z$5,0)+IF(Z$6=$E$2,Z$7,0)+IF(Z$8=$E$2,Z$9,0)+IF(Z$10=$E$2,Z$11,0)-IF(Z$12=$E$2,Z$13,0)-IF(Z$14=$E$2,Z$15,0)-IF(Z$16=$E$2,Z$17,0)-IF(Z$18=$E$2,Z$19,0)-IF(Z$20=$E$2,Z$21,0)</f>
        <v>22697.11</v>
      </c>
      <c r="AA26" s="28">
        <f t="shared" ref="AA26" si="70">IF(AA$2=$E$2,Z26+AA$3,Z26)+IF(AA$4=$E$2,AA$5,0)+IF(AA$6=$E$2,AA$7,0)+IF(AA$8=$E$2,AA$9,0)+IF(AA$10=$E$2,AA$11,0)-IF(AA$12=$E$2,AA$13,0)-IF(AA$14=$E$2,AA$15,0)-IF(AA$16=$E$2,AA$17,0)-IF(AA$18=$E$2,AA$19,0)-IF(AA$20=$E$2,AA$21,0)</f>
        <v>22697.11</v>
      </c>
      <c r="AB26" s="28">
        <f t="shared" ref="AB26" si="71">IF(AB$2=$E$2,AA26+AB$3,AA26)+IF(AB$4=$E$2,AB$5,0)+IF(AB$6=$E$2,AB$7,0)+IF(AB$8=$E$2,AB$9,0)+IF(AB$10=$E$2,AB$11,0)-IF(AB$12=$E$2,AB$13,0)-IF(AB$14=$E$2,AB$15,0)-IF(AB$16=$E$2,AB$17,0)-IF(AB$18=$E$2,AB$19,0)-IF(AB$20=$E$2,AB$21,0)</f>
        <v>22697.11</v>
      </c>
      <c r="AC26" s="28">
        <f t="shared" ref="AC26" si="72">IF(AC$2=$E$2,AB26+AC$3,AB26)+IF(AC$4=$E$2,AC$5,0)+IF(AC$6=$E$2,AC$7,0)+IF(AC$8=$E$2,AC$9,0)+IF(AC$10=$E$2,AC$11,0)-IF(AC$12=$E$2,AC$13,0)-IF(AC$14=$E$2,AC$15,0)-IF(AC$16=$E$2,AC$17,0)-IF(AC$18=$E$2,AC$19,0)-IF(AC$20=$E$2,AC$21,0)</f>
        <v>22697.11</v>
      </c>
      <c r="AD26" s="28">
        <f t="shared" ref="AD26:AJ26" si="73">IF(AD$2=$E$2,AC26+AD$3,AC26)+IF(AD$4=$E$2,AD$5,0)+IF(AD$6=$E$2,AD$7,0)+IF(AD$8=$E$2,AD$9,0)+IF(AD$10=$E$2,AD$11,0)-IF(AD$12=$E$2,AD$13,0)-IF(AD$14=$E$2,AD$15,0)-IF(AD$16=$E$2,AD$17,0)-IF(AD$18=$E$2,AD$19,0)-IF(AD$20=$E$2,AD$21,0)</f>
        <v>22697.11</v>
      </c>
      <c r="AE26" s="28">
        <f t="shared" si="73"/>
        <v>22697.11</v>
      </c>
      <c r="AF26" s="28">
        <f t="shared" si="73"/>
        <v>22697.11</v>
      </c>
      <c r="AG26" s="28">
        <f t="shared" si="73"/>
        <v>22697.11</v>
      </c>
      <c r="AH26" s="28">
        <f t="shared" si="73"/>
        <v>22697.11</v>
      </c>
      <c r="AI26" s="28">
        <f t="shared" si="73"/>
        <v>22697.11</v>
      </c>
      <c r="AJ26" s="28">
        <f t="shared" si="73"/>
        <v>22697.11</v>
      </c>
      <c r="AK26" s="28">
        <f t="shared" ref="AK26" si="74">IF(AK$2=$E$2,AJ26+AK$3,AJ26)+IF(AK$4=$E$2,AK$5,0)+IF(AK$6=$E$2,AK$7,0)+IF(AK$8=$E$2,AK$9,0)+IF(AK$10=$E$2,AK$11,0)-IF(AK$12=$E$2,AK$13,0)-IF(AK$14=$E$2,AK$15,0)-IF(AK$16=$E$2,AK$17,0)-IF(AK$18=$E$2,AK$19,0)-IF(AK$20=$E$2,AK$21,0)</f>
        <v>22697.11</v>
      </c>
      <c r="AL26" s="28">
        <f t="shared" ref="AL26" si="75">IF(AL$2=$E$2,AK26+AL$3,AK26)+IF(AL$4=$E$2,AL$5,0)+IF(AL$6=$E$2,AL$7,0)+IF(AL$8=$E$2,AL$9,0)+IF(AL$10=$E$2,AL$11,0)-IF(AL$12=$E$2,AL$13,0)-IF(AL$14=$E$2,AL$15,0)-IF(AL$16=$E$2,AL$17,0)-IF(AL$18=$E$2,AL$19,0)-IF(AL$20=$E$2,AL$21,0)</f>
        <v>22697.11</v>
      </c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3055.5</v>
      </c>
      <c r="I27" s="31">
        <f>IF(I$2=$F$2,H27+I$3,H27)+IF(I$4=$F$2,I$5,0)+IF(I$6=$F$2,I$7,0)+IF(I$8=$F$2,I$9,0)+IF(I$10=$F$2,I$11,0)-IF(I$12=$F$2,I$13,0)-IF(I$14=$F$2,I$15,0)-IF(I$16=$F$2,I$17,0)-IF(I$18=$F$2,I$19,0)-IF(I$20=$F$2,I$21,0)</f>
        <v>3055.5</v>
      </c>
      <c r="J27" s="31">
        <f>IF(J$2=$F$2,I27+J$3,I27)+IF(J$4=$F$2,J$5,0)+IF(J$6=$F$2,J$7,0)+IF(J$8=$F$2,J$9,0)+IF(J$10=$F$2,J$11,0)-IF(J$12=$F$2,J$13,0)-IF(J$14=$F$2,J$15,0)-IF(J$16=$F$2,J$17,0)-IF(J$18=$F$2,J$19,0)-IF(J$20=$F$2,J$21,0)</f>
        <v>3055.5</v>
      </c>
      <c r="K27" s="31">
        <f>IF(K$2=$F$2,J27+K$3,J27)+IF(K$4=$F$2,K$5,0)+IF(K$6=$F$2,K$7,0)+IF(K$8=$F$2,K$9,0)+IF(K$10=$F$2,K$11,0)-IF(K$12=$F$2,K$13,0)-IF(K$14=$F$2,K$15,0)-IF(K$16=$F$2,K$17,0)-IF(K$18=$F$2,K$19,0)-IF(K$20=$F$2,K$21,0)</f>
        <v>3055.5</v>
      </c>
      <c r="L27" s="31">
        <f>IF(L$2=$F$2,K27+L$3,K27)+IF(L$4=$F$2,L$5,0)+IF(L$6=$F$2,L$7,0)+IF(L$8=$F$2,L$9,0)+IF(L$10=$F$2,L$11,0)-IF(L$12=$F$2,L$13,0)-IF(L$14=$F$2,L$15,0)-IF(L$16=$F$2,L$17,0)-IF(L$18=$F$2,L$19,0)-IF(L$20=$F$2,L$21,0)</f>
        <v>3055.5</v>
      </c>
      <c r="M27" s="31">
        <f t="shared" ref="M27:N27" si="76">IF(M$2=$F$2,L27+M$3,L27)+IF(M$4=$F$2,M$5,0)+IF(M$6=$F$2,M$7,0)+IF(M$8=$F$2,M$9,0)+IF(M$10=$F$2,M$11,0)-IF(M$12=$F$2,M$13,0)-IF(M$14=$F$2,M$15,0)-IF(M$16=$F$2,M$17,0)-IF(M$18=$F$2,M$19,0)-IF(M$20=$F$2,M$21,0)</f>
        <v>3055.5</v>
      </c>
      <c r="N27" s="31">
        <f t="shared" si="76"/>
        <v>3055.5</v>
      </c>
      <c r="O27" s="31">
        <f t="shared" ref="O27:Q27" si="77">IF(O$2=$F$2,N27+O$3,N27)+IF(O$4=$F$2,O$5,0)+IF(O$6=$F$2,O$7,0)+IF(O$8=$F$2,O$9,0)+IF(O$10=$F$2,O$11,0)-IF(O$12=$F$2,O$13,0)-IF(O$14=$F$2,O$15,0)-IF(O$16=$F$2,O$17,0)-IF(O$18=$F$2,O$19,0)-IF(O$20=$F$2,O$21,0)</f>
        <v>3055.5</v>
      </c>
      <c r="P27" s="31">
        <f t="shared" si="77"/>
        <v>3055.5</v>
      </c>
      <c r="Q27" s="31">
        <f t="shared" si="77"/>
        <v>3055.5</v>
      </c>
      <c r="R27" s="31">
        <f t="shared" ref="R27" si="78">IF(R$2=$F$2,Q27+R$3,Q27)+IF(R$4=$F$2,R$5,0)+IF(R$6=$F$2,R$7,0)+IF(R$8=$F$2,R$9,0)+IF(R$10=$F$2,R$11,0)-IF(R$12=$F$2,R$13,0)-IF(R$14=$F$2,R$15,0)-IF(R$16=$F$2,R$17,0)-IF(R$18=$F$2,R$19,0)-IF(R$20=$F$2,R$21,0)</f>
        <v>3055.5</v>
      </c>
      <c r="S27" s="31">
        <f t="shared" ref="S27" si="79">IF(S$2=$F$2,R27+S$3,R27)+IF(S$4=$F$2,S$5,0)+IF(S$6=$F$2,S$7,0)+IF(S$8=$F$2,S$9,0)+IF(S$10=$F$2,S$11,0)-IF(S$12=$F$2,S$13,0)-IF(S$14=$F$2,S$15,0)-IF(S$16=$F$2,S$17,0)-IF(S$18=$F$2,S$19,0)-IF(S$20=$F$2,S$21,0)</f>
        <v>3055.5</v>
      </c>
      <c r="T27" s="31">
        <f t="shared" ref="T27" si="80">IF(T$2=$F$2,S27+T$3,S27)+IF(T$4=$F$2,T$5,0)+IF(T$6=$F$2,T$7,0)+IF(T$8=$F$2,T$9,0)+IF(T$10=$F$2,T$11,0)-IF(T$12=$F$2,T$13,0)-IF(T$14=$F$2,T$15,0)-IF(T$16=$F$2,T$17,0)-IF(T$18=$F$2,T$19,0)-IF(T$20=$F$2,T$21,0)</f>
        <v>3055.5</v>
      </c>
      <c r="U27" s="31">
        <f t="shared" ref="U27:W27" si="81">IF(U$2=$F$2,T27+U$3,T27)+IF(U$4=$F$2,U$5,0)+IF(U$6=$F$2,U$7,0)+IF(U$8=$F$2,U$9,0)+IF(U$10=$F$2,U$11,0)-IF(U$12=$F$2,U$13,0)-IF(U$14=$F$2,U$15,0)-IF(U$16=$F$2,U$17,0)-IF(U$18=$F$2,U$19,0)-IF(U$20=$F$2,U$21,0)</f>
        <v>3055.5</v>
      </c>
      <c r="V27" s="31">
        <f t="shared" si="81"/>
        <v>3055.5</v>
      </c>
      <c r="W27" s="31">
        <f t="shared" si="81"/>
        <v>3055.5</v>
      </c>
      <c r="X27" s="31">
        <f t="shared" ref="X27" si="82">IF(X$2=$F$2,W27+X$3,W27)+IF(X$4=$F$2,X$5,0)+IF(X$6=$F$2,X$7,0)+IF(X$8=$F$2,X$9,0)+IF(X$10=$F$2,X$11,0)-IF(X$12=$F$2,X$13,0)-IF(X$14=$F$2,X$15,0)-IF(X$16=$F$2,X$17,0)-IF(X$18=$F$2,X$19,0)-IF(X$20=$F$2,X$21,0)</f>
        <v>3055.5</v>
      </c>
      <c r="Y27" s="31">
        <f t="shared" ref="Y27" si="83">IF(Y$2=$F$2,X27+Y$3,X27)+IF(Y$4=$F$2,Y$5,0)+IF(Y$6=$F$2,Y$7,0)+IF(Y$8=$F$2,Y$9,0)+IF(Y$10=$F$2,Y$11,0)-IF(Y$12=$F$2,Y$13,0)-IF(Y$14=$F$2,Y$15,0)-IF(Y$16=$F$2,Y$17,0)-IF(Y$18=$F$2,Y$19,0)-IF(Y$20=$F$2,Y$21,0)</f>
        <v>3055.5</v>
      </c>
      <c r="Z27" s="31">
        <f t="shared" ref="Z27" si="84">IF(Z$2=$F$2,Y27+Z$3,Y27)+IF(Z$4=$F$2,Z$5,0)+IF(Z$6=$F$2,Z$7,0)+IF(Z$8=$F$2,Z$9,0)+IF(Z$10=$F$2,Z$11,0)-IF(Z$12=$F$2,Z$13,0)-IF(Z$14=$F$2,Z$15,0)-IF(Z$16=$F$2,Z$17,0)-IF(Z$18=$F$2,Z$19,0)-IF(Z$20=$F$2,Z$21,0)</f>
        <v>3055.5</v>
      </c>
      <c r="AA27" s="31">
        <f t="shared" ref="AA27" si="85">IF(AA$2=$F$2,Z27+AA$3,Z27)+IF(AA$4=$F$2,AA$5,0)+IF(AA$6=$F$2,AA$7,0)+IF(AA$8=$F$2,AA$9,0)+IF(AA$10=$F$2,AA$11,0)-IF(AA$12=$F$2,AA$13,0)-IF(AA$14=$F$2,AA$15,0)-IF(AA$16=$F$2,AA$17,0)-IF(AA$18=$F$2,AA$19,0)-IF(AA$20=$F$2,AA$21,0)</f>
        <v>3055.5</v>
      </c>
      <c r="AB27" s="31">
        <f t="shared" ref="AB27" si="86">IF(AB$2=$F$2,AA27+AB$3,AA27)+IF(AB$4=$F$2,AB$5,0)+IF(AB$6=$F$2,AB$7,0)+IF(AB$8=$F$2,AB$9,0)+IF(AB$10=$F$2,AB$11,0)-IF(AB$12=$F$2,AB$13,0)-IF(AB$14=$F$2,AB$15,0)-IF(AB$16=$F$2,AB$17,0)-IF(AB$18=$F$2,AB$19,0)-IF(AB$20=$F$2,AB$21,0)</f>
        <v>3055.5</v>
      </c>
      <c r="AC27" s="31">
        <f t="shared" ref="AC27" si="87">IF(AC$2=$F$2,AB27+AC$3,AB27)+IF(AC$4=$F$2,AC$5,0)+IF(AC$6=$F$2,AC$7,0)+IF(AC$8=$F$2,AC$9,0)+IF(AC$10=$F$2,AC$11,0)-IF(AC$12=$F$2,AC$13,0)-IF(AC$14=$F$2,AC$15,0)-IF(AC$16=$F$2,AC$17,0)-IF(AC$18=$F$2,AC$19,0)-IF(AC$20=$F$2,AC$21,0)</f>
        <v>3055.5</v>
      </c>
      <c r="AD27" s="31">
        <f t="shared" ref="AD27:AJ27" si="88">IF(AD$2=$F$2,AC27+AD$3,AC27)+IF(AD$4=$F$2,AD$5,0)+IF(AD$6=$F$2,AD$7,0)+IF(AD$8=$F$2,AD$9,0)+IF(AD$10=$F$2,AD$11,0)-IF(AD$12=$F$2,AD$13,0)-IF(AD$14=$F$2,AD$15,0)-IF(AD$16=$F$2,AD$17,0)-IF(AD$18=$F$2,AD$19,0)-IF(AD$20=$F$2,AD$21,0)</f>
        <v>3055.5</v>
      </c>
      <c r="AE27" s="31">
        <f t="shared" si="88"/>
        <v>3055.5</v>
      </c>
      <c r="AF27" s="31">
        <f t="shared" si="88"/>
        <v>3055.5</v>
      </c>
      <c r="AG27" s="31">
        <f t="shared" si="88"/>
        <v>3055.5</v>
      </c>
      <c r="AH27" s="31">
        <f t="shared" si="88"/>
        <v>3055.5</v>
      </c>
      <c r="AI27" s="31">
        <f t="shared" si="88"/>
        <v>3055.5</v>
      </c>
      <c r="AJ27" s="31">
        <f t="shared" si="88"/>
        <v>3055.5</v>
      </c>
      <c r="AK27" s="31">
        <f t="shared" ref="AK27" si="89">IF(AK$2=$F$2,AJ27+AK$3,AJ27)+IF(AK$4=$F$2,AK$5,0)+IF(AK$6=$F$2,AK$7,0)+IF(AK$8=$F$2,AK$9,0)+IF(AK$10=$F$2,AK$11,0)-IF(AK$12=$F$2,AK$13,0)-IF(AK$14=$F$2,AK$15,0)-IF(AK$16=$F$2,AK$17,0)-IF(AK$18=$F$2,AK$19,0)-IF(AK$20=$F$2,AK$21,0)</f>
        <v>3055.5</v>
      </c>
      <c r="AL27" s="31">
        <f t="shared" ref="AL27" si="90">IF(AL$2=$F$2,AK27+AL$3,AK27)+IF(AL$4=$F$2,AL$5,0)+IF(AL$6=$F$2,AL$7,0)+IF(AL$8=$F$2,AL$9,0)+IF(AL$10=$F$2,AL$11,0)-IF(AL$12=$F$2,AL$13,0)-IF(AL$14=$F$2,AL$15,0)-IF(AL$16=$F$2,AL$17,0)-IF(AL$18=$F$2,AL$19,0)-IF(AL$20=$F$2,AL$21,0)</f>
        <v>3055.5</v>
      </c>
    </row>
    <row r="28" spans="1:39" ht="18" customHeight="1" thickBot="1">
      <c r="G28" s="116" t="s">
        <v>49</v>
      </c>
      <c r="H28" s="113" t="s">
        <v>44</v>
      </c>
      <c r="I28" s="114" t="s">
        <v>45</v>
      </c>
      <c r="J28" s="114" t="s">
        <v>46</v>
      </c>
      <c r="K28" s="114" t="s">
        <v>46</v>
      </c>
      <c r="L28" s="114" t="s">
        <v>47</v>
      </c>
      <c r="M28" s="114" t="s">
        <v>48</v>
      </c>
      <c r="N28" s="114" t="s">
        <v>43</v>
      </c>
      <c r="O28" s="114" t="s">
        <v>44</v>
      </c>
      <c r="P28" s="114" t="s">
        <v>45</v>
      </c>
      <c r="Q28" s="114" t="s">
        <v>46</v>
      </c>
      <c r="R28" s="114" t="s">
        <v>46</v>
      </c>
      <c r="S28" s="114" t="s">
        <v>47</v>
      </c>
      <c r="T28" s="114" t="s">
        <v>48</v>
      </c>
      <c r="U28" s="114" t="s">
        <v>43</v>
      </c>
      <c r="V28" s="114" t="s">
        <v>44</v>
      </c>
      <c r="W28" s="114" t="s">
        <v>45</v>
      </c>
      <c r="X28" s="114" t="s">
        <v>46</v>
      </c>
      <c r="Y28" s="114" t="s">
        <v>46</v>
      </c>
      <c r="Z28" s="114" t="s">
        <v>47</v>
      </c>
      <c r="AA28" s="114" t="s">
        <v>48</v>
      </c>
      <c r="AB28" s="114" t="s">
        <v>43</v>
      </c>
      <c r="AC28" s="114" t="s">
        <v>44</v>
      </c>
      <c r="AD28" s="114" t="s">
        <v>45</v>
      </c>
      <c r="AE28" s="114" t="s">
        <v>46</v>
      </c>
      <c r="AF28" s="114" t="s">
        <v>46</v>
      </c>
      <c r="AG28" s="114" t="s">
        <v>47</v>
      </c>
      <c r="AH28" s="114" t="s">
        <v>48</v>
      </c>
      <c r="AI28" s="114" t="s">
        <v>43</v>
      </c>
      <c r="AJ28" s="114" t="s">
        <v>44</v>
      </c>
      <c r="AK28" s="149" t="s">
        <v>45</v>
      </c>
      <c r="AL28" s="150" t="s">
        <v>46</v>
      </c>
    </row>
    <row r="29" spans="1:39" ht="18" customHeight="1" thickBot="1">
      <c r="C29" s="122" t="s">
        <v>8</v>
      </c>
      <c r="D29" s="5" t="s">
        <v>17</v>
      </c>
      <c r="E29" s="123" t="s">
        <v>9</v>
      </c>
      <c r="F29" s="5" t="s">
        <v>17</v>
      </c>
    </row>
    <row r="30" spans="1:39" ht="18" customHeight="1">
      <c r="C30" s="70" t="s">
        <v>14</v>
      </c>
      <c r="D30" s="71">
        <f>Y13</f>
        <v>900</v>
      </c>
      <c r="E30" s="70" t="s">
        <v>25</v>
      </c>
      <c r="F30" s="71">
        <f>I3+Q3+AF3</f>
        <v>5627</v>
      </c>
      <c r="Z30" s="13"/>
      <c r="AD30" s="13"/>
    </row>
    <row r="31" spans="1:39" ht="18" customHeight="1" thickBot="1">
      <c r="C31" s="57" t="s">
        <v>15</v>
      </c>
      <c r="D31" s="59">
        <f>I13+J21+X13+AA13+V15*4.85+AE13+AE15+AH17+AH19</f>
        <v>291.07</v>
      </c>
      <c r="E31" s="57" t="s">
        <v>26</v>
      </c>
      <c r="F31" s="59">
        <f>L3+AH3</f>
        <v>728</v>
      </c>
      <c r="J31" s="13"/>
    </row>
    <row r="32" spans="1:39" ht="18" customHeight="1">
      <c r="A32" s="304" t="s">
        <v>55</v>
      </c>
      <c r="B32" s="323"/>
      <c r="C32" s="57" t="s">
        <v>16</v>
      </c>
      <c r="D32" s="59">
        <f>P13+Q13+U15+AH13</f>
        <v>410.98</v>
      </c>
      <c r="E32" s="57" t="s">
        <v>27</v>
      </c>
      <c r="F32" s="59">
        <f>Y3</f>
        <v>500</v>
      </c>
      <c r="G32" s="13"/>
    </row>
    <row r="33" spans="1:6" ht="18" customHeight="1" thickBot="1">
      <c r="A33" s="306">
        <f>'Iulie 2021'!A33:B33+0.38+D38</f>
        <v>1916.81</v>
      </c>
      <c r="B33" s="324"/>
      <c r="C33" s="57" t="s">
        <v>33</v>
      </c>
      <c r="D33" s="59">
        <f>J13+N13+N15+Q15+U17+T13+V13+W15+W13+X15+Y15+AC13+AI13+AJ13</f>
        <v>1037.1199999999999</v>
      </c>
      <c r="E33" s="57" t="s">
        <v>19</v>
      </c>
      <c r="F33" s="59">
        <f>P3+P5+S3+AK3</f>
        <v>1135</v>
      </c>
    </row>
    <row r="34" spans="1:6" ht="18" customHeight="1">
      <c r="A34" s="308" t="s">
        <v>57</v>
      </c>
      <c r="B34" s="322"/>
      <c r="C34" s="57" t="s">
        <v>36</v>
      </c>
      <c r="D34" s="59">
        <f>S13+AF13</f>
        <v>77</v>
      </c>
      <c r="E34" s="57"/>
      <c r="F34" s="59"/>
    </row>
    <row r="35" spans="1:6" ht="18" customHeight="1" thickBot="1">
      <c r="A35" s="310">
        <f>'Iunie 2021'!A37:B37</f>
        <v>2291.6047466568521</v>
      </c>
      <c r="B35" s="325"/>
      <c r="C35" s="57" t="s">
        <v>20</v>
      </c>
      <c r="D35" s="59">
        <f>J17+J19+L13+AD13</f>
        <v>558.98</v>
      </c>
      <c r="E35" s="124"/>
      <c r="F35" s="125"/>
    </row>
    <row r="36" spans="1:6" ht="18" customHeight="1" thickBot="1">
      <c r="C36" s="57" t="s">
        <v>18</v>
      </c>
      <c r="D36" s="59">
        <f>Q19</f>
        <v>600</v>
      </c>
      <c r="E36" s="268">
        <f>SUM(F30:F33)</f>
        <v>7990</v>
      </c>
      <c r="F36" s="269"/>
    </row>
    <row r="37" spans="1:6" ht="18" customHeight="1" thickBot="1">
      <c r="C37" s="178" t="s">
        <v>67</v>
      </c>
      <c r="D37" s="59">
        <f>AL13</f>
        <v>20</v>
      </c>
      <c r="E37" s="228">
        <f>E36-C39</f>
        <v>3429.95</v>
      </c>
      <c r="F37" s="229"/>
    </row>
    <row r="38" spans="1:6" ht="18" customHeight="1" thickBot="1">
      <c r="C38" s="101" t="s">
        <v>51</v>
      </c>
      <c r="D38" s="102">
        <f>I15+J15+O13+Q17+U13+AA15+AH15+AI15</f>
        <v>664.89999999999986</v>
      </c>
      <c r="E38" s="232">
        <f>E37+D38</f>
        <v>4094.8499999999995</v>
      </c>
      <c r="F38" s="233"/>
    </row>
    <row r="39" spans="1:6" ht="18" customHeight="1" thickBot="1">
      <c r="C39" s="292">
        <f>SUM(D30:D38)</f>
        <v>4560.05</v>
      </c>
      <c r="D39" s="293"/>
      <c r="E39" s="234" t="s">
        <v>66</v>
      </c>
      <c r="F39" s="235"/>
    </row>
    <row r="52" spans="1:4" ht="18" customHeight="1">
      <c r="A52" s="64"/>
      <c r="B52" s="64"/>
    </row>
    <row r="53" spans="1:4" ht="18" customHeight="1">
      <c r="A53" s="64"/>
      <c r="B53" s="64"/>
    </row>
    <row r="54" spans="1:4" ht="18" customHeight="1">
      <c r="A54" s="64"/>
      <c r="B54" s="64"/>
      <c r="C54" s="64"/>
      <c r="D54" s="64"/>
    </row>
    <row r="55" spans="1:4" ht="18" customHeight="1">
      <c r="A55" s="64"/>
      <c r="B55" s="64"/>
      <c r="C55" s="64"/>
      <c r="D55" s="64"/>
    </row>
    <row r="56" spans="1:4" ht="18" customHeight="1">
      <c r="A56" s="64"/>
      <c r="B56" s="64"/>
      <c r="C56" s="64"/>
      <c r="D56" s="64"/>
    </row>
    <row r="57" spans="1:4" ht="18" customHeight="1">
      <c r="A57" s="64"/>
      <c r="B57" s="64"/>
      <c r="C57" s="64"/>
      <c r="D57" s="64"/>
    </row>
    <row r="58" spans="1:4" ht="18" customHeight="1">
      <c r="A58" s="64"/>
      <c r="B58" s="64"/>
      <c r="C58" s="64"/>
      <c r="D58" s="64"/>
    </row>
    <row r="59" spans="1:4" ht="18" customHeight="1">
      <c r="A59" s="64"/>
      <c r="B59" s="64"/>
      <c r="C59" s="64"/>
      <c r="D59" s="64"/>
    </row>
    <row r="60" spans="1:4" ht="18" customHeight="1">
      <c r="A60" s="64"/>
      <c r="B60" s="64"/>
      <c r="C60" s="64"/>
      <c r="D60" s="64"/>
    </row>
    <row r="61" spans="1:4" ht="18" customHeight="1">
      <c r="A61" s="64"/>
      <c r="B61" s="64"/>
      <c r="C61" s="64"/>
      <c r="D61" s="64"/>
    </row>
    <row r="62" spans="1:4" ht="18" customHeight="1">
      <c r="A62" s="64"/>
      <c r="B62" s="64"/>
      <c r="C62" s="64"/>
      <c r="D62" s="64"/>
    </row>
    <row r="63" spans="1:4" ht="18" customHeight="1">
      <c r="C63" s="64"/>
      <c r="D63" s="64"/>
    </row>
    <row r="64" spans="1:4" ht="18" customHeight="1">
      <c r="C64" s="64"/>
      <c r="D64" s="64"/>
    </row>
    <row r="65" spans="3:4" ht="18" customHeight="1">
      <c r="C65" s="64"/>
      <c r="D65" s="64"/>
    </row>
  </sheetData>
  <mergeCells count="27">
    <mergeCell ref="G22:G27"/>
    <mergeCell ref="A32:B32"/>
    <mergeCell ref="A33:B33"/>
    <mergeCell ref="A35:B35"/>
    <mergeCell ref="A1:F1"/>
    <mergeCell ref="G2:G11"/>
    <mergeCell ref="A4:D4"/>
    <mergeCell ref="E4:F4"/>
    <mergeCell ref="A5:D5"/>
    <mergeCell ref="E5:F5"/>
    <mergeCell ref="A6:F6"/>
    <mergeCell ref="A9:D9"/>
    <mergeCell ref="E9:F9"/>
    <mergeCell ref="A10:D10"/>
    <mergeCell ref="E10:F10"/>
    <mergeCell ref="A11:F11"/>
    <mergeCell ref="G12:G21"/>
    <mergeCell ref="A14:D14"/>
    <mergeCell ref="E14:F14"/>
    <mergeCell ref="A15:D15"/>
    <mergeCell ref="E15:F15"/>
    <mergeCell ref="E37:F37"/>
    <mergeCell ref="E38:F38"/>
    <mergeCell ref="C39:D39"/>
    <mergeCell ref="E39:F39"/>
    <mergeCell ref="A34:B34"/>
    <mergeCell ref="E36:F36"/>
  </mergeCells>
  <conditionalFormatting sqref="A13:F13 E15:F15 A15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E37:F38">
    <cfRule type="cellIs" dxfId="17" priority="2" operator="lessThan">
      <formula>0</formula>
    </cfRule>
    <cfRule type="cellIs" dxfId="16" priority="3" operator="greaterThan">
      <formula>0</formula>
    </cfRule>
  </conditionalFormatting>
  <conditionalFormatting sqref="E38:F38">
    <cfRule type="cellIs" dxfId="15" priority="1" operator="greaterThan">
      <formula>0</formula>
    </cfRule>
  </conditionalFormatting>
  <dataValidations count="8">
    <dataValidation type="list" allowBlank="1" showInputMessage="1" showErrorMessage="1" sqref="AL4 AL20 AL18 AL16 AL14 AL2 AL10 AL8 AL6 AL12" xr:uid="{C3AB0C21-312F-4EBC-B166-5A7006BC26EA}">
      <formula1>$A$2:$E$2</formula1>
    </dataValidation>
    <dataValidation type="list" allowBlank="1" showInputMessage="1" showErrorMessage="1" sqref="F8" xr:uid="{4B328754-BA37-416A-B0D4-21F47008F94E}">
      <formula1>$H$27:$AL$27</formula1>
    </dataValidation>
    <dataValidation type="list" allowBlank="1" showInputMessage="1" showErrorMessage="1" sqref="E8" xr:uid="{B9953618-3E93-480F-A8D8-18BB61D43344}">
      <formula1>$H$26:$AL$26</formula1>
    </dataValidation>
    <dataValidation type="list" allowBlank="1" showInputMessage="1" showErrorMessage="1" sqref="D8" xr:uid="{ECA0D532-FA6F-401F-BEDB-E8208D585ED0}">
      <formula1>$H$25:$AL$25</formula1>
    </dataValidation>
    <dataValidation type="list" allowBlank="1" showInputMessage="1" showErrorMessage="1" sqref="C8" xr:uid="{664A4093-7C6E-4EA1-B1E2-C7DAEDA96D08}">
      <formula1>$H$24:$AL$24</formula1>
    </dataValidation>
    <dataValidation type="list" allowBlank="1" showInputMessage="1" showErrorMessage="1" sqref="B8" xr:uid="{AB46750D-EDF9-49BA-A162-4C99225F9373}">
      <formula1>$H$23:$AL$23</formula1>
    </dataValidation>
    <dataValidation type="list" allowBlank="1" showInputMessage="1" showErrorMessage="1" sqref="H2:AK2 H6:AK6 H8:AK8 H10:AK10 H12:AK12 H14:AK14 H16:AK16 H18:AK18 H20:AK20 H4:AK4" xr:uid="{22F73EE8-47E2-468C-B305-3E32B3EF6264}">
      <formula1>$A$2:$F$2</formula1>
    </dataValidation>
    <dataValidation type="list" allowBlank="1" showInputMessage="1" showErrorMessage="1" sqref="A8" xr:uid="{A800D4ED-6BF0-4807-8E40-108AFABCA224}">
      <formula1>$H$22:$AL$22</formula1>
    </dataValidation>
  </dataValidations>
  <pageMargins left="0.7" right="0.7" top="0.75" bottom="0.75" header="0.3" footer="0.3"/>
  <pageSetup orientation="portrait" horizontalDpi="4294967293" r:id="rId1"/>
  <ignoredErrors>
    <ignoredError sqref="E5 E10 A10 A5" formulaRange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49E9-4E65-492E-8EAF-A06E1FE99271}">
  <sheetPr codeName="Sheet7">
    <tabColor rgb="FF00B050"/>
  </sheetPr>
  <dimension ref="A1:AM65"/>
  <sheetViews>
    <sheetView zoomScaleNormal="100" workbookViewId="0">
      <pane xSplit="6" topLeftCell="G1" activePane="topRight" state="frozen"/>
      <selection pane="topRight" activeCell="H3" sqref="H3"/>
    </sheetView>
  </sheetViews>
  <sheetFormatPr defaultColWidth="15.77734375" defaultRowHeight="18" customHeight="1"/>
  <cols>
    <col min="1" max="6" width="15.77734375" style="1"/>
    <col min="7" max="7" width="15.77734375" style="1" customWidth="1"/>
    <col min="8" max="37" width="10.77734375" style="1" customWidth="1"/>
    <col min="38" max="38" width="10.77734375" style="64" customWidth="1"/>
    <col min="39" max="16384" width="15.77734375" style="1"/>
  </cols>
  <sheetData>
    <row r="1" spans="1:39" ht="18" customHeight="1" thickBot="1">
      <c r="A1" s="277" t="s">
        <v>68</v>
      </c>
      <c r="B1" s="278"/>
      <c r="C1" s="278"/>
      <c r="D1" s="278"/>
      <c r="E1" s="278"/>
      <c r="F1" s="312"/>
      <c r="G1" s="2" t="s">
        <v>7</v>
      </c>
      <c r="H1" s="3">
        <v>1</v>
      </c>
      <c r="I1" s="4">
        <v>2</v>
      </c>
      <c r="J1" s="4">
        <v>3</v>
      </c>
      <c r="K1" s="180">
        <v>4</v>
      </c>
      <c r="L1" s="139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180">
        <v>11</v>
      </c>
      <c r="S1" s="139">
        <v>12</v>
      </c>
      <c r="T1" s="4">
        <v>13</v>
      </c>
      <c r="U1" s="4">
        <v>14</v>
      </c>
      <c r="V1" s="4">
        <v>15</v>
      </c>
      <c r="W1" s="4">
        <v>16</v>
      </c>
      <c r="X1" s="4">
        <v>17</v>
      </c>
      <c r="Y1" s="180">
        <v>18</v>
      </c>
      <c r="Z1" s="139">
        <v>19</v>
      </c>
      <c r="AA1" s="4">
        <v>20</v>
      </c>
      <c r="AB1" s="4">
        <v>21</v>
      </c>
      <c r="AC1" s="4">
        <v>22</v>
      </c>
      <c r="AD1" s="4">
        <v>23</v>
      </c>
      <c r="AE1" s="4">
        <v>24</v>
      </c>
      <c r="AF1" s="180">
        <v>25</v>
      </c>
      <c r="AG1" s="139">
        <v>26</v>
      </c>
      <c r="AH1" s="4">
        <v>27</v>
      </c>
      <c r="AI1" s="4">
        <v>28</v>
      </c>
      <c r="AJ1" s="4">
        <v>29</v>
      </c>
      <c r="AK1" s="5">
        <v>30</v>
      </c>
    </row>
    <row r="2" spans="1:39" ht="18" customHeight="1">
      <c r="A2" s="104" t="s">
        <v>53</v>
      </c>
      <c r="B2" s="6" t="s">
        <v>54</v>
      </c>
      <c r="C2" s="7" t="s">
        <v>2</v>
      </c>
      <c r="D2" s="7" t="s">
        <v>13</v>
      </c>
      <c r="E2" s="7" t="s">
        <v>3</v>
      </c>
      <c r="F2" s="129" t="s">
        <v>1</v>
      </c>
      <c r="G2" s="238" t="s">
        <v>9</v>
      </c>
      <c r="H2" s="19"/>
      <c r="I2" s="20" t="s">
        <v>54</v>
      </c>
      <c r="J2" s="20"/>
      <c r="K2" s="20"/>
      <c r="L2" s="20"/>
      <c r="M2" s="20" t="s">
        <v>2</v>
      </c>
      <c r="N2" s="20"/>
      <c r="O2" s="20"/>
      <c r="P2" s="20" t="s">
        <v>54</v>
      </c>
      <c r="Q2" s="20" t="s">
        <v>54</v>
      </c>
      <c r="R2" s="20"/>
      <c r="S2" s="20"/>
      <c r="T2" s="20"/>
      <c r="U2" s="20" t="s">
        <v>54</v>
      </c>
      <c r="V2" s="20"/>
      <c r="W2" s="20"/>
      <c r="X2" s="20" t="s">
        <v>3</v>
      </c>
      <c r="Y2" s="20"/>
      <c r="Z2" s="20"/>
      <c r="AA2" s="20"/>
      <c r="AB2" s="20"/>
      <c r="AC2" s="20"/>
      <c r="AD2" s="20" t="s">
        <v>54</v>
      </c>
      <c r="AE2" s="20" t="s">
        <v>53</v>
      </c>
      <c r="AF2" s="20" t="s">
        <v>2</v>
      </c>
      <c r="AG2" s="20"/>
      <c r="AH2" s="20"/>
      <c r="AI2" s="20"/>
      <c r="AJ2" s="140" t="s">
        <v>13</v>
      </c>
      <c r="AK2" s="21"/>
      <c r="AM2" s="64"/>
    </row>
    <row r="3" spans="1:39" s="13" customFormat="1" ht="18" customHeight="1" thickBot="1">
      <c r="A3" s="105">
        <v>3707.0299999999997</v>
      </c>
      <c r="B3" s="9">
        <v>2349.2000000000007</v>
      </c>
      <c r="C3" s="10">
        <v>90.699999999999989</v>
      </c>
      <c r="D3" s="10">
        <v>175.97000000000003</v>
      </c>
      <c r="E3" s="10">
        <v>22697.11</v>
      </c>
      <c r="F3" s="130">
        <v>3055.5</v>
      </c>
      <c r="G3" s="239"/>
      <c r="H3" s="166"/>
      <c r="I3" s="12">
        <v>3158</v>
      </c>
      <c r="J3" s="167"/>
      <c r="K3" s="12"/>
      <c r="L3" s="12"/>
      <c r="M3" s="12">
        <v>20</v>
      </c>
      <c r="N3" s="167"/>
      <c r="O3" s="167"/>
      <c r="P3" s="12">
        <v>0.05</v>
      </c>
      <c r="Q3" s="12">
        <v>10000</v>
      </c>
      <c r="R3" s="167"/>
      <c r="S3" s="12"/>
      <c r="T3" s="167"/>
      <c r="U3" s="12">
        <v>89</v>
      </c>
      <c r="V3" s="167"/>
      <c r="W3" s="167"/>
      <c r="X3" s="12">
        <v>200</v>
      </c>
      <c r="Y3" s="12"/>
      <c r="Z3" s="167"/>
      <c r="AA3" s="167"/>
      <c r="AB3" s="167"/>
      <c r="AC3" s="167"/>
      <c r="AD3" s="12">
        <v>600</v>
      </c>
      <c r="AE3" s="12">
        <v>1000</v>
      </c>
      <c r="AF3" s="12">
        <v>50</v>
      </c>
      <c r="AG3" s="167"/>
      <c r="AH3" s="12"/>
      <c r="AI3" s="167"/>
      <c r="AJ3" s="141">
        <v>440</v>
      </c>
      <c r="AK3" s="169"/>
      <c r="AL3" s="64"/>
      <c r="AM3" s="64"/>
    </row>
    <row r="4" spans="1:39" ht="18" customHeight="1" thickBot="1">
      <c r="A4" s="277" t="s">
        <v>5</v>
      </c>
      <c r="B4" s="278"/>
      <c r="C4" s="278"/>
      <c r="D4" s="279"/>
      <c r="E4" s="273" t="s">
        <v>6</v>
      </c>
      <c r="F4" s="320"/>
      <c r="G4" s="239"/>
      <c r="H4" s="22"/>
      <c r="I4" s="23"/>
      <c r="J4" s="23"/>
      <c r="K4" s="23"/>
      <c r="L4" s="23"/>
      <c r="M4" s="23" t="s">
        <v>13</v>
      </c>
      <c r="N4" s="23"/>
      <c r="O4" s="23"/>
      <c r="P4" s="23"/>
      <c r="Q4" s="23" t="s">
        <v>53</v>
      </c>
      <c r="R4" s="23"/>
      <c r="S4" s="23"/>
      <c r="T4" s="23"/>
      <c r="U4" s="23" t="s">
        <v>2</v>
      </c>
      <c r="V4" s="23"/>
      <c r="W4" s="23"/>
      <c r="X4" s="23"/>
      <c r="Y4" s="23"/>
      <c r="Z4" s="23"/>
      <c r="AA4" s="23"/>
      <c r="AB4" s="23"/>
      <c r="AC4" s="23"/>
      <c r="AD4" s="23"/>
      <c r="AE4" s="23" t="s">
        <v>53</v>
      </c>
      <c r="AF4" s="23"/>
      <c r="AG4" s="23"/>
      <c r="AH4" s="23"/>
      <c r="AI4" s="23"/>
      <c r="AJ4" s="142"/>
      <c r="AK4" s="24"/>
      <c r="AM4" s="64"/>
    </row>
    <row r="5" spans="1:39" ht="18" customHeight="1" thickBot="1">
      <c r="A5" s="280">
        <f>SUM(A3:D3)</f>
        <v>6322.9000000000005</v>
      </c>
      <c r="B5" s="281"/>
      <c r="C5" s="281"/>
      <c r="D5" s="282"/>
      <c r="E5" s="275">
        <f>SUM(E3:F3)</f>
        <v>25752.61</v>
      </c>
      <c r="F5" s="321"/>
      <c r="G5" s="239"/>
      <c r="H5" s="166"/>
      <c r="I5" s="167"/>
      <c r="J5" s="167"/>
      <c r="K5" s="167"/>
      <c r="L5" s="167"/>
      <c r="M5" s="12">
        <v>396</v>
      </c>
      <c r="N5" s="167"/>
      <c r="O5" s="167"/>
      <c r="P5" s="12"/>
      <c r="Q5" s="12">
        <v>1456</v>
      </c>
      <c r="R5" s="167"/>
      <c r="S5" s="167"/>
      <c r="T5" s="167"/>
      <c r="U5" s="12">
        <v>290</v>
      </c>
      <c r="V5" s="167"/>
      <c r="W5" s="167"/>
      <c r="X5" s="167"/>
      <c r="Y5" s="167"/>
      <c r="Z5" s="167"/>
      <c r="AA5" s="167"/>
      <c r="AB5" s="167"/>
      <c r="AC5" s="167"/>
      <c r="AD5" s="167"/>
      <c r="AE5" s="12">
        <v>20</v>
      </c>
      <c r="AF5" s="167"/>
      <c r="AG5" s="167"/>
      <c r="AH5" s="167"/>
      <c r="AI5" s="167"/>
      <c r="AJ5" s="168"/>
      <c r="AK5" s="169"/>
      <c r="AM5" s="64"/>
    </row>
    <row r="6" spans="1:39" ht="18" customHeight="1" thickBot="1">
      <c r="A6" s="241" t="s">
        <v>38</v>
      </c>
      <c r="B6" s="242"/>
      <c r="C6" s="242"/>
      <c r="D6" s="242"/>
      <c r="E6" s="242"/>
      <c r="F6" s="243"/>
      <c r="G6" s="23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42"/>
      <c r="AK6" s="24"/>
      <c r="AM6" s="64"/>
    </row>
    <row r="7" spans="1:39" ht="18" customHeight="1">
      <c r="A7" s="106" t="s">
        <v>53</v>
      </c>
      <c r="B7" s="37" t="s">
        <v>54</v>
      </c>
      <c r="C7" s="38" t="s">
        <v>2</v>
      </c>
      <c r="D7" s="38" t="s">
        <v>13</v>
      </c>
      <c r="E7" s="38" t="s">
        <v>3</v>
      </c>
      <c r="F7" s="131" t="s">
        <v>1</v>
      </c>
      <c r="G7" s="239"/>
      <c r="H7" s="166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8"/>
      <c r="AK7" s="169"/>
      <c r="AM7" s="64"/>
    </row>
    <row r="8" spans="1:39" ht="18" customHeight="1" thickBot="1">
      <c r="A8" s="107">
        <v>4092.96</v>
      </c>
      <c r="B8" s="40">
        <v>439.21000000000117</v>
      </c>
      <c r="C8" s="41">
        <v>116.69999999999999</v>
      </c>
      <c r="D8" s="41">
        <v>456.88000000000005</v>
      </c>
      <c r="E8" s="41">
        <v>20860.07</v>
      </c>
      <c r="F8" s="132">
        <v>3055.5</v>
      </c>
      <c r="G8" s="23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42"/>
      <c r="AK8" s="24"/>
      <c r="AM8" s="64"/>
    </row>
    <row r="9" spans="1:39" ht="18" customHeight="1" thickBot="1">
      <c r="A9" s="241" t="s">
        <v>5</v>
      </c>
      <c r="B9" s="242"/>
      <c r="C9" s="242"/>
      <c r="D9" s="249"/>
      <c r="E9" s="253" t="s">
        <v>6</v>
      </c>
      <c r="F9" s="243"/>
      <c r="G9" s="239"/>
      <c r="H9" s="166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8"/>
      <c r="AK9" s="169"/>
      <c r="AM9" s="64"/>
    </row>
    <row r="10" spans="1:39" ht="18" customHeight="1" thickBot="1">
      <c r="A10" s="250">
        <f>SUM(A8:D8)</f>
        <v>5105.7500000000009</v>
      </c>
      <c r="B10" s="251"/>
      <c r="C10" s="251"/>
      <c r="D10" s="252"/>
      <c r="E10" s="244">
        <f>SUM(E8:F8)</f>
        <v>23915.57</v>
      </c>
      <c r="F10" s="317"/>
      <c r="G10" s="23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42"/>
      <c r="AK10" s="161"/>
      <c r="AM10" s="64"/>
    </row>
    <row r="11" spans="1:39" ht="18" customHeight="1" thickBot="1">
      <c r="A11" s="246" t="s">
        <v>12</v>
      </c>
      <c r="B11" s="247"/>
      <c r="C11" s="247"/>
      <c r="D11" s="247"/>
      <c r="E11" s="247"/>
      <c r="F11" s="248"/>
      <c r="G11" s="240"/>
      <c r="H11" s="166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9"/>
      <c r="AM11" s="64"/>
    </row>
    <row r="12" spans="1:39" ht="18" customHeight="1">
      <c r="A12" s="108" t="s">
        <v>53</v>
      </c>
      <c r="B12" s="14" t="s">
        <v>54</v>
      </c>
      <c r="C12" s="15" t="s">
        <v>2</v>
      </c>
      <c r="D12" s="15" t="s">
        <v>13</v>
      </c>
      <c r="E12" s="15" t="s">
        <v>3</v>
      </c>
      <c r="F12" s="133" t="s">
        <v>1</v>
      </c>
      <c r="G12" s="261" t="s">
        <v>8</v>
      </c>
      <c r="H12" s="154" t="s">
        <v>54</v>
      </c>
      <c r="I12" s="20" t="s">
        <v>53</v>
      </c>
      <c r="J12" s="20" t="s">
        <v>53</v>
      </c>
      <c r="K12" s="20" t="s">
        <v>2</v>
      </c>
      <c r="L12" s="20" t="s">
        <v>54</v>
      </c>
      <c r="M12" s="20" t="s">
        <v>53</v>
      </c>
      <c r="N12" s="20"/>
      <c r="O12" s="20"/>
      <c r="P12" s="20"/>
      <c r="Q12" s="20" t="s">
        <v>54</v>
      </c>
      <c r="R12" s="20" t="s">
        <v>54</v>
      </c>
      <c r="S12" s="20" t="s">
        <v>54</v>
      </c>
      <c r="T12" s="20"/>
      <c r="U12" s="20" t="s">
        <v>54</v>
      </c>
      <c r="V12" s="20" t="s">
        <v>54</v>
      </c>
      <c r="W12" s="20" t="s">
        <v>54</v>
      </c>
      <c r="X12" s="20" t="s">
        <v>53</v>
      </c>
      <c r="Y12" s="20"/>
      <c r="Z12" s="20" t="s">
        <v>54</v>
      </c>
      <c r="AA12" s="20" t="s">
        <v>54</v>
      </c>
      <c r="AB12" s="20"/>
      <c r="AC12" s="20"/>
      <c r="AD12" s="20"/>
      <c r="AE12" s="20" t="s">
        <v>53</v>
      </c>
      <c r="AF12" s="20" t="s">
        <v>54</v>
      </c>
      <c r="AG12" s="20"/>
      <c r="AH12" s="20" t="s">
        <v>54</v>
      </c>
      <c r="AI12" s="20"/>
      <c r="AJ12" s="140"/>
      <c r="AK12" s="21" t="s">
        <v>53</v>
      </c>
      <c r="AM12" s="64"/>
    </row>
    <row r="13" spans="1:39" s="174" customFormat="1" ht="18" customHeight="1" thickBot="1">
      <c r="A13" s="109">
        <f t="shared" ref="A13:F13" si="0">A8-A3</f>
        <v>385.93000000000029</v>
      </c>
      <c r="B13" s="34">
        <f t="shared" si="0"/>
        <v>-1909.9899999999996</v>
      </c>
      <c r="C13" s="35">
        <f t="shared" si="0"/>
        <v>26</v>
      </c>
      <c r="D13" s="35">
        <f t="shared" si="0"/>
        <v>280.91000000000003</v>
      </c>
      <c r="E13" s="35">
        <f t="shared" si="0"/>
        <v>-1837.0400000000009</v>
      </c>
      <c r="F13" s="134">
        <f t="shared" si="0"/>
        <v>0</v>
      </c>
      <c r="G13" s="262"/>
      <c r="H13" s="170">
        <v>500</v>
      </c>
      <c r="I13" s="170">
        <v>15</v>
      </c>
      <c r="J13" s="170">
        <v>89</v>
      </c>
      <c r="K13" s="170">
        <v>10</v>
      </c>
      <c r="L13" s="170">
        <v>17.68</v>
      </c>
      <c r="M13" s="170">
        <v>1000</v>
      </c>
      <c r="N13" s="170"/>
      <c r="O13" s="170"/>
      <c r="P13" s="170"/>
      <c r="Q13" s="170">
        <v>12358</v>
      </c>
      <c r="R13" s="170">
        <v>600</v>
      </c>
      <c r="S13" s="170">
        <v>18.8</v>
      </c>
      <c r="T13" s="170"/>
      <c r="U13" s="170">
        <v>200</v>
      </c>
      <c r="V13" s="170">
        <v>49.6</v>
      </c>
      <c r="W13" s="170">
        <v>29.87</v>
      </c>
      <c r="X13" s="170">
        <v>85.5</v>
      </c>
      <c r="Y13" s="170"/>
      <c r="Z13" s="170">
        <v>900</v>
      </c>
      <c r="AA13" s="170">
        <v>28</v>
      </c>
      <c r="AB13" s="171"/>
      <c r="AC13" s="170"/>
      <c r="AD13" s="170"/>
      <c r="AE13" s="170">
        <v>281</v>
      </c>
      <c r="AF13" s="170">
        <f>18.93+62.8</f>
        <v>81.72999999999999</v>
      </c>
      <c r="AG13" s="171"/>
      <c r="AH13" s="170">
        <v>27.5</v>
      </c>
      <c r="AI13" s="170"/>
      <c r="AJ13" s="177"/>
      <c r="AK13" s="179">
        <v>46</v>
      </c>
      <c r="AL13" s="64"/>
      <c r="AM13" s="138"/>
    </row>
    <row r="14" spans="1:39" ht="18" customHeight="1" thickBot="1">
      <c r="A14" s="246" t="s">
        <v>5</v>
      </c>
      <c r="B14" s="247"/>
      <c r="C14" s="247"/>
      <c r="D14" s="264"/>
      <c r="E14" s="257" t="s">
        <v>6</v>
      </c>
      <c r="F14" s="318"/>
      <c r="G14" s="262"/>
      <c r="H14" s="156" t="s">
        <v>54</v>
      </c>
      <c r="I14" s="23" t="s">
        <v>53</v>
      </c>
      <c r="J14" s="23" t="s">
        <v>53</v>
      </c>
      <c r="K14" s="23" t="s">
        <v>2</v>
      </c>
      <c r="L14" s="23" t="s">
        <v>54</v>
      </c>
      <c r="M14" s="23" t="s">
        <v>2</v>
      </c>
      <c r="N14" s="23"/>
      <c r="O14" s="23"/>
      <c r="P14" s="23"/>
      <c r="Q14" s="23" t="s">
        <v>3</v>
      </c>
      <c r="R14" s="23" t="s">
        <v>54</v>
      </c>
      <c r="S14" s="23" t="s">
        <v>54</v>
      </c>
      <c r="T14" s="23"/>
      <c r="U14" s="23" t="s">
        <v>53</v>
      </c>
      <c r="V14" s="23" t="s">
        <v>54</v>
      </c>
      <c r="W14" s="23"/>
      <c r="X14" s="23"/>
      <c r="Y14" s="23"/>
      <c r="Z14" s="23"/>
      <c r="AA14" s="23" t="s">
        <v>54</v>
      </c>
      <c r="AB14" s="23"/>
      <c r="AC14" s="23"/>
      <c r="AD14" s="23"/>
      <c r="AE14" s="23"/>
      <c r="AF14" s="23" t="s">
        <v>54</v>
      </c>
      <c r="AG14" s="23"/>
      <c r="AH14" s="23" t="s">
        <v>54</v>
      </c>
      <c r="AI14" s="23"/>
      <c r="AJ14" s="142"/>
      <c r="AK14" s="24"/>
      <c r="AM14" s="64"/>
    </row>
    <row r="15" spans="1:39" s="174" customFormat="1" ht="18" customHeight="1" thickBot="1">
      <c r="A15" s="265">
        <f>SUM(A13:D13)</f>
        <v>-1217.1499999999992</v>
      </c>
      <c r="B15" s="266"/>
      <c r="C15" s="266"/>
      <c r="D15" s="267"/>
      <c r="E15" s="259">
        <f>SUM(E13:F13)</f>
        <v>-1837.0400000000009</v>
      </c>
      <c r="F15" s="319"/>
      <c r="G15" s="262"/>
      <c r="H15" s="170">
        <v>34.5</v>
      </c>
      <c r="I15" s="170">
        <v>84</v>
      </c>
      <c r="J15" s="170">
        <v>5</v>
      </c>
      <c r="K15" s="170">
        <v>20</v>
      </c>
      <c r="L15" s="170">
        <v>23.2</v>
      </c>
      <c r="M15" s="170">
        <v>14</v>
      </c>
      <c r="N15" s="170"/>
      <c r="O15" s="171"/>
      <c r="P15" s="171"/>
      <c r="Q15" s="170">
        <v>2035.04</v>
      </c>
      <c r="R15" s="170">
        <v>150.52000000000001</v>
      </c>
      <c r="S15" s="170">
        <v>11.8</v>
      </c>
      <c r="T15" s="171"/>
      <c r="U15" s="170">
        <v>290</v>
      </c>
      <c r="V15" s="170">
        <v>4</v>
      </c>
      <c r="W15" s="170"/>
      <c r="X15" s="170"/>
      <c r="Y15" s="170"/>
      <c r="Z15" s="171"/>
      <c r="AA15" s="170">
        <v>66.040000000000006</v>
      </c>
      <c r="AB15" s="171"/>
      <c r="AC15" s="171"/>
      <c r="AD15" s="171"/>
      <c r="AE15" s="170"/>
      <c r="AF15" s="170">
        <v>7.6</v>
      </c>
      <c r="AG15" s="171"/>
      <c r="AH15" s="170">
        <v>87.25</v>
      </c>
      <c r="AI15" s="170"/>
      <c r="AJ15" s="172"/>
      <c r="AK15" s="173"/>
      <c r="AL15" s="64"/>
      <c r="AM15" s="138"/>
    </row>
    <row r="16" spans="1:39" ht="18" customHeight="1">
      <c r="G16" s="262"/>
      <c r="H16" s="156" t="s">
        <v>54</v>
      </c>
      <c r="I16" s="23" t="s">
        <v>53</v>
      </c>
      <c r="J16" s="23" t="s">
        <v>13</v>
      </c>
      <c r="K16" s="23"/>
      <c r="L16" s="23" t="s">
        <v>13</v>
      </c>
      <c r="M16" s="23"/>
      <c r="N16" s="23"/>
      <c r="O16" s="23"/>
      <c r="P16" s="23"/>
      <c r="Q16" s="23"/>
      <c r="R16" s="23" t="s">
        <v>54</v>
      </c>
      <c r="S16" s="23" t="s">
        <v>54</v>
      </c>
      <c r="T16" s="23"/>
      <c r="U16" s="23" t="s">
        <v>2</v>
      </c>
      <c r="V16" s="23" t="s">
        <v>3</v>
      </c>
      <c r="W16" s="23"/>
      <c r="X16" s="23"/>
      <c r="Y16" s="23"/>
      <c r="Z16" s="23"/>
      <c r="AA16" s="23" t="s">
        <v>54</v>
      </c>
      <c r="AB16" s="23"/>
      <c r="AC16" s="23"/>
      <c r="AD16" s="23"/>
      <c r="AE16" s="23"/>
      <c r="AF16" s="23" t="s">
        <v>54</v>
      </c>
      <c r="AG16" s="23"/>
      <c r="AH16" s="23" t="s">
        <v>53</v>
      </c>
      <c r="AI16" s="23"/>
      <c r="AJ16" s="142"/>
      <c r="AK16" s="161"/>
      <c r="AM16" s="64"/>
    </row>
    <row r="17" spans="1:39" s="174" customFormat="1" ht="18" customHeight="1">
      <c r="A17" s="1"/>
      <c r="B17" s="1"/>
      <c r="C17" s="1"/>
      <c r="D17" s="1"/>
      <c r="E17" s="1"/>
      <c r="F17" s="1"/>
      <c r="G17" s="262"/>
      <c r="H17" s="170">
        <v>5</v>
      </c>
      <c r="I17" s="170">
        <v>99.49</v>
      </c>
      <c r="J17" s="170">
        <v>37.04</v>
      </c>
      <c r="K17" s="171"/>
      <c r="L17" s="170">
        <v>130</v>
      </c>
      <c r="M17" s="171"/>
      <c r="N17" s="171"/>
      <c r="O17" s="171"/>
      <c r="P17" s="171"/>
      <c r="Q17" s="170"/>
      <c r="R17" s="170">
        <v>48.8</v>
      </c>
      <c r="S17" s="170">
        <f>32+12</f>
        <v>44</v>
      </c>
      <c r="T17" s="171"/>
      <c r="U17" s="170">
        <f>150+90</f>
        <v>240</v>
      </c>
      <c r="V17" s="170">
        <v>2</v>
      </c>
      <c r="W17" s="171"/>
      <c r="X17" s="171"/>
      <c r="Y17" s="171"/>
      <c r="Z17" s="171"/>
      <c r="AA17" s="170">
        <f>20+39.6+39.6</f>
        <v>99.2</v>
      </c>
      <c r="AB17" s="171"/>
      <c r="AC17" s="171"/>
      <c r="AD17" s="171"/>
      <c r="AE17" s="171"/>
      <c r="AF17" s="170">
        <f>22+10.7+24+0.5</f>
        <v>57.2</v>
      </c>
      <c r="AG17" s="171"/>
      <c r="AH17" s="170">
        <v>30.19</v>
      </c>
      <c r="AI17" s="171"/>
      <c r="AJ17" s="172"/>
      <c r="AK17" s="173"/>
      <c r="AL17" s="64"/>
      <c r="AM17" s="138"/>
    </row>
    <row r="18" spans="1:39" ht="18" customHeight="1">
      <c r="G18" s="262"/>
      <c r="H18" s="156"/>
      <c r="I18" s="23"/>
      <c r="J18" s="23"/>
      <c r="K18" s="23"/>
      <c r="L18" s="23" t="s">
        <v>2</v>
      </c>
      <c r="M18" s="23"/>
      <c r="N18" s="23"/>
      <c r="O18" s="23"/>
      <c r="P18" s="23"/>
      <c r="Q18" s="23"/>
      <c r="R18" s="23" t="s">
        <v>54</v>
      </c>
      <c r="S18" s="23" t="s">
        <v>13</v>
      </c>
      <c r="T18" s="23"/>
      <c r="U18" s="23"/>
      <c r="V18" s="23"/>
      <c r="W18" s="23"/>
      <c r="X18" s="23"/>
      <c r="Y18" s="23"/>
      <c r="Z18" s="23"/>
      <c r="AA18" s="23" t="s">
        <v>13</v>
      </c>
      <c r="AB18" s="23"/>
      <c r="AC18" s="23"/>
      <c r="AD18" s="23"/>
      <c r="AE18" s="23"/>
      <c r="AF18" s="23" t="s">
        <v>54</v>
      </c>
      <c r="AG18" s="23"/>
      <c r="AH18" s="23"/>
      <c r="AI18" s="23"/>
      <c r="AJ18" s="142"/>
      <c r="AK18" s="24"/>
      <c r="AM18" s="64"/>
    </row>
    <row r="19" spans="1:39" s="174" customFormat="1" ht="18" customHeight="1">
      <c r="A19" s="1"/>
      <c r="B19" s="1"/>
      <c r="C19" s="1"/>
      <c r="D19" s="1"/>
      <c r="E19" s="1"/>
      <c r="F19" s="1"/>
      <c r="G19" s="262"/>
      <c r="H19" s="166"/>
      <c r="I19" s="170"/>
      <c r="J19" s="170"/>
      <c r="K19" s="171"/>
      <c r="L19" s="170">
        <v>50</v>
      </c>
      <c r="M19" s="171"/>
      <c r="N19" s="171"/>
      <c r="O19" s="171"/>
      <c r="P19" s="171"/>
      <c r="Q19" s="170"/>
      <c r="R19" s="170">
        <f>12+44.8</f>
        <v>56.8</v>
      </c>
      <c r="S19" s="170">
        <v>138.05000000000001</v>
      </c>
      <c r="T19" s="171"/>
      <c r="U19" s="171"/>
      <c r="V19" s="171"/>
      <c r="W19" s="171"/>
      <c r="X19" s="171"/>
      <c r="Y19" s="171"/>
      <c r="Z19" s="171"/>
      <c r="AA19" s="170">
        <v>250</v>
      </c>
      <c r="AB19" s="171"/>
      <c r="AC19" s="171"/>
      <c r="AD19" s="171"/>
      <c r="AE19" s="171"/>
      <c r="AF19" s="170">
        <v>199.95</v>
      </c>
      <c r="AG19" s="171"/>
      <c r="AH19" s="170"/>
      <c r="AI19" s="171"/>
      <c r="AJ19" s="172"/>
      <c r="AK19" s="173"/>
      <c r="AL19" s="64"/>
      <c r="AM19" s="138"/>
    </row>
    <row r="20" spans="1:39" ht="18" customHeight="1">
      <c r="G20" s="262"/>
      <c r="H20" s="156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 t="s">
        <v>53</v>
      </c>
      <c r="AB20" s="23"/>
      <c r="AC20" s="23"/>
      <c r="AD20" s="23"/>
      <c r="AE20" s="23"/>
      <c r="AF20" s="23" t="s">
        <v>54</v>
      </c>
      <c r="AG20" s="23"/>
      <c r="AH20" s="23"/>
      <c r="AI20" s="23"/>
      <c r="AJ20" s="142"/>
      <c r="AK20" s="161"/>
      <c r="AM20" s="64"/>
    </row>
    <row r="21" spans="1:39" s="174" customFormat="1" ht="18" customHeight="1" thickBot="1">
      <c r="A21" s="1"/>
      <c r="B21" s="1"/>
      <c r="C21" s="1"/>
      <c r="D21" s="1"/>
      <c r="E21" s="1"/>
      <c r="F21" s="1"/>
      <c r="G21" s="263"/>
      <c r="H21" s="166"/>
      <c r="I21" s="170"/>
      <c r="J21" s="170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0">
        <v>64.89</v>
      </c>
      <c r="AB21" s="171"/>
      <c r="AC21" s="171"/>
      <c r="AD21" s="171"/>
      <c r="AE21" s="171"/>
      <c r="AF21" s="170">
        <v>50</v>
      </c>
      <c r="AG21" s="171"/>
      <c r="AH21" s="171"/>
      <c r="AI21" s="171"/>
      <c r="AJ21" s="172"/>
      <c r="AK21" s="176"/>
      <c r="AL21" s="64"/>
      <c r="AM21" s="138"/>
    </row>
    <row r="22" spans="1:39" ht="18" customHeight="1">
      <c r="G22" s="301" t="s">
        <v>10</v>
      </c>
      <c r="H22" s="147">
        <f>IF($H$2=$A$2,A3+$H$3,A3)+IF($H$4=$A$2,$H$5,0)+IF($H$6=$A$2,$H$7,0)+IF($H$8=$A$2,$H$9,0)+IF($H$10=$A$2,$H$11,0)-IF($H$12=$A$2,$H$13,0)-IF($H$14=$A$2,$H$15,0)-IF($H$16=$A$2,$H$17,0)-IF($H$18=$A$2,$H$19,0)-IF($H$20=$A$2,$H$21,0)</f>
        <v>3707.0299999999997</v>
      </c>
      <c r="I22" s="148">
        <f>IF(I$2=$A$2,H22+I$3,H22)+IF(I$4=$A$2,I$5,0)+IF(I$6=$A$2,I$7,0)+IF(I$8=$A$2,I$9,0)+IF(I$10=$A$2,I$11,0)-IF(I$12=$A$2,I$13,0)-IF(I$14=$A$2,I$15,0)-IF(I$16=$A$2,I$17,0)-IF(I$18=$A$2,I$19,0)-IF(I$20=$A$2,I$21,0)</f>
        <v>3508.54</v>
      </c>
      <c r="J22" s="148">
        <f t="shared" ref="J22:K22" si="1">IF(J$2=$A$2,I22+J$3,I22)+IF(J$4=$A$2,J$5,0)+IF(J$6=$A$2,J$7,0)+IF(J$8=$A$2,J$9,0)+IF(J$10=$A$2,J$11,0)-IF(J$12=$A$2,J$13,0)-IF(J$14=$A$2,J$15,0)-IF(J$16=$A$2,J$17,0)-IF(J$18=$A$2,J$19,0)-IF(J$20=$A$2,J$21,0)</f>
        <v>3414.54</v>
      </c>
      <c r="K22" s="148">
        <f t="shared" si="1"/>
        <v>3414.54</v>
      </c>
      <c r="L22" s="148">
        <f>IF(L$2=$A$2,K22+L$3,K22)+IF(L$4=$A$2,L$5,0)+IF(L$6=$A$2,L$7,0)+IF(L$8=$A$2,L$9,0)+IF(L$10=$A$2,L$11,0)-IF(L$12=$A$2,L$13,0)-IF(L$14=$A$2,L$15,0)-IF(L$16=$A$2,L$17,0)-IF(L$18=$A$2,L$19,0)-IF(L$20=$A$2,L$21,0)</f>
        <v>3414.54</v>
      </c>
      <c r="M22" s="148">
        <f>IF(M$2=$A$2,L22+M$3,L22)+IF(M$4=$A$2,M$5,0)+IF(M$6=$A$2,M$7,0)+IF(M$8=$A$2,M$9,0)+IF(M$10=$A$2,M$11,0)-IF(M$12=$A$2,M$13,0)-IF(M$14=$A$2,M$15,0)-IF(M$16=$A$2,M$17,0)-IF(M$18=$A$2,M$19,0)-IF(M$20=$A$2,M$21,0)</f>
        <v>2414.54</v>
      </c>
      <c r="N22" s="148">
        <f t="shared" ref="N22:S22" si="2">IF(N$2=$A$2,M22+N$3,M22)+IF(N$4=$A$2,N$5,0)+IF(N$6=$A$2,N$7,0)+IF(N$8=$A$2,N$9,0)+IF(N$10=$A$2,N$11,0)-IF(N$12=$A$2,N$13,0)-IF(N$14=$A$2,N$15,0)-IF(N$16=$A$2,N$17,0)-IF(N$18=$A$2,N$19,0)-IF(N$20=$A$2,N$21,0)</f>
        <v>2414.54</v>
      </c>
      <c r="O22" s="148">
        <f t="shared" si="2"/>
        <v>2414.54</v>
      </c>
      <c r="P22" s="148">
        <f t="shared" si="2"/>
        <v>2414.54</v>
      </c>
      <c r="Q22" s="148">
        <f t="shared" si="2"/>
        <v>3870.54</v>
      </c>
      <c r="R22" s="148">
        <f t="shared" si="2"/>
        <v>3870.54</v>
      </c>
      <c r="S22" s="148">
        <f t="shared" si="2"/>
        <v>3870.54</v>
      </c>
      <c r="T22" s="148">
        <f t="shared" ref="T22" si="3">IF(T$2=$A$2,S22+T$3,S22)+IF(T$4=$A$2,T$5,0)+IF(T$6=$A$2,T$7,0)+IF(T$8=$A$2,T$9,0)+IF(T$10=$A$2,T$11,0)-IF(T$12=$A$2,T$13,0)-IF(T$14=$A$2,T$15,0)-IF(T$16=$A$2,T$17,0)-IF(T$18=$A$2,T$19,0)-IF(T$20=$A$2,T$21,0)</f>
        <v>3870.54</v>
      </c>
      <c r="U22" s="148">
        <f t="shared" ref="U22" si="4">IF(U$2=$A$2,T22+U$3,T22)+IF(U$4=$A$2,U$5,0)+IF(U$6=$A$2,U$7,0)+IF(U$8=$A$2,U$9,0)+IF(U$10=$A$2,U$11,0)-IF(U$12=$A$2,U$13,0)-IF(U$14=$A$2,U$15,0)-IF(U$16=$A$2,U$17,0)-IF(U$18=$A$2,U$19,0)-IF(U$20=$A$2,U$21,0)</f>
        <v>3580.54</v>
      </c>
      <c r="V22" s="148">
        <f t="shared" ref="V22" si="5">IF(V$2=$A$2,U22+V$3,U22)+IF(V$4=$A$2,V$5,0)+IF(V$6=$A$2,V$7,0)+IF(V$8=$A$2,V$9,0)+IF(V$10=$A$2,V$11,0)-IF(V$12=$A$2,V$13,0)-IF(V$14=$A$2,V$15,0)-IF(V$16=$A$2,V$17,0)-IF(V$18=$A$2,V$19,0)-IF(V$20=$A$2,V$21,0)</f>
        <v>3580.54</v>
      </c>
      <c r="W22" s="148">
        <f t="shared" ref="W22" si="6">IF(W$2=$A$2,V22+W$3,V22)+IF(W$4=$A$2,W$5,0)+IF(W$6=$A$2,W$7,0)+IF(W$8=$A$2,W$9,0)+IF(W$10=$A$2,W$11,0)-IF(W$12=$A$2,W$13,0)-IF(W$14=$A$2,W$15,0)-IF(W$16=$A$2,W$17,0)-IF(W$18=$A$2,W$19,0)-IF(W$20=$A$2,W$21,0)</f>
        <v>3580.54</v>
      </c>
      <c r="X22" s="148">
        <f t="shared" ref="X22" si="7">IF(X$2=$A$2,W22+X$3,W22)+IF(X$4=$A$2,X$5,0)+IF(X$6=$A$2,X$7,0)+IF(X$8=$A$2,X$9,0)+IF(X$10=$A$2,X$11,0)-IF(X$12=$A$2,X$13,0)-IF(X$14=$A$2,X$15,0)-IF(X$16=$A$2,X$17,0)-IF(X$18=$A$2,X$19,0)-IF(X$20=$A$2,X$21,0)</f>
        <v>3495.04</v>
      </c>
      <c r="Y22" s="148">
        <f t="shared" ref="Y22" si="8">IF(Y$2=$A$2,X22+Y$3,X22)+IF(Y$4=$A$2,Y$5,0)+IF(Y$6=$A$2,Y$7,0)+IF(Y$8=$A$2,Y$9,0)+IF(Y$10=$A$2,Y$11,0)-IF(Y$12=$A$2,Y$13,0)-IF(Y$14=$A$2,Y$15,0)-IF(Y$16=$A$2,Y$17,0)-IF(Y$18=$A$2,Y$19,0)-IF(Y$20=$A$2,Y$21,0)</f>
        <v>3495.04</v>
      </c>
      <c r="Z22" s="148">
        <f t="shared" ref="Z22" si="9">IF(Z$2=$A$2,Y22+Z$3,Y22)+IF(Z$4=$A$2,Z$5,0)+IF(Z$6=$A$2,Z$7,0)+IF(Z$8=$A$2,Z$9,0)+IF(Z$10=$A$2,Z$11,0)-IF(Z$12=$A$2,Z$13,0)-IF(Z$14=$A$2,Z$15,0)-IF(Z$16=$A$2,Z$17,0)-IF(Z$18=$A$2,Z$19,0)-IF(Z$20=$A$2,Z$21,0)</f>
        <v>3495.04</v>
      </c>
      <c r="AA22" s="148">
        <f t="shared" ref="AA22" si="10">IF(AA$2=$A$2,Z22+AA$3,Z22)+IF(AA$4=$A$2,AA$5,0)+IF(AA$6=$A$2,AA$7,0)+IF(AA$8=$A$2,AA$9,0)+IF(AA$10=$A$2,AA$11,0)-IF(AA$12=$A$2,AA$13,0)-IF(AA$14=$A$2,AA$15,0)-IF(AA$16=$A$2,AA$17,0)-IF(AA$18=$A$2,AA$19,0)-IF(AA$20=$A$2,AA$21,0)</f>
        <v>3430.15</v>
      </c>
      <c r="AB22" s="148">
        <f t="shared" ref="AB22" si="11">IF(AB$2=$A$2,AA22+AB$3,AA22)+IF(AB$4=$A$2,AB$5,0)+IF(AB$6=$A$2,AB$7,0)+IF(AB$8=$A$2,AB$9,0)+IF(AB$10=$A$2,AB$11,0)-IF(AB$12=$A$2,AB$13,0)-IF(AB$14=$A$2,AB$15,0)-IF(AB$16=$A$2,AB$17,0)-IF(AB$18=$A$2,AB$19,0)-IF(AB$20=$A$2,AB$21,0)</f>
        <v>3430.15</v>
      </c>
      <c r="AC22" s="148">
        <f t="shared" ref="AC22" si="12">IF(AC$2=$A$2,AB22+AC$3,AB22)+IF(AC$4=$A$2,AC$5,0)+IF(AC$6=$A$2,AC$7,0)+IF(AC$8=$A$2,AC$9,0)+IF(AC$10=$A$2,AC$11,0)-IF(AC$12=$A$2,AC$13,0)-IF(AC$14=$A$2,AC$15,0)-IF(AC$16=$A$2,AC$17,0)-IF(AC$18=$A$2,AC$19,0)-IF(AC$20=$A$2,AC$21,0)</f>
        <v>3430.15</v>
      </c>
      <c r="AD22" s="148">
        <f t="shared" ref="AD22" si="13">IF(AD$2=$A$2,AC22+AD$3,AC22)+IF(AD$4=$A$2,AD$5,0)+IF(AD$6=$A$2,AD$7,0)+IF(AD$8=$A$2,AD$9,0)+IF(AD$10=$A$2,AD$11,0)-IF(AD$12=$A$2,AD$13,0)-IF(AD$14=$A$2,AD$15,0)-IF(AD$16=$A$2,AD$17,0)-IF(AD$18=$A$2,AD$19,0)-IF(AD$20=$A$2,AD$21,0)</f>
        <v>3430.15</v>
      </c>
      <c r="AE22" s="148">
        <f t="shared" ref="AE22" si="14">IF(AE$2=$A$2,AD22+AE$3,AD22)+IF(AE$4=$A$2,AE$5,0)+IF(AE$6=$A$2,AE$7,0)+IF(AE$8=$A$2,AE$9,0)+IF(AE$10=$A$2,AE$11,0)-IF(AE$12=$A$2,AE$13,0)-IF(AE$14=$A$2,AE$15,0)-IF(AE$16=$A$2,AE$17,0)-IF(AE$18=$A$2,AE$19,0)-IF(AE$20=$A$2,AE$21,0)</f>
        <v>4169.1499999999996</v>
      </c>
      <c r="AF22" s="148">
        <f t="shared" ref="AF22" si="15">IF(AF$2=$A$2,AE22+AF$3,AE22)+IF(AF$4=$A$2,AF$5,0)+IF(AF$6=$A$2,AF$7,0)+IF(AF$8=$A$2,AF$9,0)+IF(AF$10=$A$2,AF$11,0)-IF(AF$12=$A$2,AF$13,0)-IF(AF$14=$A$2,AF$15,0)-IF(AF$16=$A$2,AF$17,0)-IF(AF$18=$A$2,AF$19,0)-IF(AF$20=$A$2,AF$21,0)</f>
        <v>4169.1499999999996</v>
      </c>
      <c r="AG22" s="148">
        <f t="shared" ref="AG22" si="16">IF(AG$2=$A$2,AF22+AG$3,AF22)+IF(AG$4=$A$2,AG$5,0)+IF(AG$6=$A$2,AG$7,0)+IF(AG$8=$A$2,AG$9,0)+IF(AG$10=$A$2,AG$11,0)-IF(AG$12=$A$2,AG$13,0)-IF(AG$14=$A$2,AG$15,0)-IF(AG$16=$A$2,AG$17,0)-IF(AG$18=$A$2,AG$19,0)-IF(AG$20=$A$2,AG$21,0)</f>
        <v>4169.1499999999996</v>
      </c>
      <c r="AH22" s="148">
        <f t="shared" ref="AH22" si="17">IF(AH$2=$A$2,AG22+AH$3,AG22)+IF(AH$4=$A$2,AH$5,0)+IF(AH$6=$A$2,AH$7,0)+IF(AH$8=$A$2,AH$9,0)+IF(AH$10=$A$2,AH$11,0)-IF(AH$12=$A$2,AH$13,0)-IF(AH$14=$A$2,AH$15,0)-IF(AH$16=$A$2,AH$17,0)-IF(AH$18=$A$2,AH$19,0)-IF(AH$20=$A$2,AH$21,0)</f>
        <v>4138.96</v>
      </c>
      <c r="AI22" s="148">
        <f t="shared" ref="AI22" si="18">IF(AI$2=$A$2,AH22+AI$3,AH22)+IF(AI$4=$A$2,AI$5,0)+IF(AI$6=$A$2,AI$7,0)+IF(AI$8=$A$2,AI$9,0)+IF(AI$10=$A$2,AI$11,0)-IF(AI$12=$A$2,AI$13,0)-IF(AI$14=$A$2,AI$15,0)-IF(AI$16=$A$2,AI$17,0)-IF(AI$18=$A$2,AI$19,0)-IF(AI$20=$A$2,AI$21,0)</f>
        <v>4138.96</v>
      </c>
      <c r="AJ22" s="148">
        <f t="shared" ref="AJ22" si="19">IF(AJ$2=$A$2,AI22+AJ$3,AI22)+IF(AJ$4=$A$2,AJ$5,0)+IF(AJ$6=$A$2,AJ$7,0)+IF(AJ$8=$A$2,AJ$9,0)+IF(AJ$10=$A$2,AJ$11,0)-IF(AJ$12=$A$2,AJ$13,0)-IF(AJ$14=$A$2,AJ$15,0)-IF(AJ$16=$A$2,AJ$17,0)-IF(AJ$18=$A$2,AJ$19,0)-IF(AJ$20=$A$2,AJ$21,0)</f>
        <v>4138.96</v>
      </c>
      <c r="AK22" s="181">
        <f t="shared" ref="AK22" si="20">IF(AK$2=$A$2,AJ22+AK$3,AJ22)+IF(AK$4=$A$2,AK$5,0)+IF(AK$6=$A$2,AK$7,0)+IF(AK$8=$A$2,AK$9,0)+IF(AK$10=$A$2,AK$11,0)-IF(AK$12=$A$2,AK$13,0)-IF(AK$14=$A$2,AK$15,0)-IF(AK$16=$A$2,AK$17,0)-IF(AK$18=$A$2,AK$19,0)-IF(AK$20=$A$2,AK$21,0)</f>
        <v>4092.96</v>
      </c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1809.7000000000007</v>
      </c>
      <c r="I23" s="25">
        <f>IF(I$2=$B$2,H23+I$3,H23)+IF(I$4=$B$2,I$5,0)+IF(I$6=$B$2,I$7,0)+IF(I$8=$B$2,I$9,0)+IF(I$10=$B$2,I$11,0)-IF(I$12=$B$2,I$13,0)-IF(I$14=$B$2,I$15,0)-IF(I$16=$B$2,I$17,0)-IF(I$18=$B$2,I$19,0)-IF(I$20=$B$2,I$21,0)</f>
        <v>4967.7000000000007</v>
      </c>
      <c r="J23" s="25">
        <f t="shared" ref="J23:K23" si="21">IF(J$2=$B$2,I23+J$3,I23)+IF(J$4=$B$2,J$5,0)+IF(J$6=$B$2,J$7,0)+IF(J$8=$B$2,J$9,0)+IF(J$10=$B$2,J$11,0)-IF(J$12=$B$2,J$13,0)-IF(J$14=$B$2,J$15,0)-IF(J$16=$B$2,J$17,0)-IF(J$18=$B$2,J$19,0)-IF(J$20=$B$2,J$21,0)</f>
        <v>4967.7000000000007</v>
      </c>
      <c r="K23" s="25">
        <f t="shared" si="21"/>
        <v>4967.7000000000007</v>
      </c>
      <c r="L23" s="25">
        <f>IF(L$2=$B$2,K23+L$3,K23)+IF(L$4=$B$2,L$5,0)+IF(L$6=$B$2,L$7,0)+IF(L$8=$B$2,L$9,0)+IF(L$10=$B$2,L$11,0)-IF(L$12=$B$2,L$13,0)-IF(L$14=$B$2,L$15,0)-IF(L$16=$B$2,L$17,0)-IF(L$18=$B$2,L$19,0)-IF(L$20=$B$2,L$21,0)</f>
        <v>4926.8200000000006</v>
      </c>
      <c r="M23" s="25">
        <f>IF(M$2=$B$2,L23+M$3,L23)+IF(M$4=$B$2,M$5,0)+IF(M$6=$B$2,M$7,0)+IF(M$8=$B$2,M$9,0)+IF(M$10=$B$2,M$11,0)-IF(M$12=$B$2,M$13,0)-IF(M$14=$B$2,M$15,0)-IF(M$16=$B$2,M$17,0)-IF(M$18=$B$2,M$19,0)-IF(M$20=$B$2,M$21,0)</f>
        <v>4926.8200000000006</v>
      </c>
      <c r="N23" s="25">
        <f t="shared" ref="N23:S23" si="22">IF(N$2=$B$2,M23+N$3,M23)+IF(N$4=$B$2,N$5,0)+IF(N$6=$B$2,N$7,0)+IF(N$8=$B$2,N$9,0)+IF(N$10=$B$2,N$11,0)-IF(N$12=$B$2,N$13,0)-IF(N$14=$B$2,N$15,0)-IF(N$16=$B$2,N$17,0)-IF(N$18=$B$2,N$19,0)-IF(N$20=$B$2,N$21,0)</f>
        <v>4926.8200000000006</v>
      </c>
      <c r="O23" s="25">
        <f t="shared" si="22"/>
        <v>4926.8200000000006</v>
      </c>
      <c r="P23" s="25">
        <f t="shared" si="22"/>
        <v>4926.8700000000008</v>
      </c>
      <c r="Q23" s="25">
        <f t="shared" si="22"/>
        <v>2568.8700000000008</v>
      </c>
      <c r="R23" s="25">
        <f t="shared" si="22"/>
        <v>1712.7500000000009</v>
      </c>
      <c r="S23" s="25">
        <f t="shared" si="22"/>
        <v>1638.150000000001</v>
      </c>
      <c r="T23" s="25">
        <f t="shared" ref="T23" si="23">IF(T$2=$B$2,S23+T$3,S23)+IF(T$4=$B$2,T$5,0)+IF(T$6=$B$2,T$7,0)+IF(T$8=$B$2,T$9,0)+IF(T$10=$B$2,T$11,0)-IF(T$12=$B$2,T$13,0)-IF(T$14=$B$2,T$15,0)-IF(T$16=$B$2,T$17,0)-IF(T$18=$B$2,T$19,0)-IF(T$20=$B$2,T$21,0)</f>
        <v>1638.150000000001</v>
      </c>
      <c r="U23" s="25">
        <f t="shared" ref="U23" si="24">IF(U$2=$B$2,T23+U$3,T23)+IF(U$4=$B$2,U$5,0)+IF(U$6=$B$2,U$7,0)+IF(U$8=$B$2,U$9,0)+IF(U$10=$B$2,U$11,0)-IF(U$12=$B$2,U$13,0)-IF(U$14=$B$2,U$15,0)-IF(U$16=$B$2,U$17,0)-IF(U$18=$B$2,U$19,0)-IF(U$20=$B$2,U$21,0)</f>
        <v>1527.150000000001</v>
      </c>
      <c r="V23" s="25">
        <f t="shared" ref="V23" si="25">IF(V$2=$B$2,U23+V$3,U23)+IF(V$4=$B$2,V$5,0)+IF(V$6=$B$2,V$7,0)+IF(V$8=$B$2,V$9,0)+IF(V$10=$B$2,V$11,0)-IF(V$12=$B$2,V$13,0)-IF(V$14=$B$2,V$15,0)-IF(V$16=$B$2,V$17,0)-IF(V$18=$B$2,V$19,0)-IF(V$20=$B$2,V$21,0)</f>
        <v>1473.5500000000011</v>
      </c>
      <c r="W23" s="25">
        <f t="shared" ref="W23" si="26">IF(W$2=$B$2,V23+W$3,V23)+IF(W$4=$B$2,W$5,0)+IF(W$6=$B$2,W$7,0)+IF(W$8=$B$2,W$9,0)+IF(W$10=$B$2,W$11,0)-IF(W$12=$B$2,W$13,0)-IF(W$14=$B$2,W$15,0)-IF(W$16=$B$2,W$17,0)-IF(W$18=$B$2,W$19,0)-IF(W$20=$B$2,W$21,0)</f>
        <v>1443.6800000000012</v>
      </c>
      <c r="X23" s="25">
        <f t="shared" ref="X23" si="27">IF(X$2=$B$2,W23+X$3,W23)+IF(X$4=$B$2,X$5,0)+IF(X$6=$B$2,X$7,0)+IF(X$8=$B$2,X$9,0)+IF(X$10=$B$2,X$11,0)-IF(X$12=$B$2,X$13,0)-IF(X$14=$B$2,X$15,0)-IF(X$16=$B$2,X$17,0)-IF(X$18=$B$2,X$19,0)-IF(X$20=$B$2,X$21,0)</f>
        <v>1443.6800000000012</v>
      </c>
      <c r="Y23" s="25">
        <f t="shared" ref="Y23" si="28">IF(Y$2=$B$2,X23+Y$3,X23)+IF(Y$4=$B$2,Y$5,0)+IF(Y$6=$B$2,Y$7,0)+IF(Y$8=$B$2,Y$9,0)+IF(Y$10=$B$2,Y$11,0)-IF(Y$12=$B$2,Y$13,0)-IF(Y$14=$B$2,Y$15,0)-IF(Y$16=$B$2,Y$17,0)-IF(Y$18=$B$2,Y$19,0)-IF(Y$20=$B$2,Y$21,0)</f>
        <v>1443.6800000000012</v>
      </c>
      <c r="Z23" s="25">
        <f t="shared" ref="Z23" si="29">IF(Z$2=$B$2,Y23+Z$3,Y23)+IF(Z$4=$B$2,Z$5,0)+IF(Z$6=$B$2,Z$7,0)+IF(Z$8=$B$2,Z$9,0)+IF(Z$10=$B$2,Z$11,0)-IF(Z$12=$B$2,Z$13,0)-IF(Z$14=$B$2,Z$15,0)-IF(Z$16=$B$2,Z$17,0)-IF(Z$18=$B$2,Z$19,0)-IF(Z$20=$B$2,Z$21,0)</f>
        <v>543.6800000000012</v>
      </c>
      <c r="AA23" s="25">
        <f t="shared" ref="AA23" si="30">IF(AA$2=$B$2,Z23+AA$3,Z23)+IF(AA$4=$B$2,AA$5,0)+IF(AA$6=$B$2,AA$7,0)+IF(AA$8=$B$2,AA$9,0)+IF(AA$10=$B$2,AA$11,0)-IF(AA$12=$B$2,AA$13,0)-IF(AA$14=$B$2,AA$15,0)-IF(AA$16=$B$2,AA$17,0)-IF(AA$18=$B$2,AA$19,0)-IF(AA$20=$B$2,AA$21,0)</f>
        <v>350.44000000000119</v>
      </c>
      <c r="AB23" s="25">
        <f t="shared" ref="AB23" si="31">IF(AB$2=$B$2,AA23+AB$3,AA23)+IF(AB$4=$B$2,AB$5,0)+IF(AB$6=$B$2,AB$7,0)+IF(AB$8=$B$2,AB$9,0)+IF(AB$10=$B$2,AB$11,0)-IF(AB$12=$B$2,AB$13,0)-IF(AB$14=$B$2,AB$15,0)-IF(AB$16=$B$2,AB$17,0)-IF(AB$18=$B$2,AB$19,0)-IF(AB$20=$B$2,AB$21,0)</f>
        <v>350.44000000000119</v>
      </c>
      <c r="AC23" s="25">
        <f t="shared" ref="AC23" si="32">IF(AC$2=$B$2,AB23+AC$3,AB23)+IF(AC$4=$B$2,AC$5,0)+IF(AC$6=$B$2,AC$7,0)+IF(AC$8=$B$2,AC$9,0)+IF(AC$10=$B$2,AC$11,0)-IF(AC$12=$B$2,AC$13,0)-IF(AC$14=$B$2,AC$15,0)-IF(AC$16=$B$2,AC$17,0)-IF(AC$18=$B$2,AC$19,0)-IF(AC$20=$B$2,AC$21,0)</f>
        <v>350.44000000000119</v>
      </c>
      <c r="AD23" s="25">
        <f t="shared" ref="AD23" si="33">IF(AD$2=$B$2,AC23+AD$3,AC23)+IF(AD$4=$B$2,AD$5,0)+IF(AD$6=$B$2,AD$7,0)+IF(AD$8=$B$2,AD$9,0)+IF(AD$10=$B$2,AD$11,0)-IF(AD$12=$B$2,AD$13,0)-IF(AD$14=$B$2,AD$15,0)-IF(AD$16=$B$2,AD$17,0)-IF(AD$18=$B$2,AD$19,0)-IF(AD$20=$B$2,AD$21,0)</f>
        <v>950.44000000000119</v>
      </c>
      <c r="AE23" s="25">
        <f t="shared" ref="AE23" si="34">IF(AE$2=$B$2,AD23+AE$3,AD23)+IF(AE$4=$B$2,AE$5,0)+IF(AE$6=$B$2,AE$7,0)+IF(AE$8=$B$2,AE$9,0)+IF(AE$10=$B$2,AE$11,0)-IF(AE$12=$B$2,AE$13,0)-IF(AE$14=$B$2,AE$15,0)-IF(AE$16=$B$2,AE$17,0)-IF(AE$18=$B$2,AE$19,0)-IF(AE$20=$B$2,AE$21,0)</f>
        <v>950.44000000000119</v>
      </c>
      <c r="AF23" s="25">
        <f t="shared" ref="AF23" si="35">IF(AF$2=$B$2,AE23+AF$3,AE23)+IF(AF$4=$B$2,AF$5,0)+IF(AF$6=$B$2,AF$7,0)+IF(AF$8=$B$2,AF$9,0)+IF(AF$10=$B$2,AF$11,0)-IF(AF$12=$B$2,AF$13,0)-IF(AF$14=$B$2,AF$15,0)-IF(AF$16=$B$2,AF$17,0)-IF(AF$18=$B$2,AF$19,0)-IF(AF$20=$B$2,AF$21,0)</f>
        <v>553.96000000000117</v>
      </c>
      <c r="AG23" s="25">
        <f t="shared" ref="AG23" si="36">IF(AG$2=$B$2,AF23+AG$3,AF23)+IF(AG$4=$B$2,AG$5,0)+IF(AG$6=$B$2,AG$7,0)+IF(AG$8=$B$2,AG$9,0)+IF(AG$10=$B$2,AG$11,0)-IF(AG$12=$B$2,AG$13,0)-IF(AG$14=$B$2,AG$15,0)-IF(AG$16=$B$2,AG$17,0)-IF(AG$18=$B$2,AG$19,0)-IF(AG$20=$B$2,AG$21,0)</f>
        <v>553.96000000000117</v>
      </c>
      <c r="AH23" s="25">
        <f t="shared" ref="AH23" si="37">IF(AH$2=$B$2,AG23+AH$3,AG23)+IF(AH$4=$B$2,AH$5,0)+IF(AH$6=$B$2,AH$7,0)+IF(AH$8=$B$2,AH$9,0)+IF(AH$10=$B$2,AH$11,0)-IF(AH$12=$B$2,AH$13,0)-IF(AH$14=$B$2,AH$15,0)-IF(AH$16=$B$2,AH$17,0)-IF(AH$18=$B$2,AH$19,0)-IF(AH$20=$B$2,AH$21,0)</f>
        <v>439.21000000000117</v>
      </c>
      <c r="AI23" s="25">
        <f t="shared" ref="AI23" si="38">IF(AI$2=$B$2,AH23+AI$3,AH23)+IF(AI$4=$B$2,AI$5,0)+IF(AI$6=$B$2,AI$7,0)+IF(AI$8=$B$2,AI$9,0)+IF(AI$10=$B$2,AI$11,0)-IF(AI$12=$B$2,AI$13,0)-IF(AI$14=$B$2,AI$15,0)-IF(AI$16=$B$2,AI$17,0)-IF(AI$18=$B$2,AI$19,0)-IF(AI$20=$B$2,AI$21,0)</f>
        <v>439.21000000000117</v>
      </c>
      <c r="AJ23" s="25">
        <f t="shared" ref="AJ23" si="39">IF(AJ$2=$B$2,AI23+AJ$3,AI23)+IF(AJ$4=$B$2,AJ$5,0)+IF(AJ$6=$B$2,AJ$7,0)+IF(AJ$8=$B$2,AJ$9,0)+IF(AJ$10=$B$2,AJ$11,0)-IF(AJ$12=$B$2,AJ$13,0)-IF(AJ$14=$B$2,AJ$15,0)-IF(AJ$16=$B$2,AJ$17,0)-IF(AJ$18=$B$2,AJ$19,0)-IF(AJ$20=$B$2,AJ$21,0)</f>
        <v>439.21000000000117</v>
      </c>
      <c r="AK23" s="27">
        <f t="shared" ref="AK23" si="40">IF(AK$2=$B$2,AJ23+AK$3,AJ23)+IF(AK$4=$B$2,AK$5,0)+IF(AK$6=$B$2,AK$7,0)+IF(AK$8=$B$2,AK$9,0)+IF(AK$10=$B$2,AK$11,0)-IF(AK$12=$B$2,AK$13,0)-IF(AK$14=$B$2,AK$15,0)-IF(AK$16=$B$2,AK$17,0)-IF(AK$18=$B$2,AK$19,0)-IF(AK$20=$B$2,AK$21,0)</f>
        <v>439.21000000000117</v>
      </c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90.699999999999989</v>
      </c>
      <c r="I24" s="29">
        <f>IF(I$2=$C$2,H24+I$3,H24)+IF(I$4=$C$2,I$5,0)+IF(I$6=$C$2,I$7,0)+IF(I$8=$C$2,I$9,0)+IF(I$10=$C$2,I$11,0)-IF(I$12=$C$2,I$13,0)-IF(I$14=$C$2,I$15,0)-IF(I$16=$C$2,I$17,0)-IF(I$18=$C$2,I$19,0)-IF(I$20=$C$2,I$21,0)</f>
        <v>90.699999999999989</v>
      </c>
      <c r="J24" s="29">
        <f t="shared" ref="J24:K24" si="41">IF(J$2=$C$2,I24+J$3,I24)+IF(J$4=$C$2,J$5,0)+IF(J$6=$C$2,J$7,0)+IF(J$8=$C$2,J$9,0)+IF(J$10=$C$2,J$11,0)-IF(J$12=$C$2,J$13,0)-IF(J$14=$C$2,J$15,0)-IF(J$16=$C$2,J$17,0)-IF(J$18=$C$2,J$19,0)-IF(J$20=$C$2,J$21,0)</f>
        <v>90.699999999999989</v>
      </c>
      <c r="K24" s="29">
        <f t="shared" si="41"/>
        <v>60.699999999999989</v>
      </c>
      <c r="L24" s="29">
        <f>IF(L$2=$C$2,K24+L$3,K24)+IF(L$4=$C$2,L$5,0)+IF(L$6=$C$2,L$7,0)+IF(L$8=$C$2,L$9,0)+IF(L$10=$C$2,L$11,0)-IF(L$12=$C$2,L$13,0)-IF(L$14=$C$2,L$15,0)-IF(L$16=$C$2,L$17,0)-IF(L$18=$C$2,L$19,0)-IF(L$20=$C$2,L$21,0)</f>
        <v>10.699999999999989</v>
      </c>
      <c r="M24" s="29">
        <f>IF(M$2=$C$2,L24+M$3,L24)+IF(M$4=$C$2,M$5,0)+IF(M$6=$C$2,M$7,0)+IF(M$8=$C$2,M$9,0)+IF(M$10=$C$2,M$11,0)-IF(M$12=$C$2,M$13,0)-IF(M$14=$C$2,M$15,0)-IF(M$16=$C$2,M$17,0)-IF(M$18=$C$2,M$19,0)-IF(M$20=$C$2,M$21,0)</f>
        <v>16.699999999999989</v>
      </c>
      <c r="N24" s="29">
        <f t="shared" ref="N24:S24" si="42">IF(N$2=$C$2,M24+N$3,M24)+IF(N$4=$C$2,N$5,0)+IF(N$6=$C$2,N$7,0)+IF(N$8=$C$2,N$9,0)+IF(N$10=$C$2,N$11,0)-IF(N$12=$C$2,N$13,0)-IF(N$14=$C$2,N$15,0)-IF(N$16=$C$2,N$17,0)-IF(N$18=$C$2,N$19,0)-IF(N$20=$C$2,N$21,0)</f>
        <v>16.699999999999989</v>
      </c>
      <c r="O24" s="29">
        <f t="shared" si="42"/>
        <v>16.699999999999989</v>
      </c>
      <c r="P24" s="29">
        <f t="shared" si="42"/>
        <v>16.699999999999989</v>
      </c>
      <c r="Q24" s="29">
        <f t="shared" si="42"/>
        <v>16.699999999999989</v>
      </c>
      <c r="R24" s="29">
        <f t="shared" si="42"/>
        <v>16.699999999999989</v>
      </c>
      <c r="S24" s="29">
        <f t="shared" si="42"/>
        <v>16.699999999999989</v>
      </c>
      <c r="T24" s="29">
        <f t="shared" ref="T24" si="43">IF(T$2=$C$2,S24+T$3,S24)+IF(T$4=$C$2,T$5,0)+IF(T$6=$C$2,T$7,0)+IF(T$8=$C$2,T$9,0)+IF(T$10=$C$2,T$11,0)-IF(T$12=$C$2,T$13,0)-IF(T$14=$C$2,T$15,0)-IF(T$16=$C$2,T$17,0)-IF(T$18=$C$2,T$19,0)-IF(T$20=$C$2,T$21,0)</f>
        <v>16.699999999999989</v>
      </c>
      <c r="U24" s="29">
        <f t="shared" ref="U24" si="44">IF(U$2=$C$2,T24+U$3,T24)+IF(U$4=$C$2,U$5,0)+IF(U$6=$C$2,U$7,0)+IF(U$8=$C$2,U$9,0)+IF(U$10=$C$2,U$11,0)-IF(U$12=$C$2,U$13,0)-IF(U$14=$C$2,U$15,0)-IF(U$16=$C$2,U$17,0)-IF(U$18=$C$2,U$19,0)-IF(U$20=$C$2,U$21,0)</f>
        <v>66.699999999999989</v>
      </c>
      <c r="V24" s="29">
        <f t="shared" ref="V24" si="45">IF(V$2=$C$2,U24+V$3,U24)+IF(V$4=$C$2,V$5,0)+IF(V$6=$C$2,V$7,0)+IF(V$8=$C$2,V$9,0)+IF(V$10=$C$2,V$11,0)-IF(V$12=$C$2,V$13,0)-IF(V$14=$C$2,V$15,0)-IF(V$16=$C$2,V$17,0)-IF(V$18=$C$2,V$19,0)-IF(V$20=$C$2,V$21,0)</f>
        <v>66.699999999999989</v>
      </c>
      <c r="W24" s="29">
        <f t="shared" ref="W24" si="46">IF(W$2=$C$2,V24+W$3,V24)+IF(W$4=$C$2,W$5,0)+IF(W$6=$C$2,W$7,0)+IF(W$8=$C$2,W$9,0)+IF(W$10=$C$2,W$11,0)-IF(W$12=$C$2,W$13,0)-IF(W$14=$C$2,W$15,0)-IF(W$16=$C$2,W$17,0)-IF(W$18=$C$2,W$19,0)-IF(W$20=$C$2,W$21,0)</f>
        <v>66.699999999999989</v>
      </c>
      <c r="X24" s="29">
        <f t="shared" ref="X24" si="47">IF(X$2=$C$2,W24+X$3,W24)+IF(X$4=$C$2,X$5,0)+IF(X$6=$C$2,X$7,0)+IF(X$8=$C$2,X$9,0)+IF(X$10=$C$2,X$11,0)-IF(X$12=$C$2,X$13,0)-IF(X$14=$C$2,X$15,0)-IF(X$16=$C$2,X$17,0)-IF(X$18=$C$2,X$19,0)-IF(X$20=$C$2,X$21,0)</f>
        <v>66.699999999999989</v>
      </c>
      <c r="Y24" s="29">
        <f t="shared" ref="Y24" si="48">IF(Y$2=$C$2,X24+Y$3,X24)+IF(Y$4=$C$2,Y$5,0)+IF(Y$6=$C$2,Y$7,0)+IF(Y$8=$C$2,Y$9,0)+IF(Y$10=$C$2,Y$11,0)-IF(Y$12=$C$2,Y$13,0)-IF(Y$14=$C$2,Y$15,0)-IF(Y$16=$C$2,Y$17,0)-IF(Y$18=$C$2,Y$19,0)-IF(Y$20=$C$2,Y$21,0)</f>
        <v>66.699999999999989</v>
      </c>
      <c r="Z24" s="29">
        <f t="shared" ref="Z24" si="49">IF(Z$2=$C$2,Y24+Z$3,Y24)+IF(Z$4=$C$2,Z$5,0)+IF(Z$6=$C$2,Z$7,0)+IF(Z$8=$C$2,Z$9,0)+IF(Z$10=$C$2,Z$11,0)-IF(Z$12=$C$2,Z$13,0)-IF(Z$14=$C$2,Z$15,0)-IF(Z$16=$C$2,Z$17,0)-IF(Z$18=$C$2,Z$19,0)-IF(Z$20=$C$2,Z$21,0)</f>
        <v>66.699999999999989</v>
      </c>
      <c r="AA24" s="29">
        <f t="shared" ref="AA24" si="50">IF(AA$2=$C$2,Z24+AA$3,Z24)+IF(AA$4=$C$2,AA$5,0)+IF(AA$6=$C$2,AA$7,0)+IF(AA$8=$C$2,AA$9,0)+IF(AA$10=$C$2,AA$11,0)-IF(AA$12=$C$2,AA$13,0)-IF(AA$14=$C$2,AA$15,0)-IF(AA$16=$C$2,AA$17,0)-IF(AA$18=$C$2,AA$19,0)-IF(AA$20=$C$2,AA$21,0)</f>
        <v>66.699999999999989</v>
      </c>
      <c r="AB24" s="29">
        <f t="shared" ref="AB24" si="51">IF(AB$2=$C$2,AA24+AB$3,AA24)+IF(AB$4=$C$2,AB$5,0)+IF(AB$6=$C$2,AB$7,0)+IF(AB$8=$C$2,AB$9,0)+IF(AB$10=$C$2,AB$11,0)-IF(AB$12=$C$2,AB$13,0)-IF(AB$14=$C$2,AB$15,0)-IF(AB$16=$C$2,AB$17,0)-IF(AB$18=$C$2,AB$19,0)-IF(AB$20=$C$2,AB$21,0)</f>
        <v>66.699999999999989</v>
      </c>
      <c r="AC24" s="29">
        <f t="shared" ref="AC24" si="52">IF(AC$2=$C$2,AB24+AC$3,AB24)+IF(AC$4=$C$2,AC$5,0)+IF(AC$6=$C$2,AC$7,0)+IF(AC$8=$C$2,AC$9,0)+IF(AC$10=$C$2,AC$11,0)-IF(AC$12=$C$2,AC$13,0)-IF(AC$14=$C$2,AC$15,0)-IF(AC$16=$C$2,AC$17,0)-IF(AC$18=$C$2,AC$19,0)-IF(AC$20=$C$2,AC$21,0)</f>
        <v>66.699999999999989</v>
      </c>
      <c r="AD24" s="29">
        <f t="shared" ref="AD24" si="53">IF(AD$2=$C$2,AC24+AD$3,AC24)+IF(AD$4=$C$2,AD$5,0)+IF(AD$6=$C$2,AD$7,0)+IF(AD$8=$C$2,AD$9,0)+IF(AD$10=$C$2,AD$11,0)-IF(AD$12=$C$2,AD$13,0)-IF(AD$14=$C$2,AD$15,0)-IF(AD$16=$C$2,AD$17,0)-IF(AD$18=$C$2,AD$19,0)-IF(AD$20=$C$2,AD$21,0)</f>
        <v>66.699999999999989</v>
      </c>
      <c r="AE24" s="29">
        <f t="shared" ref="AE24" si="54">IF(AE$2=$C$2,AD24+AE$3,AD24)+IF(AE$4=$C$2,AE$5,0)+IF(AE$6=$C$2,AE$7,0)+IF(AE$8=$C$2,AE$9,0)+IF(AE$10=$C$2,AE$11,0)-IF(AE$12=$C$2,AE$13,0)-IF(AE$14=$C$2,AE$15,0)-IF(AE$16=$C$2,AE$17,0)-IF(AE$18=$C$2,AE$19,0)-IF(AE$20=$C$2,AE$21,0)</f>
        <v>66.699999999999989</v>
      </c>
      <c r="AF24" s="29">
        <f t="shared" ref="AF24" si="55">IF(AF$2=$C$2,AE24+AF$3,AE24)+IF(AF$4=$C$2,AF$5,0)+IF(AF$6=$C$2,AF$7,0)+IF(AF$8=$C$2,AF$9,0)+IF(AF$10=$C$2,AF$11,0)-IF(AF$12=$C$2,AF$13,0)-IF(AF$14=$C$2,AF$15,0)-IF(AF$16=$C$2,AF$17,0)-IF(AF$18=$C$2,AF$19,0)-IF(AF$20=$C$2,AF$21,0)</f>
        <v>116.69999999999999</v>
      </c>
      <c r="AG24" s="29">
        <f t="shared" ref="AG24" si="56">IF(AG$2=$C$2,AF24+AG$3,AF24)+IF(AG$4=$C$2,AG$5,0)+IF(AG$6=$C$2,AG$7,0)+IF(AG$8=$C$2,AG$9,0)+IF(AG$10=$C$2,AG$11,0)-IF(AG$12=$C$2,AG$13,0)-IF(AG$14=$C$2,AG$15,0)-IF(AG$16=$C$2,AG$17,0)-IF(AG$18=$C$2,AG$19,0)-IF(AG$20=$C$2,AG$21,0)</f>
        <v>116.69999999999999</v>
      </c>
      <c r="AH24" s="29">
        <f t="shared" ref="AH24" si="57">IF(AH$2=$C$2,AG24+AH$3,AG24)+IF(AH$4=$C$2,AH$5,0)+IF(AH$6=$C$2,AH$7,0)+IF(AH$8=$C$2,AH$9,0)+IF(AH$10=$C$2,AH$11,0)-IF(AH$12=$C$2,AH$13,0)-IF(AH$14=$C$2,AH$15,0)-IF(AH$16=$C$2,AH$17,0)-IF(AH$18=$C$2,AH$19,0)-IF(AH$20=$C$2,AH$21,0)</f>
        <v>116.69999999999999</v>
      </c>
      <c r="AI24" s="29">
        <f t="shared" ref="AI24" si="58">IF(AI$2=$C$2,AH24+AI$3,AH24)+IF(AI$4=$C$2,AI$5,0)+IF(AI$6=$C$2,AI$7,0)+IF(AI$8=$C$2,AI$9,0)+IF(AI$10=$C$2,AI$11,0)-IF(AI$12=$C$2,AI$13,0)-IF(AI$14=$C$2,AI$15,0)-IF(AI$16=$C$2,AI$17,0)-IF(AI$18=$C$2,AI$19,0)-IF(AI$20=$C$2,AI$21,0)</f>
        <v>116.69999999999999</v>
      </c>
      <c r="AJ24" s="29">
        <f t="shared" ref="AJ24" si="59">IF(AJ$2=$C$2,AI24+AJ$3,AI24)+IF(AJ$4=$C$2,AJ$5,0)+IF(AJ$6=$C$2,AJ$7,0)+IF(AJ$8=$C$2,AJ$9,0)+IF(AJ$10=$C$2,AJ$11,0)-IF(AJ$12=$C$2,AJ$13,0)-IF(AJ$14=$C$2,AJ$15,0)-IF(AJ$16=$C$2,AJ$17,0)-IF(AJ$18=$C$2,AJ$19,0)-IF(AJ$20=$C$2,AJ$21,0)</f>
        <v>116.69999999999999</v>
      </c>
      <c r="AK24" s="30">
        <f t="shared" ref="AK24" si="60">IF(AK$2=$C$2,AJ24+AK$3,AJ24)+IF(AK$4=$C$2,AK$5,0)+IF(AK$6=$C$2,AK$7,0)+IF(AK$8=$C$2,AK$9,0)+IF(AK$10=$C$2,AK$11,0)-IF(AK$12=$C$2,AK$13,0)-IF(AK$14=$C$2,AK$15,0)-IF(AK$16=$C$2,AK$17,0)-IF(AK$18=$C$2,AK$19,0)-IF(AK$20=$C$2,AK$21,0)</f>
        <v>116.69999999999999</v>
      </c>
    </row>
    <row r="25" spans="1:39" ht="18" customHeight="1">
      <c r="G25" s="302"/>
      <c r="H25" s="111">
        <f>IF(H$2=$D$2,D3+H$3,D3)+IF(H$4=$D$2,H$5,0)+IF(H$6=$D$2,H$7,0)+IF(H$8=$D$2,H$9,0)+IF(H$10=$D$2,H$11,0)-IF(H$12=$D$2,H$13,0)-IF(H$14=$D$2,H$15,0)-IF(H$16=$D$2,H$17,0)-IF(H$18=$D$2,H$19,0)-IF(H$20=$D$2,H$21,0)</f>
        <v>175.97000000000003</v>
      </c>
      <c r="I25" s="28">
        <f>IF(I$2=$D$2,H25+I$3,H25)+IF(I$4=$D$2,I$5,0)+IF(I$6=$D$2,I$7,0)+IF(I$8=$D$2,I$9,0)+IF(I$10=$D$2,I$11,0)-IF(I$12=$D$2,I$13,0)-IF(I$14=$D$2,I$15,0)-IF(I$16=$D$2,I$17,0)-IF(I$18=$D$2,I$19,0)-IF(I$20=$D$2,I$21,0)</f>
        <v>175.97000000000003</v>
      </c>
      <c r="J25" s="28">
        <f t="shared" ref="J25:K25" si="61">IF(J$2=$D$2,I25+J$3,I25)+IF(J$4=$D$2,J$5,0)+IF(J$6=$D$2,J$7,0)+IF(J$8=$D$2,J$9,0)+IF(J$10=$D$2,J$11,0)-IF(J$12=$D$2,J$13,0)-IF(J$14=$D$2,J$15,0)-IF(J$16=$D$2,J$17,0)-IF(J$18=$D$2,J$19,0)-IF(J$20=$D$2,J$21,0)</f>
        <v>138.93000000000004</v>
      </c>
      <c r="K25" s="28">
        <f t="shared" si="61"/>
        <v>138.93000000000004</v>
      </c>
      <c r="L25" s="28">
        <f>IF(L$2=$D$2,K25+L$3,K25)+IF(L$4=$D$2,L$5,0)+IF(L$6=$D$2,L$7,0)+IF(L$8=$D$2,L$9,0)+IF(L$10=$D$2,L$11,0)-IF(L$12=$D$2,L$13,0)-IF(L$14=$D$2,L$15,0)-IF(L$16=$D$2,L$17,0)-IF(L$18=$D$2,L$19,0)-IF(L$20=$D$2,L$21,0)</f>
        <v>8.9300000000000352</v>
      </c>
      <c r="M25" s="28">
        <f>IF(M$2=$D$2,L25+M$3,L25)+IF(M$4=$D$2,M$5,0)+IF(M$6=$D$2,M$7,0)+IF(M$8=$D$2,M$9,0)+IF(M$10=$D$2,M$11,0)-IF(M$12=$D$2,M$13,0)-IF(M$14=$D$2,M$15,0)-IF(M$16=$D$2,M$17,0)-IF(M$18=$D$2,M$19,0)-IF(M$20=$D$2,M$21,0)</f>
        <v>404.93000000000006</v>
      </c>
      <c r="N25" s="28">
        <f t="shared" ref="N25:S25" si="62">IF(N$2=$D$2,M25+N$3,M25)+IF(N$4=$D$2,N$5,0)+IF(N$6=$D$2,N$7,0)+IF(N$8=$D$2,N$9,0)+IF(N$10=$D$2,N$11,0)-IF(N$12=$D$2,N$13,0)-IF(N$14=$D$2,N$15,0)-IF(N$16=$D$2,N$17,0)-IF(N$18=$D$2,N$19,0)-IF(N$20=$D$2,N$21,0)</f>
        <v>404.93000000000006</v>
      </c>
      <c r="O25" s="28">
        <f t="shared" si="62"/>
        <v>404.93000000000006</v>
      </c>
      <c r="P25" s="28">
        <f t="shared" si="62"/>
        <v>404.93000000000006</v>
      </c>
      <c r="Q25" s="28">
        <f t="shared" si="62"/>
        <v>404.93000000000006</v>
      </c>
      <c r="R25" s="28">
        <f t="shared" si="62"/>
        <v>404.93000000000006</v>
      </c>
      <c r="S25" s="28">
        <f t="shared" si="62"/>
        <v>266.88000000000005</v>
      </c>
      <c r="T25" s="28">
        <f t="shared" ref="T25" si="63">IF(T$2=$D$2,S25+T$3,S25)+IF(T$4=$D$2,T$5,0)+IF(T$6=$D$2,T$7,0)+IF(T$8=$D$2,T$9,0)+IF(T$10=$D$2,T$11,0)-IF(T$12=$D$2,T$13,0)-IF(T$14=$D$2,T$15,0)-IF(T$16=$D$2,T$17,0)-IF(T$18=$D$2,T$19,0)-IF(T$20=$D$2,T$21,0)</f>
        <v>266.88000000000005</v>
      </c>
      <c r="U25" s="28">
        <f t="shared" ref="U25" si="64">IF(U$2=$D$2,T25+U$3,T25)+IF(U$4=$D$2,U$5,0)+IF(U$6=$D$2,U$7,0)+IF(U$8=$D$2,U$9,0)+IF(U$10=$D$2,U$11,0)-IF(U$12=$D$2,U$13,0)-IF(U$14=$D$2,U$15,0)-IF(U$16=$D$2,U$17,0)-IF(U$18=$D$2,U$19,0)-IF(U$20=$D$2,U$21,0)</f>
        <v>266.88000000000005</v>
      </c>
      <c r="V25" s="28">
        <f t="shared" ref="V25" si="65">IF(V$2=$D$2,U25+V$3,U25)+IF(V$4=$D$2,V$5,0)+IF(V$6=$D$2,V$7,0)+IF(V$8=$D$2,V$9,0)+IF(V$10=$D$2,V$11,0)-IF(V$12=$D$2,V$13,0)-IF(V$14=$D$2,V$15,0)-IF(V$16=$D$2,V$17,0)-IF(V$18=$D$2,V$19,0)-IF(V$20=$D$2,V$21,0)</f>
        <v>266.88000000000005</v>
      </c>
      <c r="W25" s="28">
        <f t="shared" ref="W25" si="66">IF(W$2=$D$2,V25+W$3,V25)+IF(W$4=$D$2,W$5,0)+IF(W$6=$D$2,W$7,0)+IF(W$8=$D$2,W$9,0)+IF(W$10=$D$2,W$11,0)-IF(W$12=$D$2,W$13,0)-IF(W$14=$D$2,W$15,0)-IF(W$16=$D$2,W$17,0)-IF(W$18=$D$2,W$19,0)-IF(W$20=$D$2,W$21,0)</f>
        <v>266.88000000000005</v>
      </c>
      <c r="X25" s="28">
        <f t="shared" ref="X25" si="67">IF(X$2=$D$2,W25+X$3,W25)+IF(X$4=$D$2,X$5,0)+IF(X$6=$D$2,X$7,0)+IF(X$8=$D$2,X$9,0)+IF(X$10=$D$2,X$11,0)-IF(X$12=$D$2,X$13,0)-IF(X$14=$D$2,X$15,0)-IF(X$16=$D$2,X$17,0)-IF(X$18=$D$2,X$19,0)-IF(X$20=$D$2,X$21,0)</f>
        <v>266.88000000000005</v>
      </c>
      <c r="Y25" s="28">
        <f t="shared" ref="Y25" si="68">IF(Y$2=$D$2,X25+Y$3,X25)+IF(Y$4=$D$2,Y$5,0)+IF(Y$6=$D$2,Y$7,0)+IF(Y$8=$D$2,Y$9,0)+IF(Y$10=$D$2,Y$11,0)-IF(Y$12=$D$2,Y$13,0)-IF(Y$14=$D$2,Y$15,0)-IF(Y$16=$D$2,Y$17,0)-IF(Y$18=$D$2,Y$19,0)-IF(Y$20=$D$2,Y$21,0)</f>
        <v>266.88000000000005</v>
      </c>
      <c r="Z25" s="28">
        <f t="shared" ref="Z25" si="69">IF(Z$2=$D$2,Y25+Z$3,Y25)+IF(Z$4=$D$2,Z$5,0)+IF(Z$6=$D$2,Z$7,0)+IF(Z$8=$D$2,Z$9,0)+IF(Z$10=$D$2,Z$11,0)-IF(Z$12=$D$2,Z$13,0)-IF(Z$14=$D$2,Z$15,0)-IF(Z$16=$D$2,Z$17,0)-IF(Z$18=$D$2,Z$19,0)-IF(Z$20=$D$2,Z$21,0)</f>
        <v>266.88000000000005</v>
      </c>
      <c r="AA25" s="28">
        <f t="shared" ref="AA25" si="70">IF(AA$2=$D$2,Z25+AA$3,Z25)+IF(AA$4=$D$2,AA$5,0)+IF(AA$6=$D$2,AA$7,0)+IF(AA$8=$D$2,AA$9,0)+IF(AA$10=$D$2,AA$11,0)-IF(AA$12=$D$2,AA$13,0)-IF(AA$14=$D$2,AA$15,0)-IF(AA$16=$D$2,AA$17,0)-IF(AA$18=$D$2,AA$19,0)-IF(AA$20=$D$2,AA$21,0)</f>
        <v>16.880000000000052</v>
      </c>
      <c r="AB25" s="28">
        <f t="shared" ref="AB25" si="71">IF(AB$2=$D$2,AA25+AB$3,AA25)+IF(AB$4=$D$2,AB$5,0)+IF(AB$6=$D$2,AB$7,0)+IF(AB$8=$D$2,AB$9,0)+IF(AB$10=$D$2,AB$11,0)-IF(AB$12=$D$2,AB$13,0)-IF(AB$14=$D$2,AB$15,0)-IF(AB$16=$D$2,AB$17,0)-IF(AB$18=$D$2,AB$19,0)-IF(AB$20=$D$2,AB$21,0)</f>
        <v>16.880000000000052</v>
      </c>
      <c r="AC25" s="28">
        <f t="shared" ref="AC25" si="72">IF(AC$2=$D$2,AB25+AC$3,AB25)+IF(AC$4=$D$2,AC$5,0)+IF(AC$6=$D$2,AC$7,0)+IF(AC$8=$D$2,AC$9,0)+IF(AC$10=$D$2,AC$11,0)-IF(AC$12=$D$2,AC$13,0)-IF(AC$14=$D$2,AC$15,0)-IF(AC$16=$D$2,AC$17,0)-IF(AC$18=$D$2,AC$19,0)-IF(AC$20=$D$2,AC$21,0)</f>
        <v>16.880000000000052</v>
      </c>
      <c r="AD25" s="28">
        <f t="shared" ref="AD25" si="73">IF(AD$2=$D$2,AC25+AD$3,AC25)+IF(AD$4=$D$2,AD$5,0)+IF(AD$6=$D$2,AD$7,0)+IF(AD$8=$D$2,AD$9,0)+IF(AD$10=$D$2,AD$11,0)-IF(AD$12=$D$2,AD$13,0)-IF(AD$14=$D$2,AD$15,0)-IF(AD$16=$D$2,AD$17,0)-IF(AD$18=$D$2,AD$19,0)-IF(AD$20=$D$2,AD$21,0)</f>
        <v>16.880000000000052</v>
      </c>
      <c r="AE25" s="28">
        <f t="shared" ref="AE25" si="74">IF(AE$2=$D$2,AD25+AE$3,AD25)+IF(AE$4=$D$2,AE$5,0)+IF(AE$6=$D$2,AE$7,0)+IF(AE$8=$D$2,AE$9,0)+IF(AE$10=$D$2,AE$11,0)-IF(AE$12=$D$2,AE$13,0)-IF(AE$14=$D$2,AE$15,0)-IF(AE$16=$D$2,AE$17,0)-IF(AE$18=$D$2,AE$19,0)-IF(AE$20=$D$2,AE$21,0)</f>
        <v>16.880000000000052</v>
      </c>
      <c r="AF25" s="28">
        <f t="shared" ref="AF25" si="75">IF(AF$2=$D$2,AE25+AF$3,AE25)+IF(AF$4=$D$2,AF$5,0)+IF(AF$6=$D$2,AF$7,0)+IF(AF$8=$D$2,AF$9,0)+IF(AF$10=$D$2,AF$11,0)-IF(AF$12=$D$2,AF$13,0)-IF(AF$14=$D$2,AF$15,0)-IF(AF$16=$D$2,AF$17,0)-IF(AF$18=$D$2,AF$19,0)-IF(AF$20=$D$2,AF$21,0)</f>
        <v>16.880000000000052</v>
      </c>
      <c r="AG25" s="28">
        <f t="shared" ref="AG25" si="76">IF(AG$2=$D$2,AF25+AG$3,AF25)+IF(AG$4=$D$2,AG$5,0)+IF(AG$6=$D$2,AG$7,0)+IF(AG$8=$D$2,AG$9,0)+IF(AG$10=$D$2,AG$11,0)-IF(AG$12=$D$2,AG$13,0)-IF(AG$14=$D$2,AG$15,0)-IF(AG$16=$D$2,AG$17,0)-IF(AG$18=$D$2,AG$19,0)-IF(AG$20=$D$2,AG$21,0)</f>
        <v>16.880000000000052</v>
      </c>
      <c r="AH25" s="28">
        <f t="shared" ref="AH25" si="77">IF(AH$2=$D$2,AG25+AH$3,AG25)+IF(AH$4=$D$2,AH$5,0)+IF(AH$6=$D$2,AH$7,0)+IF(AH$8=$D$2,AH$9,0)+IF(AH$10=$D$2,AH$11,0)-IF(AH$12=$D$2,AH$13,0)-IF(AH$14=$D$2,AH$15,0)-IF(AH$16=$D$2,AH$17,0)-IF(AH$18=$D$2,AH$19,0)-IF(AH$20=$D$2,AH$21,0)</f>
        <v>16.880000000000052</v>
      </c>
      <c r="AI25" s="28">
        <f t="shared" ref="AI25" si="78">IF(AI$2=$D$2,AH25+AI$3,AH25)+IF(AI$4=$D$2,AI$5,0)+IF(AI$6=$D$2,AI$7,0)+IF(AI$8=$D$2,AI$9,0)+IF(AI$10=$D$2,AI$11,0)-IF(AI$12=$D$2,AI$13,0)-IF(AI$14=$D$2,AI$15,0)-IF(AI$16=$D$2,AI$17,0)-IF(AI$18=$D$2,AI$19,0)-IF(AI$20=$D$2,AI$21,0)</f>
        <v>16.880000000000052</v>
      </c>
      <c r="AJ25" s="28">
        <f t="shared" ref="AJ25" si="79">IF(AJ$2=$D$2,AI25+AJ$3,AI25)+IF(AJ$4=$D$2,AJ$5,0)+IF(AJ$6=$D$2,AJ$7,0)+IF(AJ$8=$D$2,AJ$9,0)+IF(AJ$10=$D$2,AJ$11,0)-IF(AJ$12=$D$2,AJ$13,0)-IF(AJ$14=$D$2,AJ$15,0)-IF(AJ$16=$D$2,AJ$17,0)-IF(AJ$18=$D$2,AJ$19,0)-IF(AJ$20=$D$2,AJ$21,0)</f>
        <v>456.88000000000005</v>
      </c>
      <c r="AK25" s="30">
        <f t="shared" ref="AK25" si="80">IF(AK$2=$D$2,AJ25+AK$3,AJ25)+IF(AK$4=$D$2,AK$5,0)+IF(AK$6=$D$2,AK$7,0)+IF(AK$8=$D$2,AK$9,0)+IF(AK$10=$D$2,AK$11,0)-IF(AK$12=$D$2,AK$13,0)-IF(AK$14=$D$2,AK$15,0)-IF(AK$16=$D$2,AK$17,0)-IF(AK$18=$D$2,AK$19,0)-IF(AK$20=$D$2,AK$21,0)</f>
        <v>456.88000000000005</v>
      </c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22697.11</v>
      </c>
      <c r="I26" s="28">
        <f>IF(I$2=$E$2,H26+I$3,H26)+IF(I$4=$E$2,I$5,0)+IF(I$6=$E$2,I$7,0)+IF(I$8=$E$2,I$9,0)+IF(I$10=$E$2,I$11,0)-IF(I$12=$E$2,I$13,0)-IF(I$14=$E$2,I$15,0)-IF(I$16=$E$2,I$17,0)-IF(I$18=$E$2,I$19,0)-IF(I$20=$E$2,I$21,0)</f>
        <v>22697.11</v>
      </c>
      <c r="J26" s="28">
        <f t="shared" ref="J26:K26" si="81">IF(J$2=$E$2,I26+J$3,I26)+IF(J$4=$E$2,J$5,0)+IF(J$6=$E$2,J$7,0)+IF(J$8=$E$2,J$9,0)+IF(J$10=$E$2,J$11,0)-IF(J$12=$E$2,J$13,0)-IF(J$14=$E$2,J$15,0)-IF(J$16=$E$2,J$17,0)-IF(J$18=$E$2,J$19,0)-IF(J$20=$E$2,J$21,0)</f>
        <v>22697.11</v>
      </c>
      <c r="K26" s="28">
        <f t="shared" si="81"/>
        <v>22697.11</v>
      </c>
      <c r="L26" s="28">
        <f>IF(L$2=$E$2,K26+L$3,K26)+IF(L$4=$E$2,L$5,0)+IF(L$6=$E$2,L$7,0)+IF(L$8=$E$2,L$9,0)+IF(L$10=$E$2,L$11,0)-IF(L$12=$E$2,L$13,0)-IF(L$14=$E$2,L$15,0)-IF(L$16=$E$2,L$17,0)-IF(L$18=$E$2,L$19,0)-IF(L$20=$E$2,L$21,0)</f>
        <v>22697.11</v>
      </c>
      <c r="M26" s="28">
        <f>IF(M$2=$E$2,L26+M$3,L26)+IF(M$4=$E$2,M$5,0)+IF(M$6=$E$2,M$7,0)+IF(M$8=$E$2,M$9,0)+IF(M$10=$E$2,M$11,0)-IF(M$12=$E$2,M$13,0)-IF(M$14=$E$2,M$15,0)-IF(M$16=$E$2,M$17,0)-IF(M$18=$E$2,M$19,0)-IF(M$20=$E$2,M$21,0)</f>
        <v>22697.11</v>
      </c>
      <c r="N26" s="28">
        <f t="shared" ref="N26:S26" si="82">IF(N$2=$E$2,M26+N$3,M26)+IF(N$4=$E$2,N$5,0)+IF(N$6=$E$2,N$7,0)+IF(N$8=$E$2,N$9,0)+IF(N$10=$E$2,N$11,0)-IF(N$12=$E$2,N$13,0)-IF(N$14=$E$2,N$15,0)-IF(N$16=$E$2,N$17,0)-IF(N$18=$E$2,N$19,0)-IF(N$20=$E$2,N$21,0)</f>
        <v>22697.11</v>
      </c>
      <c r="O26" s="28">
        <f t="shared" si="82"/>
        <v>22697.11</v>
      </c>
      <c r="P26" s="28">
        <f t="shared" si="82"/>
        <v>22697.11</v>
      </c>
      <c r="Q26" s="28">
        <f t="shared" si="82"/>
        <v>20662.07</v>
      </c>
      <c r="R26" s="28">
        <f t="shared" si="82"/>
        <v>20662.07</v>
      </c>
      <c r="S26" s="28">
        <f t="shared" si="82"/>
        <v>20662.07</v>
      </c>
      <c r="T26" s="28">
        <f t="shared" ref="T26" si="83">IF(T$2=$E$2,S26+T$3,S26)+IF(T$4=$E$2,T$5,0)+IF(T$6=$E$2,T$7,0)+IF(T$8=$E$2,T$9,0)+IF(T$10=$E$2,T$11,0)-IF(T$12=$E$2,T$13,0)-IF(T$14=$E$2,T$15,0)-IF(T$16=$E$2,T$17,0)-IF(T$18=$E$2,T$19,0)-IF(T$20=$E$2,T$21,0)</f>
        <v>20662.07</v>
      </c>
      <c r="U26" s="28">
        <f t="shared" ref="U26" si="84">IF(U$2=$E$2,T26+U$3,T26)+IF(U$4=$E$2,U$5,0)+IF(U$6=$E$2,U$7,0)+IF(U$8=$E$2,U$9,0)+IF(U$10=$E$2,U$11,0)-IF(U$12=$E$2,U$13,0)-IF(U$14=$E$2,U$15,0)-IF(U$16=$E$2,U$17,0)-IF(U$18=$E$2,U$19,0)-IF(U$20=$E$2,U$21,0)</f>
        <v>20662.07</v>
      </c>
      <c r="V26" s="28">
        <f t="shared" ref="V26" si="85">IF(V$2=$E$2,U26+V$3,U26)+IF(V$4=$E$2,V$5,0)+IF(V$6=$E$2,V$7,0)+IF(V$8=$E$2,V$9,0)+IF(V$10=$E$2,V$11,0)-IF(V$12=$E$2,V$13,0)-IF(V$14=$E$2,V$15,0)-IF(V$16=$E$2,V$17,0)-IF(V$18=$E$2,V$19,0)-IF(V$20=$E$2,V$21,0)</f>
        <v>20660.07</v>
      </c>
      <c r="W26" s="28">
        <f t="shared" ref="W26" si="86">IF(W$2=$E$2,V26+W$3,V26)+IF(W$4=$E$2,W$5,0)+IF(W$6=$E$2,W$7,0)+IF(W$8=$E$2,W$9,0)+IF(W$10=$E$2,W$11,0)-IF(W$12=$E$2,W$13,0)-IF(W$14=$E$2,W$15,0)-IF(W$16=$E$2,W$17,0)-IF(W$18=$E$2,W$19,0)-IF(W$20=$E$2,W$21,0)</f>
        <v>20660.07</v>
      </c>
      <c r="X26" s="28">
        <f t="shared" ref="X26" si="87">IF(X$2=$E$2,W26+X$3,W26)+IF(X$4=$E$2,X$5,0)+IF(X$6=$E$2,X$7,0)+IF(X$8=$E$2,X$9,0)+IF(X$10=$E$2,X$11,0)-IF(X$12=$E$2,X$13,0)-IF(X$14=$E$2,X$15,0)-IF(X$16=$E$2,X$17,0)-IF(X$18=$E$2,X$19,0)-IF(X$20=$E$2,X$21,0)</f>
        <v>20860.07</v>
      </c>
      <c r="Y26" s="28">
        <f t="shared" ref="Y26" si="88">IF(Y$2=$E$2,X26+Y$3,X26)+IF(Y$4=$E$2,Y$5,0)+IF(Y$6=$E$2,Y$7,0)+IF(Y$8=$E$2,Y$9,0)+IF(Y$10=$E$2,Y$11,0)-IF(Y$12=$E$2,Y$13,0)-IF(Y$14=$E$2,Y$15,0)-IF(Y$16=$E$2,Y$17,0)-IF(Y$18=$E$2,Y$19,0)-IF(Y$20=$E$2,Y$21,0)</f>
        <v>20860.07</v>
      </c>
      <c r="Z26" s="28">
        <f t="shared" ref="Z26" si="89">IF(Z$2=$E$2,Y26+Z$3,Y26)+IF(Z$4=$E$2,Z$5,0)+IF(Z$6=$E$2,Z$7,0)+IF(Z$8=$E$2,Z$9,0)+IF(Z$10=$E$2,Z$11,0)-IF(Z$12=$E$2,Z$13,0)-IF(Z$14=$E$2,Z$15,0)-IF(Z$16=$E$2,Z$17,0)-IF(Z$18=$E$2,Z$19,0)-IF(Z$20=$E$2,Z$21,0)</f>
        <v>20860.07</v>
      </c>
      <c r="AA26" s="28">
        <f t="shared" ref="AA26" si="90">IF(AA$2=$E$2,Z26+AA$3,Z26)+IF(AA$4=$E$2,AA$5,0)+IF(AA$6=$E$2,AA$7,0)+IF(AA$8=$E$2,AA$9,0)+IF(AA$10=$E$2,AA$11,0)-IF(AA$12=$E$2,AA$13,0)-IF(AA$14=$E$2,AA$15,0)-IF(AA$16=$E$2,AA$17,0)-IF(AA$18=$E$2,AA$19,0)-IF(AA$20=$E$2,AA$21,0)</f>
        <v>20860.07</v>
      </c>
      <c r="AB26" s="28">
        <f t="shared" ref="AB26" si="91">IF(AB$2=$E$2,AA26+AB$3,AA26)+IF(AB$4=$E$2,AB$5,0)+IF(AB$6=$E$2,AB$7,0)+IF(AB$8=$E$2,AB$9,0)+IF(AB$10=$E$2,AB$11,0)-IF(AB$12=$E$2,AB$13,0)-IF(AB$14=$E$2,AB$15,0)-IF(AB$16=$E$2,AB$17,0)-IF(AB$18=$E$2,AB$19,0)-IF(AB$20=$E$2,AB$21,0)</f>
        <v>20860.07</v>
      </c>
      <c r="AC26" s="28">
        <f t="shared" ref="AC26" si="92">IF(AC$2=$E$2,AB26+AC$3,AB26)+IF(AC$4=$E$2,AC$5,0)+IF(AC$6=$E$2,AC$7,0)+IF(AC$8=$E$2,AC$9,0)+IF(AC$10=$E$2,AC$11,0)-IF(AC$12=$E$2,AC$13,0)-IF(AC$14=$E$2,AC$15,0)-IF(AC$16=$E$2,AC$17,0)-IF(AC$18=$E$2,AC$19,0)-IF(AC$20=$E$2,AC$21,0)</f>
        <v>20860.07</v>
      </c>
      <c r="AD26" s="28">
        <f t="shared" ref="AD26" si="93">IF(AD$2=$E$2,AC26+AD$3,AC26)+IF(AD$4=$E$2,AD$5,0)+IF(AD$6=$E$2,AD$7,0)+IF(AD$8=$E$2,AD$9,0)+IF(AD$10=$E$2,AD$11,0)-IF(AD$12=$E$2,AD$13,0)-IF(AD$14=$E$2,AD$15,0)-IF(AD$16=$E$2,AD$17,0)-IF(AD$18=$E$2,AD$19,0)-IF(AD$20=$E$2,AD$21,0)</f>
        <v>20860.07</v>
      </c>
      <c r="AE26" s="28">
        <f t="shared" ref="AE26" si="94">IF(AE$2=$E$2,AD26+AE$3,AD26)+IF(AE$4=$E$2,AE$5,0)+IF(AE$6=$E$2,AE$7,0)+IF(AE$8=$E$2,AE$9,0)+IF(AE$10=$E$2,AE$11,0)-IF(AE$12=$E$2,AE$13,0)-IF(AE$14=$E$2,AE$15,0)-IF(AE$16=$E$2,AE$17,0)-IF(AE$18=$E$2,AE$19,0)-IF(AE$20=$E$2,AE$21,0)</f>
        <v>20860.07</v>
      </c>
      <c r="AF26" s="28">
        <f t="shared" ref="AF26" si="95">IF(AF$2=$E$2,AE26+AF$3,AE26)+IF(AF$4=$E$2,AF$5,0)+IF(AF$6=$E$2,AF$7,0)+IF(AF$8=$E$2,AF$9,0)+IF(AF$10=$E$2,AF$11,0)-IF(AF$12=$E$2,AF$13,0)-IF(AF$14=$E$2,AF$15,0)-IF(AF$16=$E$2,AF$17,0)-IF(AF$18=$E$2,AF$19,0)-IF(AF$20=$E$2,AF$21,0)</f>
        <v>20860.07</v>
      </c>
      <c r="AG26" s="28">
        <f t="shared" ref="AG26" si="96">IF(AG$2=$E$2,AF26+AG$3,AF26)+IF(AG$4=$E$2,AG$5,0)+IF(AG$6=$E$2,AG$7,0)+IF(AG$8=$E$2,AG$9,0)+IF(AG$10=$E$2,AG$11,0)-IF(AG$12=$E$2,AG$13,0)-IF(AG$14=$E$2,AG$15,0)-IF(AG$16=$E$2,AG$17,0)-IF(AG$18=$E$2,AG$19,0)-IF(AG$20=$E$2,AG$21,0)</f>
        <v>20860.07</v>
      </c>
      <c r="AH26" s="28">
        <f t="shared" ref="AH26" si="97">IF(AH$2=$E$2,AG26+AH$3,AG26)+IF(AH$4=$E$2,AH$5,0)+IF(AH$6=$E$2,AH$7,0)+IF(AH$8=$E$2,AH$9,0)+IF(AH$10=$E$2,AH$11,0)-IF(AH$12=$E$2,AH$13,0)-IF(AH$14=$E$2,AH$15,0)-IF(AH$16=$E$2,AH$17,0)-IF(AH$18=$E$2,AH$19,0)-IF(AH$20=$E$2,AH$21,0)</f>
        <v>20860.07</v>
      </c>
      <c r="AI26" s="28">
        <f t="shared" ref="AI26" si="98">IF(AI$2=$E$2,AH26+AI$3,AH26)+IF(AI$4=$E$2,AI$5,0)+IF(AI$6=$E$2,AI$7,0)+IF(AI$8=$E$2,AI$9,0)+IF(AI$10=$E$2,AI$11,0)-IF(AI$12=$E$2,AI$13,0)-IF(AI$14=$E$2,AI$15,0)-IF(AI$16=$E$2,AI$17,0)-IF(AI$18=$E$2,AI$19,0)-IF(AI$20=$E$2,AI$21,0)</f>
        <v>20860.07</v>
      </c>
      <c r="AJ26" s="28">
        <f t="shared" ref="AJ26" si="99">IF(AJ$2=$E$2,AI26+AJ$3,AI26)+IF(AJ$4=$E$2,AJ$5,0)+IF(AJ$6=$E$2,AJ$7,0)+IF(AJ$8=$E$2,AJ$9,0)+IF(AJ$10=$E$2,AJ$11,0)-IF(AJ$12=$E$2,AJ$13,0)-IF(AJ$14=$E$2,AJ$15,0)-IF(AJ$16=$E$2,AJ$17,0)-IF(AJ$18=$E$2,AJ$19,0)-IF(AJ$20=$E$2,AJ$21,0)</f>
        <v>20860.07</v>
      </c>
      <c r="AK26" s="30">
        <f t="shared" ref="AK26" si="100">IF(AK$2=$E$2,AJ26+AK$3,AJ26)+IF(AK$4=$E$2,AK$5,0)+IF(AK$6=$E$2,AK$7,0)+IF(AK$8=$E$2,AK$9,0)+IF(AK$10=$E$2,AK$11,0)-IF(AK$12=$E$2,AK$13,0)-IF(AK$14=$E$2,AK$15,0)-IF(AK$16=$E$2,AK$17,0)-IF(AK$18=$E$2,AK$19,0)-IF(AK$20=$E$2,AK$21,0)</f>
        <v>20860.07</v>
      </c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3055.5</v>
      </c>
      <c r="I27" s="31">
        <f>IF(I$2=$F$2,H27+I$3,H27)+IF(I$4=$F$2,I$5,0)+IF(I$6=$F$2,I$7,0)+IF(I$8=$F$2,I$9,0)+IF(I$10=$F$2,I$11,0)-IF(I$12=$F$2,I$13,0)-IF(I$14=$F$2,I$15,0)-IF(I$16=$F$2,I$17,0)-IF(I$18=$F$2,I$19,0)-IF(I$20=$F$2,I$21,0)</f>
        <v>3055.5</v>
      </c>
      <c r="J27" s="31">
        <f t="shared" ref="J27:K27" si="101">IF(J$2=$F$2,I27+J$3,I27)+IF(J$4=$F$2,J$5,0)+IF(J$6=$F$2,J$7,0)+IF(J$8=$F$2,J$9,0)+IF(J$10=$F$2,J$11,0)-IF(J$12=$F$2,J$13,0)-IF(J$14=$F$2,J$15,0)-IF(J$16=$F$2,J$17,0)-IF(J$18=$F$2,J$19,0)-IF(J$20=$F$2,J$21,0)</f>
        <v>3055.5</v>
      </c>
      <c r="K27" s="31">
        <f t="shared" si="101"/>
        <v>3055.5</v>
      </c>
      <c r="L27" s="31">
        <f>IF(L$2=$F$2,K27+L$3,K27)+IF(L$4=$F$2,L$5,0)+IF(L$6=$F$2,L$7,0)+IF(L$8=$F$2,L$9,0)+IF(L$10=$F$2,L$11,0)-IF(L$12=$F$2,L$13,0)-IF(L$14=$F$2,L$15,0)-IF(L$16=$F$2,L$17,0)-IF(L$18=$F$2,L$19,0)-IF(L$20=$F$2,L$21,0)</f>
        <v>3055.5</v>
      </c>
      <c r="M27" s="31">
        <f>IF(M$2=$F$2,L27+M$3,L27)+IF(M$4=$F$2,M$5,0)+IF(M$6=$F$2,M$7,0)+IF(M$8=$F$2,M$9,0)+IF(M$10=$F$2,M$11,0)-IF(M$12=$F$2,M$13,0)-IF(M$14=$F$2,M$15,0)-IF(M$16=$F$2,M$17,0)-IF(M$18=$F$2,M$19,0)-IF(M$20=$F$2,M$21,0)</f>
        <v>3055.5</v>
      </c>
      <c r="N27" s="31">
        <f t="shared" ref="N27:S27" si="102">IF(N$2=$F$2,M27+N$3,M27)+IF(N$4=$F$2,N$5,0)+IF(N$6=$F$2,N$7,0)+IF(N$8=$F$2,N$9,0)+IF(N$10=$F$2,N$11,0)-IF(N$12=$F$2,N$13,0)-IF(N$14=$F$2,N$15,0)-IF(N$16=$F$2,N$17,0)-IF(N$18=$F$2,N$19,0)-IF(N$20=$F$2,N$21,0)</f>
        <v>3055.5</v>
      </c>
      <c r="O27" s="31">
        <f t="shared" si="102"/>
        <v>3055.5</v>
      </c>
      <c r="P27" s="31">
        <f t="shared" si="102"/>
        <v>3055.5</v>
      </c>
      <c r="Q27" s="31">
        <f t="shared" si="102"/>
        <v>3055.5</v>
      </c>
      <c r="R27" s="31">
        <f t="shared" si="102"/>
        <v>3055.5</v>
      </c>
      <c r="S27" s="31">
        <f t="shared" si="102"/>
        <v>3055.5</v>
      </c>
      <c r="T27" s="31">
        <f t="shared" ref="T27" si="103">IF(T$2=$F$2,S27+T$3,S27)+IF(T$4=$F$2,T$5,0)+IF(T$6=$F$2,T$7,0)+IF(T$8=$F$2,T$9,0)+IF(T$10=$F$2,T$11,0)-IF(T$12=$F$2,T$13,0)-IF(T$14=$F$2,T$15,0)-IF(T$16=$F$2,T$17,0)-IF(T$18=$F$2,T$19,0)-IF(T$20=$F$2,T$21,0)</f>
        <v>3055.5</v>
      </c>
      <c r="U27" s="31">
        <f t="shared" ref="U27" si="104">IF(U$2=$F$2,T27+U$3,T27)+IF(U$4=$F$2,U$5,0)+IF(U$6=$F$2,U$7,0)+IF(U$8=$F$2,U$9,0)+IF(U$10=$F$2,U$11,0)-IF(U$12=$F$2,U$13,0)-IF(U$14=$F$2,U$15,0)-IF(U$16=$F$2,U$17,0)-IF(U$18=$F$2,U$19,0)-IF(U$20=$F$2,U$21,0)</f>
        <v>3055.5</v>
      </c>
      <c r="V27" s="31">
        <f t="shared" ref="V27" si="105">IF(V$2=$F$2,U27+V$3,U27)+IF(V$4=$F$2,V$5,0)+IF(V$6=$F$2,V$7,0)+IF(V$8=$F$2,V$9,0)+IF(V$10=$F$2,V$11,0)-IF(V$12=$F$2,V$13,0)-IF(V$14=$F$2,V$15,0)-IF(V$16=$F$2,V$17,0)-IF(V$18=$F$2,V$19,0)-IF(V$20=$F$2,V$21,0)</f>
        <v>3055.5</v>
      </c>
      <c r="W27" s="31">
        <f t="shared" ref="W27" si="106">IF(W$2=$F$2,V27+W$3,V27)+IF(W$4=$F$2,W$5,0)+IF(W$6=$F$2,W$7,0)+IF(W$8=$F$2,W$9,0)+IF(W$10=$F$2,W$11,0)-IF(W$12=$F$2,W$13,0)-IF(W$14=$F$2,W$15,0)-IF(W$16=$F$2,W$17,0)-IF(W$18=$F$2,W$19,0)-IF(W$20=$F$2,W$21,0)</f>
        <v>3055.5</v>
      </c>
      <c r="X27" s="31">
        <f t="shared" ref="X27" si="107">IF(X$2=$F$2,W27+X$3,W27)+IF(X$4=$F$2,X$5,0)+IF(X$6=$F$2,X$7,0)+IF(X$8=$F$2,X$9,0)+IF(X$10=$F$2,X$11,0)-IF(X$12=$F$2,X$13,0)-IF(X$14=$F$2,X$15,0)-IF(X$16=$F$2,X$17,0)-IF(X$18=$F$2,X$19,0)-IF(X$20=$F$2,X$21,0)</f>
        <v>3055.5</v>
      </c>
      <c r="Y27" s="31">
        <f t="shared" ref="Y27" si="108">IF(Y$2=$F$2,X27+Y$3,X27)+IF(Y$4=$F$2,Y$5,0)+IF(Y$6=$F$2,Y$7,0)+IF(Y$8=$F$2,Y$9,0)+IF(Y$10=$F$2,Y$11,0)-IF(Y$12=$F$2,Y$13,0)-IF(Y$14=$F$2,Y$15,0)-IF(Y$16=$F$2,Y$17,0)-IF(Y$18=$F$2,Y$19,0)-IF(Y$20=$F$2,Y$21,0)</f>
        <v>3055.5</v>
      </c>
      <c r="Z27" s="31">
        <f t="shared" ref="Z27" si="109">IF(Z$2=$F$2,Y27+Z$3,Y27)+IF(Z$4=$F$2,Z$5,0)+IF(Z$6=$F$2,Z$7,0)+IF(Z$8=$F$2,Z$9,0)+IF(Z$10=$F$2,Z$11,0)-IF(Z$12=$F$2,Z$13,0)-IF(Z$14=$F$2,Z$15,0)-IF(Z$16=$F$2,Z$17,0)-IF(Z$18=$F$2,Z$19,0)-IF(Z$20=$F$2,Z$21,0)</f>
        <v>3055.5</v>
      </c>
      <c r="AA27" s="31">
        <f t="shared" ref="AA27" si="110">IF(AA$2=$F$2,Z27+AA$3,Z27)+IF(AA$4=$F$2,AA$5,0)+IF(AA$6=$F$2,AA$7,0)+IF(AA$8=$F$2,AA$9,0)+IF(AA$10=$F$2,AA$11,0)-IF(AA$12=$F$2,AA$13,0)-IF(AA$14=$F$2,AA$15,0)-IF(AA$16=$F$2,AA$17,0)-IF(AA$18=$F$2,AA$19,0)-IF(AA$20=$F$2,AA$21,0)</f>
        <v>3055.5</v>
      </c>
      <c r="AB27" s="31">
        <f t="shared" ref="AB27" si="111">IF(AB$2=$F$2,AA27+AB$3,AA27)+IF(AB$4=$F$2,AB$5,0)+IF(AB$6=$F$2,AB$7,0)+IF(AB$8=$F$2,AB$9,0)+IF(AB$10=$F$2,AB$11,0)-IF(AB$12=$F$2,AB$13,0)-IF(AB$14=$F$2,AB$15,0)-IF(AB$16=$F$2,AB$17,0)-IF(AB$18=$F$2,AB$19,0)-IF(AB$20=$F$2,AB$21,0)</f>
        <v>3055.5</v>
      </c>
      <c r="AC27" s="31">
        <f t="shared" ref="AC27" si="112">IF(AC$2=$F$2,AB27+AC$3,AB27)+IF(AC$4=$F$2,AC$5,0)+IF(AC$6=$F$2,AC$7,0)+IF(AC$8=$F$2,AC$9,0)+IF(AC$10=$F$2,AC$11,0)-IF(AC$12=$F$2,AC$13,0)-IF(AC$14=$F$2,AC$15,0)-IF(AC$16=$F$2,AC$17,0)-IF(AC$18=$F$2,AC$19,0)-IF(AC$20=$F$2,AC$21,0)</f>
        <v>3055.5</v>
      </c>
      <c r="AD27" s="31">
        <f t="shared" ref="AD27" si="113">IF(AD$2=$F$2,AC27+AD$3,AC27)+IF(AD$4=$F$2,AD$5,0)+IF(AD$6=$F$2,AD$7,0)+IF(AD$8=$F$2,AD$9,0)+IF(AD$10=$F$2,AD$11,0)-IF(AD$12=$F$2,AD$13,0)-IF(AD$14=$F$2,AD$15,0)-IF(AD$16=$F$2,AD$17,0)-IF(AD$18=$F$2,AD$19,0)-IF(AD$20=$F$2,AD$21,0)</f>
        <v>3055.5</v>
      </c>
      <c r="AE27" s="31">
        <f t="shared" ref="AE27" si="114">IF(AE$2=$F$2,AD27+AE$3,AD27)+IF(AE$4=$F$2,AE$5,0)+IF(AE$6=$F$2,AE$7,0)+IF(AE$8=$F$2,AE$9,0)+IF(AE$10=$F$2,AE$11,0)-IF(AE$12=$F$2,AE$13,0)-IF(AE$14=$F$2,AE$15,0)-IF(AE$16=$F$2,AE$17,0)-IF(AE$18=$F$2,AE$19,0)-IF(AE$20=$F$2,AE$21,0)</f>
        <v>3055.5</v>
      </c>
      <c r="AF27" s="31">
        <f t="shared" ref="AF27" si="115">IF(AF$2=$F$2,AE27+AF$3,AE27)+IF(AF$4=$F$2,AF$5,0)+IF(AF$6=$F$2,AF$7,0)+IF(AF$8=$F$2,AF$9,0)+IF(AF$10=$F$2,AF$11,0)-IF(AF$12=$F$2,AF$13,0)-IF(AF$14=$F$2,AF$15,0)-IF(AF$16=$F$2,AF$17,0)-IF(AF$18=$F$2,AF$19,0)-IF(AF$20=$F$2,AF$21,0)</f>
        <v>3055.5</v>
      </c>
      <c r="AG27" s="31">
        <f t="shared" ref="AG27" si="116">IF(AG$2=$F$2,AF27+AG$3,AF27)+IF(AG$4=$F$2,AG$5,0)+IF(AG$6=$F$2,AG$7,0)+IF(AG$8=$F$2,AG$9,0)+IF(AG$10=$F$2,AG$11,0)-IF(AG$12=$F$2,AG$13,0)-IF(AG$14=$F$2,AG$15,0)-IF(AG$16=$F$2,AG$17,0)-IF(AG$18=$F$2,AG$19,0)-IF(AG$20=$F$2,AG$21,0)</f>
        <v>3055.5</v>
      </c>
      <c r="AH27" s="31">
        <f t="shared" ref="AH27" si="117">IF(AH$2=$F$2,AG27+AH$3,AG27)+IF(AH$4=$F$2,AH$5,0)+IF(AH$6=$F$2,AH$7,0)+IF(AH$8=$F$2,AH$9,0)+IF(AH$10=$F$2,AH$11,0)-IF(AH$12=$F$2,AH$13,0)-IF(AH$14=$F$2,AH$15,0)-IF(AH$16=$F$2,AH$17,0)-IF(AH$18=$F$2,AH$19,0)-IF(AH$20=$F$2,AH$21,0)</f>
        <v>3055.5</v>
      </c>
      <c r="AI27" s="31">
        <f t="shared" ref="AI27" si="118">IF(AI$2=$F$2,AH27+AI$3,AH27)+IF(AI$4=$F$2,AI$5,0)+IF(AI$6=$F$2,AI$7,0)+IF(AI$8=$F$2,AI$9,0)+IF(AI$10=$F$2,AI$11,0)-IF(AI$12=$F$2,AI$13,0)-IF(AI$14=$F$2,AI$15,0)-IF(AI$16=$F$2,AI$17,0)-IF(AI$18=$F$2,AI$19,0)-IF(AI$20=$F$2,AI$21,0)</f>
        <v>3055.5</v>
      </c>
      <c r="AJ27" s="31">
        <f t="shared" ref="AJ27" si="119">IF(AJ$2=$F$2,AI27+AJ$3,AI27)+IF(AJ$4=$F$2,AJ$5,0)+IF(AJ$6=$F$2,AJ$7,0)+IF(AJ$8=$F$2,AJ$9,0)+IF(AJ$10=$F$2,AJ$11,0)-IF(AJ$12=$F$2,AJ$13,0)-IF(AJ$14=$F$2,AJ$15,0)-IF(AJ$16=$F$2,AJ$17,0)-IF(AJ$18=$F$2,AJ$19,0)-IF(AJ$20=$F$2,AJ$21,0)</f>
        <v>3055.5</v>
      </c>
      <c r="AK27" s="33">
        <f t="shared" ref="AK27" si="120">IF(AK$2=$F$2,AJ27+AK$3,AJ27)+IF(AK$4=$F$2,AK$5,0)+IF(AK$6=$F$2,AK$7,0)+IF(AK$8=$F$2,AK$9,0)+IF(AK$10=$F$2,AK$11,0)-IF(AK$12=$F$2,AK$13,0)-IF(AK$14=$F$2,AK$15,0)-IF(AK$16=$F$2,AK$17,0)-IF(AK$18=$F$2,AK$19,0)-IF(AK$20=$F$2,AK$21,0)</f>
        <v>3055.5</v>
      </c>
    </row>
    <row r="28" spans="1:39" ht="18" customHeight="1" thickBot="1">
      <c r="G28" s="116" t="s">
        <v>49</v>
      </c>
      <c r="H28" s="113" t="s">
        <v>46</v>
      </c>
      <c r="I28" s="114" t="s">
        <v>47</v>
      </c>
      <c r="J28" s="114" t="s">
        <v>48</v>
      </c>
      <c r="K28" s="114" t="s">
        <v>43</v>
      </c>
      <c r="L28" s="114" t="s">
        <v>44</v>
      </c>
      <c r="M28" s="114" t="s">
        <v>45</v>
      </c>
      <c r="N28" s="114" t="s">
        <v>46</v>
      </c>
      <c r="O28" s="114" t="s">
        <v>46</v>
      </c>
      <c r="P28" s="114" t="s">
        <v>47</v>
      </c>
      <c r="Q28" s="114" t="s">
        <v>48</v>
      </c>
      <c r="R28" s="114" t="s">
        <v>43</v>
      </c>
      <c r="S28" s="114" t="s">
        <v>44</v>
      </c>
      <c r="T28" s="114" t="s">
        <v>45</v>
      </c>
      <c r="U28" s="114" t="s">
        <v>46</v>
      </c>
      <c r="V28" s="114" t="s">
        <v>46</v>
      </c>
      <c r="W28" s="114" t="s">
        <v>47</v>
      </c>
      <c r="X28" s="114" t="s">
        <v>48</v>
      </c>
      <c r="Y28" s="114" t="s">
        <v>43</v>
      </c>
      <c r="Z28" s="114" t="s">
        <v>44</v>
      </c>
      <c r="AA28" s="114" t="s">
        <v>45</v>
      </c>
      <c r="AB28" s="114" t="s">
        <v>46</v>
      </c>
      <c r="AC28" s="114" t="s">
        <v>46</v>
      </c>
      <c r="AD28" s="114" t="s">
        <v>47</v>
      </c>
      <c r="AE28" s="114" t="s">
        <v>48</v>
      </c>
      <c r="AF28" s="114" t="s">
        <v>43</v>
      </c>
      <c r="AG28" s="114" t="s">
        <v>44</v>
      </c>
      <c r="AH28" s="114" t="s">
        <v>45</v>
      </c>
      <c r="AI28" s="114" t="s">
        <v>46</v>
      </c>
      <c r="AJ28" s="114" t="s">
        <v>46</v>
      </c>
      <c r="AK28" s="150" t="s">
        <v>47</v>
      </c>
    </row>
    <row r="29" spans="1:39" ht="18" customHeight="1" thickBot="1">
      <c r="C29" s="122" t="s">
        <v>8</v>
      </c>
      <c r="D29" s="5" t="s">
        <v>17</v>
      </c>
      <c r="E29" s="123" t="s">
        <v>9</v>
      </c>
      <c r="F29" s="5" t="s">
        <v>17</v>
      </c>
    </row>
    <row r="30" spans="1:39" ht="18" customHeight="1">
      <c r="C30" s="70" t="s">
        <v>14</v>
      </c>
      <c r="D30" s="71">
        <f>Z13</f>
        <v>900</v>
      </c>
      <c r="E30" s="70" t="s">
        <v>25</v>
      </c>
      <c r="F30" s="71">
        <f>I3+Q5+AE3</f>
        <v>5614</v>
      </c>
      <c r="Z30" s="13"/>
      <c r="AD30" s="13"/>
    </row>
    <row r="31" spans="1:39" ht="18" customHeight="1" thickBot="1">
      <c r="C31" s="57" t="s">
        <v>15</v>
      </c>
      <c r="D31" s="59">
        <f>H15+J15+W13+V17/4.9+AF13+AH17</f>
        <v>181.69816326530611</v>
      </c>
      <c r="E31" s="57" t="s">
        <v>26</v>
      </c>
      <c r="F31" s="59">
        <f>M5</f>
        <v>396</v>
      </c>
      <c r="J31" s="13"/>
    </row>
    <row r="32" spans="1:39" ht="18" customHeight="1">
      <c r="A32" s="304" t="s">
        <v>55</v>
      </c>
      <c r="B32" s="323"/>
      <c r="C32" s="57" t="s">
        <v>16</v>
      </c>
      <c r="D32" s="59">
        <f>K13+R15+AF19</f>
        <v>360.47</v>
      </c>
      <c r="E32" s="57" t="s">
        <v>27</v>
      </c>
      <c r="F32" s="59"/>
      <c r="G32" s="13"/>
    </row>
    <row r="33" spans="1:6" ht="18" customHeight="1" thickBot="1">
      <c r="A33" s="306">
        <f>'August 2021'!A33:B33+D38+0.53</f>
        <v>2734.2400000000002</v>
      </c>
      <c r="B33" s="324"/>
      <c r="C33" s="57" t="s">
        <v>33</v>
      </c>
      <c r="D33" s="59">
        <f>L13+L17+J17+R17+S15+S13+S19+V13+AA13+AA15+AA19+AH15+AF15</f>
        <v>890.66000000000008</v>
      </c>
      <c r="E33" s="57" t="s">
        <v>19</v>
      </c>
      <c r="F33" s="59">
        <f>M3+U13+AD3+AE5</f>
        <v>840</v>
      </c>
    </row>
    <row r="34" spans="1:6" ht="18" customHeight="1">
      <c r="A34" s="308" t="s">
        <v>57</v>
      </c>
      <c r="B34" s="322"/>
      <c r="C34" s="57" t="s">
        <v>36</v>
      </c>
      <c r="D34" s="59">
        <f>I13+J13+X13</f>
        <v>189.5</v>
      </c>
      <c r="E34" s="57" t="s">
        <v>70</v>
      </c>
      <c r="F34" s="59">
        <f>P3</f>
        <v>0.05</v>
      </c>
    </row>
    <row r="35" spans="1:6" ht="18" customHeight="1" thickBot="1">
      <c r="A35" s="310">
        <f>'Iunie 2021'!A37:B37+Q13/4.9139</f>
        <v>4806.5114399147533</v>
      </c>
      <c r="B35" s="325"/>
      <c r="C35" s="57" t="s">
        <v>20</v>
      </c>
      <c r="D35" s="59">
        <f>I15+I17+AE13</f>
        <v>464.49</v>
      </c>
      <c r="E35" s="124"/>
      <c r="F35" s="125"/>
    </row>
    <row r="36" spans="1:6" ht="18" customHeight="1" thickBot="1">
      <c r="C36" s="57" t="s">
        <v>18</v>
      </c>
      <c r="D36" s="59">
        <f>L19+R13+AA21</f>
        <v>714.89</v>
      </c>
      <c r="E36" s="268">
        <f>SUM(F30:F35)</f>
        <v>6850.05</v>
      </c>
      <c r="F36" s="269"/>
    </row>
    <row r="37" spans="1:6" ht="18" customHeight="1" thickBot="1">
      <c r="C37" s="178" t="s">
        <v>67</v>
      </c>
      <c r="D37" s="59">
        <f>U13+U17+AK13</f>
        <v>486</v>
      </c>
      <c r="E37" s="228">
        <f>E36-C39</f>
        <v>1845.4418367346943</v>
      </c>
      <c r="F37" s="229"/>
    </row>
    <row r="38" spans="1:6" ht="18" customHeight="1" thickBot="1">
      <c r="C38" s="101" t="s">
        <v>51</v>
      </c>
      <c r="D38" s="102">
        <f>H13+H17+L15+R19+S17+V15+AA17+AF17+AH13</f>
        <v>816.90000000000009</v>
      </c>
      <c r="E38" s="232">
        <f>E37+D38</f>
        <v>2662.3418367346944</v>
      </c>
      <c r="F38" s="233"/>
    </row>
    <row r="39" spans="1:6" ht="18" customHeight="1" thickBot="1">
      <c r="C39" s="292">
        <f>SUM(D30:D38)</f>
        <v>5004.6081632653058</v>
      </c>
      <c r="D39" s="293"/>
      <c r="E39" s="234" t="s">
        <v>69</v>
      </c>
      <c r="F39" s="235"/>
    </row>
    <row r="52" spans="1:4" ht="18" customHeight="1">
      <c r="A52" s="64"/>
      <c r="B52" s="64"/>
    </row>
    <row r="53" spans="1:4" ht="18" customHeight="1">
      <c r="A53" s="64"/>
      <c r="B53" s="64"/>
    </row>
    <row r="54" spans="1:4" ht="18" customHeight="1">
      <c r="A54" s="64"/>
      <c r="B54" s="64"/>
      <c r="C54" s="64"/>
      <c r="D54" s="64"/>
    </row>
    <row r="55" spans="1:4" ht="18" customHeight="1">
      <c r="A55" s="64"/>
      <c r="B55" s="64"/>
      <c r="C55" s="64"/>
      <c r="D55" s="64"/>
    </row>
    <row r="56" spans="1:4" ht="18" customHeight="1">
      <c r="A56" s="64"/>
      <c r="B56" s="64"/>
      <c r="C56" s="64"/>
      <c r="D56" s="64"/>
    </row>
    <row r="57" spans="1:4" ht="18" customHeight="1">
      <c r="A57" s="64"/>
      <c r="B57" s="64"/>
      <c r="C57" s="64"/>
      <c r="D57" s="64"/>
    </row>
    <row r="58" spans="1:4" ht="18" customHeight="1">
      <c r="A58" s="64"/>
      <c r="B58" s="64"/>
      <c r="C58" s="64"/>
      <c r="D58" s="64"/>
    </row>
    <row r="59" spans="1:4" ht="18" customHeight="1">
      <c r="A59" s="64"/>
      <c r="B59" s="64"/>
      <c r="C59" s="64"/>
      <c r="D59" s="64"/>
    </row>
    <row r="60" spans="1:4" ht="18" customHeight="1">
      <c r="A60" s="64"/>
      <c r="B60" s="64"/>
      <c r="C60" s="64"/>
      <c r="D60" s="64"/>
    </row>
    <row r="61" spans="1:4" ht="18" customHeight="1">
      <c r="A61" s="64"/>
      <c r="B61" s="64"/>
      <c r="C61" s="64"/>
      <c r="D61" s="64"/>
    </row>
    <row r="62" spans="1:4" ht="18" customHeight="1">
      <c r="A62" s="64"/>
      <c r="B62" s="64"/>
      <c r="C62" s="64"/>
      <c r="D62" s="64"/>
    </row>
    <row r="63" spans="1:4" ht="18" customHeight="1">
      <c r="C63" s="64"/>
      <c r="D63" s="64"/>
    </row>
    <row r="64" spans="1:4" ht="18" customHeight="1">
      <c r="C64" s="64"/>
      <c r="D64" s="64"/>
    </row>
    <row r="65" spans="3:4" ht="18" customHeight="1">
      <c r="C65" s="64"/>
      <c r="D65" s="64"/>
    </row>
  </sheetData>
  <mergeCells count="27">
    <mergeCell ref="A1:F1"/>
    <mergeCell ref="G2:G11"/>
    <mergeCell ref="A4:D4"/>
    <mergeCell ref="E4:F4"/>
    <mergeCell ref="A5:D5"/>
    <mergeCell ref="E5:F5"/>
    <mergeCell ref="A6:F6"/>
    <mergeCell ref="A9:D9"/>
    <mergeCell ref="E9:F9"/>
    <mergeCell ref="A10:D10"/>
    <mergeCell ref="E10:F10"/>
    <mergeCell ref="A11:F11"/>
    <mergeCell ref="G12:G21"/>
    <mergeCell ref="A14:D14"/>
    <mergeCell ref="E14:F14"/>
    <mergeCell ref="A15:D15"/>
    <mergeCell ref="E15:F15"/>
    <mergeCell ref="A32:B32"/>
    <mergeCell ref="A33:B33"/>
    <mergeCell ref="A34:B34"/>
    <mergeCell ref="A35:B35"/>
    <mergeCell ref="E36:F36"/>
    <mergeCell ref="E37:F37"/>
    <mergeCell ref="E38:F38"/>
    <mergeCell ref="C39:D39"/>
    <mergeCell ref="E39:F39"/>
    <mergeCell ref="G22:G27"/>
  </mergeCells>
  <conditionalFormatting sqref="A13:F13 E15:F15 A15">
    <cfRule type="cellIs" dxfId="14" priority="4" operator="lessThan">
      <formula>0</formula>
    </cfRule>
    <cfRule type="cellIs" dxfId="13" priority="5" operator="greaterThanOrEqual">
      <formula>0</formula>
    </cfRule>
  </conditionalFormatting>
  <conditionalFormatting sqref="E37:F38">
    <cfRule type="cellIs" dxfId="12" priority="2" operator="lessThan">
      <formula>0</formula>
    </cfRule>
    <cfRule type="cellIs" dxfId="11" priority="3" operator="greaterThan">
      <formula>0</formula>
    </cfRule>
  </conditionalFormatting>
  <conditionalFormatting sqref="E38:F38">
    <cfRule type="cellIs" dxfId="10" priority="1" operator="greaterThan">
      <formula>0</formula>
    </cfRule>
  </conditionalFormatting>
  <dataValidations disablePrompts="1" count="7">
    <dataValidation type="list" allowBlank="1" showInputMessage="1" showErrorMessage="1" sqref="A8" xr:uid="{5F0693EE-D54C-473E-809D-C14D466A5110}">
      <formula1>$H$22:$AL$22</formula1>
    </dataValidation>
    <dataValidation type="list" allowBlank="1" showInputMessage="1" showErrorMessage="1" sqref="H2:AK2 H6:AK6 H8:AK8 H10:AK10 H12:AK12 H14:AK14 H16:AK16 H18:AK18 H20:AK20 H4:AK4" xr:uid="{63E322B2-A87D-4ECB-AC11-18FA808B46A1}">
      <formula1>$A$2:$F$2</formula1>
    </dataValidation>
    <dataValidation type="list" allowBlank="1" showInputMessage="1" showErrorMessage="1" sqref="B8" xr:uid="{91424431-3AB0-46F0-8235-F40FF10674B3}">
      <formula1>$H$23:$AL$23</formula1>
    </dataValidation>
    <dataValidation type="list" allowBlank="1" showInputMessage="1" showErrorMessage="1" sqref="C8" xr:uid="{780C1A23-76AF-423F-B3FE-8756EDF9ACF4}">
      <formula1>$H$24:$AL$24</formula1>
    </dataValidation>
    <dataValidation type="list" allowBlank="1" showInputMessage="1" showErrorMessage="1" sqref="D8" xr:uid="{E221782D-6741-4AF9-A290-3AF32DB8975B}">
      <formula1>$H$25:$AL$25</formula1>
    </dataValidation>
    <dataValidation type="list" allowBlank="1" showInputMessage="1" showErrorMessage="1" sqref="E8" xr:uid="{17842472-6DA8-4FCB-91CA-19D9ECC9A3ED}">
      <formula1>$H$26:$AL$26</formula1>
    </dataValidation>
    <dataValidation type="list" allowBlank="1" showInputMessage="1" showErrorMessage="1" sqref="F8" xr:uid="{C36BE8DB-8158-4010-AFEE-FEAA135C013F}">
      <formula1>$H$27:$AL$27</formula1>
    </dataValidation>
  </dataValidations>
  <pageMargins left="0.7" right="0.7" top="0.75" bottom="0.75" header="0.3" footer="0.3"/>
  <pageSetup orientation="portrait" horizontalDpi="4294967293" r:id="rId1"/>
  <ignoredErrors>
    <ignoredError sqref="A10:F10 A5:F5" formulaRange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0A9E-5B3A-4DBD-ADD9-D8DEFC575D88}">
  <sheetPr>
    <tabColor rgb="FF00B050"/>
  </sheetPr>
  <dimension ref="A1:AM65"/>
  <sheetViews>
    <sheetView topLeftCell="A22" zoomScaleNormal="100" workbookViewId="0">
      <pane xSplit="6" topLeftCell="G1" activePane="topRight" state="frozen"/>
      <selection pane="topRight" activeCell="A35" sqref="A35:B35"/>
    </sheetView>
  </sheetViews>
  <sheetFormatPr defaultColWidth="15.77734375" defaultRowHeight="18" customHeight="1"/>
  <cols>
    <col min="1" max="6" width="15.77734375" style="1"/>
    <col min="7" max="7" width="15.77734375" style="1" customWidth="1"/>
    <col min="8" max="37" width="10.77734375" style="1" customWidth="1"/>
    <col min="38" max="38" width="10.77734375" style="64" customWidth="1"/>
    <col min="39" max="16384" width="15.77734375" style="1"/>
  </cols>
  <sheetData>
    <row r="1" spans="1:39" ht="18" customHeight="1" thickBot="1">
      <c r="A1" s="277" t="s">
        <v>71</v>
      </c>
      <c r="B1" s="278"/>
      <c r="C1" s="278"/>
      <c r="D1" s="278"/>
      <c r="E1" s="278"/>
      <c r="F1" s="312"/>
      <c r="G1" s="2" t="s">
        <v>7</v>
      </c>
      <c r="H1" s="3">
        <v>1</v>
      </c>
      <c r="I1" s="180">
        <v>2</v>
      </c>
      <c r="J1" s="139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180">
        <v>9</v>
      </c>
      <c r="Q1" s="139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180">
        <v>16</v>
      </c>
      <c r="X1" s="139">
        <v>17</v>
      </c>
      <c r="Y1" s="4">
        <v>18</v>
      </c>
      <c r="Z1" s="4">
        <v>19</v>
      </c>
      <c r="AA1" s="4">
        <v>20</v>
      </c>
      <c r="AB1" s="4">
        <v>21</v>
      </c>
      <c r="AC1" s="4">
        <v>22</v>
      </c>
      <c r="AD1" s="180">
        <v>23</v>
      </c>
      <c r="AE1" s="139">
        <v>24</v>
      </c>
      <c r="AF1" s="4">
        <v>25</v>
      </c>
      <c r="AG1" s="4">
        <v>26</v>
      </c>
      <c r="AH1" s="4">
        <v>27</v>
      </c>
      <c r="AI1" s="4">
        <v>28</v>
      </c>
      <c r="AJ1" s="4">
        <v>29</v>
      </c>
      <c r="AK1" s="180">
        <v>30</v>
      </c>
      <c r="AL1" s="182">
        <v>31</v>
      </c>
    </row>
    <row r="2" spans="1:39" ht="18" customHeight="1">
      <c r="A2" s="104" t="s">
        <v>53</v>
      </c>
      <c r="B2" s="6" t="s">
        <v>54</v>
      </c>
      <c r="C2" s="7" t="s">
        <v>2</v>
      </c>
      <c r="D2" s="7" t="s">
        <v>13</v>
      </c>
      <c r="E2" s="7" t="s">
        <v>3</v>
      </c>
      <c r="F2" s="129" t="s">
        <v>1</v>
      </c>
      <c r="G2" s="238" t="s">
        <v>9</v>
      </c>
      <c r="H2" s="19" t="s">
        <v>54</v>
      </c>
      <c r="I2" s="20"/>
      <c r="J2" s="20" t="s">
        <v>54</v>
      </c>
      <c r="K2" s="20"/>
      <c r="L2" s="20" t="s">
        <v>13</v>
      </c>
      <c r="M2" s="20"/>
      <c r="N2" s="20"/>
      <c r="O2" s="20" t="s">
        <v>53</v>
      </c>
      <c r="P2" s="20"/>
      <c r="Q2" s="20" t="s">
        <v>2</v>
      </c>
      <c r="R2" s="20"/>
      <c r="S2" s="20"/>
      <c r="T2" s="20" t="s">
        <v>2</v>
      </c>
      <c r="U2" s="20"/>
      <c r="V2" s="20" t="s">
        <v>53</v>
      </c>
      <c r="W2" s="20"/>
      <c r="X2" s="20"/>
      <c r="Y2" s="20" t="s">
        <v>53</v>
      </c>
      <c r="Z2" s="20"/>
      <c r="AA2" s="20" t="s">
        <v>2</v>
      </c>
      <c r="AB2" s="20"/>
      <c r="AC2" s="20"/>
      <c r="AD2" s="20"/>
      <c r="AE2" s="20"/>
      <c r="AF2" s="20" t="s">
        <v>54</v>
      </c>
      <c r="AG2" s="20"/>
      <c r="AH2" s="20" t="s">
        <v>54</v>
      </c>
      <c r="AI2" s="20" t="s">
        <v>13</v>
      </c>
      <c r="AJ2" s="140"/>
      <c r="AK2" s="20"/>
      <c r="AL2" s="21"/>
      <c r="AM2" s="64"/>
    </row>
    <row r="3" spans="1:39" s="13" customFormat="1" ht="18" customHeight="1" thickBot="1">
      <c r="A3" s="105">
        <v>4092.96</v>
      </c>
      <c r="B3" s="9">
        <v>439.21000000000117</v>
      </c>
      <c r="C3" s="10">
        <v>20</v>
      </c>
      <c r="D3" s="10">
        <v>456.88000000000005</v>
      </c>
      <c r="E3" s="10">
        <v>20860.07</v>
      </c>
      <c r="F3" s="130">
        <v>3055.5</v>
      </c>
      <c r="G3" s="239"/>
      <c r="H3" s="18">
        <v>3178</v>
      </c>
      <c r="I3" s="12"/>
      <c r="J3" s="12">
        <v>5</v>
      </c>
      <c r="K3" s="12"/>
      <c r="L3" s="12">
        <v>396</v>
      </c>
      <c r="M3" s="12"/>
      <c r="N3" s="167"/>
      <c r="O3" s="12">
        <v>1427</v>
      </c>
      <c r="P3" s="12"/>
      <c r="Q3" s="12">
        <v>50</v>
      </c>
      <c r="R3" s="167"/>
      <c r="S3" s="12"/>
      <c r="T3" s="12">
        <v>50</v>
      </c>
      <c r="U3" s="12"/>
      <c r="V3" s="12">
        <v>5</v>
      </c>
      <c r="W3" s="167"/>
      <c r="X3" s="12"/>
      <c r="Y3" s="12">
        <v>74.73</v>
      </c>
      <c r="Z3" s="167"/>
      <c r="AA3" s="12">
        <v>100</v>
      </c>
      <c r="AB3" s="167"/>
      <c r="AC3" s="167"/>
      <c r="AD3" s="12"/>
      <c r="AE3" s="12"/>
      <c r="AF3" s="12">
        <v>126.96</v>
      </c>
      <c r="AG3" s="167"/>
      <c r="AH3" s="12">
        <v>10</v>
      </c>
      <c r="AI3" s="12">
        <v>420</v>
      </c>
      <c r="AJ3" s="168"/>
      <c r="AK3" s="12"/>
      <c r="AL3" s="169"/>
      <c r="AM3" s="64"/>
    </row>
    <row r="4" spans="1:39" ht="18" customHeight="1" thickBot="1">
      <c r="A4" s="277" t="s">
        <v>5</v>
      </c>
      <c r="B4" s="278"/>
      <c r="C4" s="278"/>
      <c r="D4" s="279"/>
      <c r="E4" s="273" t="s">
        <v>6</v>
      </c>
      <c r="F4" s="320"/>
      <c r="G4" s="239"/>
      <c r="H4" s="22" t="s">
        <v>54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 t="s">
        <v>53</v>
      </c>
      <c r="AG4" s="23"/>
      <c r="AH4" s="23" t="s">
        <v>2</v>
      </c>
      <c r="AI4" s="23"/>
      <c r="AJ4" s="142"/>
      <c r="AK4" s="23"/>
      <c r="AL4" s="24"/>
      <c r="AM4" s="64"/>
    </row>
    <row r="5" spans="1:39" ht="18" customHeight="1" thickBot="1">
      <c r="A5" s="280">
        <f>SUM(A3:D3)</f>
        <v>5009.0500000000011</v>
      </c>
      <c r="B5" s="281"/>
      <c r="C5" s="281"/>
      <c r="D5" s="282"/>
      <c r="E5" s="275">
        <f>SUM(E3:F3)</f>
        <v>23915.57</v>
      </c>
      <c r="F5" s="321"/>
      <c r="G5" s="239"/>
      <c r="H5" s="18">
        <v>10000</v>
      </c>
      <c r="I5" s="167"/>
      <c r="J5" s="167"/>
      <c r="K5" s="167"/>
      <c r="L5" s="167"/>
      <c r="M5" s="12"/>
      <c r="N5" s="167"/>
      <c r="O5" s="167"/>
      <c r="P5" s="12"/>
      <c r="Q5" s="12"/>
      <c r="R5" s="167"/>
      <c r="S5" s="167"/>
      <c r="T5" s="167"/>
      <c r="U5" s="12"/>
      <c r="V5" s="167"/>
      <c r="W5" s="167"/>
      <c r="X5" s="167"/>
      <c r="Y5" s="167"/>
      <c r="Z5" s="167"/>
      <c r="AA5" s="167"/>
      <c r="AB5" s="167"/>
      <c r="AC5" s="167"/>
      <c r="AD5" s="167"/>
      <c r="AE5" s="12"/>
      <c r="AF5" s="12">
        <v>1000</v>
      </c>
      <c r="AG5" s="167"/>
      <c r="AH5" s="12">
        <v>200</v>
      </c>
      <c r="AI5" s="167"/>
      <c r="AJ5" s="168"/>
      <c r="AK5" s="167"/>
      <c r="AL5" s="169"/>
      <c r="AM5" s="64"/>
    </row>
    <row r="6" spans="1:39" ht="18" customHeight="1" thickBot="1">
      <c r="A6" s="241" t="s">
        <v>38</v>
      </c>
      <c r="B6" s="242"/>
      <c r="C6" s="242"/>
      <c r="D6" s="242"/>
      <c r="E6" s="242"/>
      <c r="F6" s="243"/>
      <c r="G6" s="239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42"/>
      <c r="AK6" s="23"/>
      <c r="AL6" s="24"/>
      <c r="AM6" s="64"/>
    </row>
    <row r="7" spans="1:39" ht="18" customHeight="1">
      <c r="A7" s="106" t="s">
        <v>53</v>
      </c>
      <c r="B7" s="37" t="s">
        <v>54</v>
      </c>
      <c r="C7" s="38" t="s">
        <v>2</v>
      </c>
      <c r="D7" s="38" t="s">
        <v>13</v>
      </c>
      <c r="E7" s="38" t="s">
        <v>3</v>
      </c>
      <c r="F7" s="131" t="s">
        <v>1</v>
      </c>
      <c r="G7" s="239"/>
      <c r="H7" s="166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8"/>
      <c r="AK7" s="167"/>
      <c r="AL7" s="169"/>
      <c r="AM7" s="64"/>
    </row>
    <row r="8" spans="1:39" ht="18" customHeight="1" thickBot="1">
      <c r="A8" s="107">
        <v>4856.6299999999992</v>
      </c>
      <c r="B8" s="40">
        <v>949.70000000000095</v>
      </c>
      <c r="C8" s="41">
        <v>45</v>
      </c>
      <c r="D8" s="41">
        <v>470.71000000000009</v>
      </c>
      <c r="E8" s="41">
        <v>18823.560000000001</v>
      </c>
      <c r="F8" s="132">
        <v>3055.5</v>
      </c>
      <c r="G8" s="239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42"/>
      <c r="AK8" s="23"/>
      <c r="AL8" s="24"/>
      <c r="AM8" s="64"/>
    </row>
    <row r="9" spans="1:39" ht="18" customHeight="1" thickBot="1">
      <c r="A9" s="241" t="s">
        <v>5</v>
      </c>
      <c r="B9" s="242"/>
      <c r="C9" s="242"/>
      <c r="D9" s="249"/>
      <c r="E9" s="253" t="s">
        <v>6</v>
      </c>
      <c r="F9" s="243"/>
      <c r="G9" s="239"/>
      <c r="H9" s="166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8"/>
      <c r="AK9" s="167"/>
      <c r="AL9" s="169"/>
      <c r="AM9" s="64"/>
    </row>
    <row r="10" spans="1:39" ht="18" customHeight="1" thickBot="1">
      <c r="A10" s="250">
        <f>SUM(A8:D8)</f>
        <v>6322.04</v>
      </c>
      <c r="B10" s="251"/>
      <c r="C10" s="251"/>
      <c r="D10" s="252"/>
      <c r="E10" s="244">
        <f>SUM(E8:F8)</f>
        <v>21879.06</v>
      </c>
      <c r="F10" s="317"/>
      <c r="G10" s="239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42"/>
      <c r="AK10" s="158"/>
      <c r="AL10" s="161"/>
      <c r="AM10" s="64"/>
    </row>
    <row r="11" spans="1:39" ht="18" customHeight="1" thickBot="1">
      <c r="A11" s="246" t="s">
        <v>12</v>
      </c>
      <c r="B11" s="247"/>
      <c r="C11" s="247"/>
      <c r="D11" s="247"/>
      <c r="E11" s="247"/>
      <c r="F11" s="248"/>
      <c r="G11" s="240"/>
      <c r="H11" s="166" t="s">
        <v>73</v>
      </c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7"/>
      <c r="AL11" s="169"/>
      <c r="AM11" s="64"/>
    </row>
    <row r="12" spans="1:39" ht="18" customHeight="1">
      <c r="A12" s="108" t="s">
        <v>53</v>
      </c>
      <c r="B12" s="14" t="s">
        <v>54</v>
      </c>
      <c r="C12" s="15" t="s">
        <v>2</v>
      </c>
      <c r="D12" s="15" t="s">
        <v>13</v>
      </c>
      <c r="E12" s="15" t="s">
        <v>3</v>
      </c>
      <c r="F12" s="133" t="s">
        <v>1</v>
      </c>
      <c r="G12" s="261" t="s">
        <v>8</v>
      </c>
      <c r="H12" s="154" t="s">
        <v>3</v>
      </c>
      <c r="I12" s="20" t="s">
        <v>54</v>
      </c>
      <c r="J12" s="20" t="s">
        <v>2</v>
      </c>
      <c r="K12" s="20" t="s">
        <v>53</v>
      </c>
      <c r="L12" s="20"/>
      <c r="M12" s="20" t="s">
        <v>53</v>
      </c>
      <c r="N12" s="20" t="s">
        <v>53</v>
      </c>
      <c r="O12" s="20" t="s">
        <v>54</v>
      </c>
      <c r="P12" s="20"/>
      <c r="Q12" s="20" t="s">
        <v>54</v>
      </c>
      <c r="R12" s="20"/>
      <c r="S12" s="20"/>
      <c r="T12" s="20" t="s">
        <v>53</v>
      </c>
      <c r="U12" s="20"/>
      <c r="V12" s="20" t="s">
        <v>53</v>
      </c>
      <c r="W12" s="20" t="s">
        <v>54</v>
      </c>
      <c r="X12" s="20" t="s">
        <v>54</v>
      </c>
      <c r="Y12" s="20" t="s">
        <v>53</v>
      </c>
      <c r="Z12" s="20"/>
      <c r="AA12" s="20" t="s">
        <v>54</v>
      </c>
      <c r="AB12" s="20" t="s">
        <v>2</v>
      </c>
      <c r="AC12" s="20"/>
      <c r="AD12" s="20" t="s">
        <v>53</v>
      </c>
      <c r="AE12" s="20"/>
      <c r="AF12" s="20" t="s">
        <v>54</v>
      </c>
      <c r="AG12" s="20" t="s">
        <v>53</v>
      </c>
      <c r="AH12" s="20" t="s">
        <v>2</v>
      </c>
      <c r="AI12" s="20" t="s">
        <v>54</v>
      </c>
      <c r="AJ12" s="140"/>
      <c r="AK12" s="20" t="s">
        <v>13</v>
      </c>
      <c r="AL12" s="159"/>
      <c r="AM12" s="64"/>
    </row>
    <row r="13" spans="1:39" s="174" customFormat="1" ht="18" customHeight="1" thickBot="1">
      <c r="A13" s="109">
        <f t="shared" ref="A13:F13" si="0">A8-A3</f>
        <v>763.66999999999916</v>
      </c>
      <c r="B13" s="34">
        <f t="shared" si="0"/>
        <v>510.48999999999978</v>
      </c>
      <c r="C13" s="35">
        <f t="shared" si="0"/>
        <v>25</v>
      </c>
      <c r="D13" s="35">
        <f t="shared" si="0"/>
        <v>13.830000000000041</v>
      </c>
      <c r="E13" s="35">
        <f t="shared" si="0"/>
        <v>-2036.5099999999984</v>
      </c>
      <c r="F13" s="134">
        <f t="shared" si="0"/>
        <v>0</v>
      </c>
      <c r="G13" s="262"/>
      <c r="H13" s="170">
        <v>2034.51</v>
      </c>
      <c r="I13" s="170">
        <v>9564</v>
      </c>
      <c r="J13" s="170">
        <v>5</v>
      </c>
      <c r="K13" s="170">
        <v>12.7</v>
      </c>
      <c r="L13" s="170"/>
      <c r="M13" s="170">
        <v>194</v>
      </c>
      <c r="N13" s="170">
        <v>30</v>
      </c>
      <c r="O13" s="170">
        <v>600</v>
      </c>
      <c r="P13" s="170"/>
      <c r="Q13" s="170">
        <v>20</v>
      </c>
      <c r="R13" s="170"/>
      <c r="S13" s="170"/>
      <c r="T13" s="170">
        <v>50</v>
      </c>
      <c r="U13" s="170"/>
      <c r="V13" s="170">
        <v>15.96</v>
      </c>
      <c r="W13" s="170">
        <v>132.44</v>
      </c>
      <c r="X13" s="170">
        <v>72.709999999999994</v>
      </c>
      <c r="Y13" s="170">
        <v>30.18</v>
      </c>
      <c r="Z13" s="170"/>
      <c r="AA13" s="170">
        <v>150.59</v>
      </c>
      <c r="AB13" s="170">
        <v>46</v>
      </c>
      <c r="AC13" s="170"/>
      <c r="AD13" s="170">
        <v>339</v>
      </c>
      <c r="AE13" s="170"/>
      <c r="AF13" s="170">
        <v>34.630000000000003</v>
      </c>
      <c r="AG13" s="170">
        <v>30.17</v>
      </c>
      <c r="AH13" s="170">
        <v>10</v>
      </c>
      <c r="AI13" s="170">
        <v>18.809999999999999</v>
      </c>
      <c r="AJ13" s="177"/>
      <c r="AK13" s="170">
        <v>254.44</v>
      </c>
      <c r="AL13" s="179"/>
      <c r="AM13" s="138"/>
    </row>
    <row r="14" spans="1:39" ht="18" customHeight="1" thickBot="1">
      <c r="A14" s="246" t="s">
        <v>5</v>
      </c>
      <c r="B14" s="247"/>
      <c r="C14" s="247"/>
      <c r="D14" s="264"/>
      <c r="E14" s="257" t="s">
        <v>6</v>
      </c>
      <c r="F14" s="318"/>
      <c r="G14" s="262"/>
      <c r="H14" s="156"/>
      <c r="I14" s="23" t="s">
        <v>54</v>
      </c>
      <c r="J14" s="23"/>
      <c r="K14" s="23" t="s">
        <v>53</v>
      </c>
      <c r="L14" s="23"/>
      <c r="M14" s="23"/>
      <c r="N14" s="23"/>
      <c r="O14" s="23"/>
      <c r="P14" s="23"/>
      <c r="Q14" s="23" t="s">
        <v>53</v>
      </c>
      <c r="R14" s="23"/>
      <c r="S14" s="23"/>
      <c r="T14" s="23" t="s">
        <v>2</v>
      </c>
      <c r="U14" s="23"/>
      <c r="V14" s="23" t="s">
        <v>53</v>
      </c>
      <c r="W14" s="23" t="s">
        <v>54</v>
      </c>
      <c r="X14" s="23" t="s">
        <v>54</v>
      </c>
      <c r="Y14" s="23"/>
      <c r="Z14" s="23"/>
      <c r="AA14" s="23" t="s">
        <v>54</v>
      </c>
      <c r="AB14" s="23"/>
      <c r="AC14" s="23"/>
      <c r="AD14" s="23"/>
      <c r="AE14" s="23"/>
      <c r="AF14" s="23" t="s">
        <v>54</v>
      </c>
      <c r="AG14" s="23" t="s">
        <v>13</v>
      </c>
      <c r="AH14" s="23" t="s">
        <v>53</v>
      </c>
      <c r="AI14" s="23" t="s">
        <v>54</v>
      </c>
      <c r="AJ14" s="142"/>
      <c r="AK14" s="23" t="s">
        <v>54</v>
      </c>
      <c r="AL14" s="24"/>
      <c r="AM14" s="64"/>
    </row>
    <row r="15" spans="1:39" s="174" customFormat="1" ht="18" customHeight="1" thickBot="1">
      <c r="A15" s="265">
        <f>SUM(A13:D13)</f>
        <v>1312.9899999999989</v>
      </c>
      <c r="B15" s="266"/>
      <c r="C15" s="266"/>
      <c r="D15" s="267"/>
      <c r="E15" s="259">
        <f>SUM(E13:F13)</f>
        <v>-2036.5099999999984</v>
      </c>
      <c r="F15" s="319"/>
      <c r="G15" s="262"/>
      <c r="H15" s="183"/>
      <c r="I15" s="170">
        <v>1000</v>
      </c>
      <c r="J15" s="170"/>
      <c r="K15" s="170">
        <v>5</v>
      </c>
      <c r="L15" s="170"/>
      <c r="M15" s="170"/>
      <c r="N15" s="170"/>
      <c r="O15" s="171"/>
      <c r="P15" s="171"/>
      <c r="Q15" s="170">
        <v>110</v>
      </c>
      <c r="R15" s="170"/>
      <c r="S15" s="170"/>
      <c r="T15" s="170">
        <v>35</v>
      </c>
      <c r="U15" s="170"/>
      <c r="V15" s="170">
        <v>48</v>
      </c>
      <c r="W15" s="170">
        <v>25.6</v>
      </c>
      <c r="X15" s="170">
        <v>58.42</v>
      </c>
      <c r="Y15" s="170"/>
      <c r="Z15" s="171"/>
      <c r="AA15" s="170">
        <v>44.1</v>
      </c>
      <c r="AB15" s="171"/>
      <c r="AC15" s="171"/>
      <c r="AD15" s="171"/>
      <c r="AE15" s="170"/>
      <c r="AF15" s="170">
        <v>3.7</v>
      </c>
      <c r="AG15" s="170">
        <v>113.79</v>
      </c>
      <c r="AH15" s="170">
        <v>200</v>
      </c>
      <c r="AI15" s="170">
        <v>59.58</v>
      </c>
      <c r="AJ15" s="172"/>
      <c r="AK15" s="170">
        <v>69.989999999999995</v>
      </c>
      <c r="AL15" s="173"/>
      <c r="AM15" s="138"/>
    </row>
    <row r="16" spans="1:39" ht="18" customHeight="1">
      <c r="G16" s="262"/>
      <c r="H16" s="156"/>
      <c r="I16" s="23" t="s">
        <v>13</v>
      </c>
      <c r="J16" s="23"/>
      <c r="K16" s="23"/>
      <c r="L16" s="23"/>
      <c r="M16" s="23"/>
      <c r="N16" s="23"/>
      <c r="O16" s="23"/>
      <c r="P16" s="23"/>
      <c r="Q16" s="23" t="s">
        <v>53</v>
      </c>
      <c r="R16" s="23"/>
      <c r="S16" s="23"/>
      <c r="T16" s="23"/>
      <c r="U16" s="23"/>
      <c r="V16" s="23" t="s">
        <v>53</v>
      </c>
      <c r="W16" s="23" t="s">
        <v>13</v>
      </c>
      <c r="X16" s="23" t="s">
        <v>54</v>
      </c>
      <c r="Y16" s="23"/>
      <c r="Z16" s="23"/>
      <c r="AA16" s="23" t="s">
        <v>53</v>
      </c>
      <c r="AB16" s="23"/>
      <c r="AC16" s="23"/>
      <c r="AD16" s="23"/>
      <c r="AE16" s="23"/>
      <c r="AF16" s="23"/>
      <c r="AG16" s="23"/>
      <c r="AH16" s="23" t="s">
        <v>53</v>
      </c>
      <c r="AI16" s="23" t="s">
        <v>54</v>
      </c>
      <c r="AJ16" s="142"/>
      <c r="AK16" s="158" t="s">
        <v>54</v>
      </c>
      <c r="AL16" s="161"/>
      <c r="AM16" s="64"/>
    </row>
    <row r="17" spans="1:39" s="174" customFormat="1" ht="18" customHeight="1">
      <c r="A17" s="1"/>
      <c r="B17" s="1"/>
      <c r="C17" s="1"/>
      <c r="D17" s="1"/>
      <c r="E17" s="1"/>
      <c r="F17" s="1"/>
      <c r="G17" s="262"/>
      <c r="H17" s="170"/>
      <c r="I17" s="170">
        <v>131.30000000000001</v>
      </c>
      <c r="J17" s="170"/>
      <c r="K17" s="171"/>
      <c r="L17" s="170"/>
      <c r="M17" s="171"/>
      <c r="N17" s="171"/>
      <c r="O17" s="171"/>
      <c r="P17" s="171"/>
      <c r="Q17" s="170">
        <v>50</v>
      </c>
      <c r="R17" s="170"/>
      <c r="S17" s="170"/>
      <c r="T17" s="171"/>
      <c r="U17" s="170"/>
      <c r="V17" s="170">
        <v>80</v>
      </c>
      <c r="W17" s="170">
        <v>190</v>
      </c>
      <c r="X17" s="170">
        <f>15.8+22.9</f>
        <v>38.700000000000003</v>
      </c>
      <c r="Y17" s="171"/>
      <c r="Z17" s="171"/>
      <c r="AA17" s="170">
        <v>100</v>
      </c>
      <c r="AB17" s="171"/>
      <c r="AC17" s="171"/>
      <c r="AD17" s="171"/>
      <c r="AE17" s="171"/>
      <c r="AF17" s="170"/>
      <c r="AG17" s="171"/>
      <c r="AH17" s="170">
        <v>97.81</v>
      </c>
      <c r="AI17" s="170">
        <f>4.2+11.9</f>
        <v>16.100000000000001</v>
      </c>
      <c r="AJ17" s="172"/>
      <c r="AK17" s="170">
        <v>0.1</v>
      </c>
      <c r="AL17" s="173"/>
      <c r="AM17" s="138"/>
    </row>
    <row r="18" spans="1:39" ht="18" customHeight="1">
      <c r="G18" s="262"/>
      <c r="H18" s="156"/>
      <c r="I18" s="23"/>
      <c r="J18" s="23"/>
      <c r="K18" s="23"/>
      <c r="L18" s="23"/>
      <c r="M18" s="23"/>
      <c r="N18" s="23"/>
      <c r="O18" s="23"/>
      <c r="P18" s="23"/>
      <c r="Q18" s="23" t="s">
        <v>13</v>
      </c>
      <c r="R18" s="23"/>
      <c r="S18" s="23"/>
      <c r="T18" s="23"/>
      <c r="U18" s="23"/>
      <c r="V18" s="23" t="s">
        <v>3</v>
      </c>
      <c r="W18" s="23"/>
      <c r="X18" s="23" t="s">
        <v>54</v>
      </c>
      <c r="Y18" s="23"/>
      <c r="Z18" s="23"/>
      <c r="AA18" s="23" t="s">
        <v>53</v>
      </c>
      <c r="AB18" s="23"/>
      <c r="AC18" s="23"/>
      <c r="AD18" s="23"/>
      <c r="AE18" s="23"/>
      <c r="AF18" s="23"/>
      <c r="AG18" s="23"/>
      <c r="AH18" s="23" t="s">
        <v>53</v>
      </c>
      <c r="AI18" s="23"/>
      <c r="AJ18" s="142"/>
      <c r="AK18" s="23"/>
      <c r="AL18" s="24"/>
      <c r="AM18" s="64"/>
    </row>
    <row r="19" spans="1:39" s="174" customFormat="1" ht="18" customHeight="1">
      <c r="A19" s="1"/>
      <c r="B19" s="1"/>
      <c r="C19" s="1"/>
      <c r="D19" s="1"/>
      <c r="E19" s="1"/>
      <c r="F19" s="1"/>
      <c r="G19" s="262"/>
      <c r="H19" s="166"/>
      <c r="I19" s="170"/>
      <c r="J19" s="170"/>
      <c r="K19" s="171"/>
      <c r="L19" s="170"/>
      <c r="M19" s="171"/>
      <c r="N19" s="171"/>
      <c r="O19" s="171"/>
      <c r="P19" s="171"/>
      <c r="Q19" s="170">
        <v>112.64</v>
      </c>
      <c r="R19" s="170"/>
      <c r="S19" s="170"/>
      <c r="T19" s="171"/>
      <c r="U19" s="171"/>
      <c r="V19" s="170">
        <v>2</v>
      </c>
      <c r="W19" s="171"/>
      <c r="X19" s="170">
        <v>900</v>
      </c>
      <c r="Y19" s="171"/>
      <c r="Z19" s="171"/>
      <c r="AA19" s="170">
        <v>99</v>
      </c>
      <c r="AB19" s="171"/>
      <c r="AC19" s="171"/>
      <c r="AD19" s="171"/>
      <c r="AE19" s="171"/>
      <c r="AF19" s="170"/>
      <c r="AG19" s="171"/>
      <c r="AH19" s="170">
        <v>148.07</v>
      </c>
      <c r="AI19" s="171"/>
      <c r="AJ19" s="172"/>
      <c r="AK19" s="171"/>
      <c r="AL19" s="173"/>
      <c r="AM19" s="138"/>
    </row>
    <row r="20" spans="1:39" ht="18" customHeight="1">
      <c r="G20" s="262"/>
      <c r="H20" s="156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 t="s">
        <v>53</v>
      </c>
      <c r="AB20" s="23"/>
      <c r="AC20" s="23"/>
      <c r="AD20" s="23"/>
      <c r="AE20" s="23"/>
      <c r="AF20" s="23"/>
      <c r="AG20" s="23"/>
      <c r="AH20" s="23" t="s">
        <v>2</v>
      </c>
      <c r="AI20" s="23"/>
      <c r="AJ20" s="142"/>
      <c r="AK20" s="158"/>
      <c r="AL20" s="161"/>
      <c r="AM20" s="64"/>
    </row>
    <row r="21" spans="1:39" s="174" customFormat="1" ht="18" customHeight="1" thickBot="1">
      <c r="A21" s="1"/>
      <c r="B21" s="1"/>
      <c r="C21" s="1"/>
      <c r="D21" s="1"/>
      <c r="E21" s="1"/>
      <c r="F21" s="1"/>
      <c r="G21" s="263"/>
      <c r="H21" s="166"/>
      <c r="I21" s="170"/>
      <c r="J21" s="170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0">
        <f>95.99+7.18</f>
        <v>103.16999999999999</v>
      </c>
      <c r="AB21" s="171"/>
      <c r="AC21" s="171"/>
      <c r="AD21" s="171"/>
      <c r="AE21" s="171"/>
      <c r="AF21" s="170"/>
      <c r="AG21" s="171"/>
      <c r="AH21" s="170">
        <v>279</v>
      </c>
      <c r="AI21" s="171"/>
      <c r="AJ21" s="172"/>
      <c r="AK21" s="175"/>
      <c r="AL21" s="176"/>
      <c r="AM21" s="138"/>
    </row>
    <row r="22" spans="1:39" ht="18" customHeight="1">
      <c r="G22" s="301" t="s">
        <v>10</v>
      </c>
      <c r="H22" s="147">
        <f>IF($H$2=$A$2,A3+$H$3,A3)+IF($H$4=$A$2,$H$5,0)+IF($H$6=$A$2,$H$7,0)+IF($H$8=$A$2,$H$9,0)+IF($H$10=$A$2,$H$11,0)-IF($H$12=$A$2,$H$13,0)-IF($H$14=$A$2,$H$15,0)-IF($H$16=$A$2,$H$17,0)-IF($H$18=$A$2,$H$19,0)-IF($H$20=$A$2,$H$21,0)</f>
        <v>4092.96</v>
      </c>
      <c r="I22" s="148">
        <f>IF(I$2=$A$2,H22+I$3,H22)+IF(I$4=$A$2,I$5,0)+IF(I$6=$A$2,I$7,0)+IF(I$8=$A$2,I$9,0)+IF(I$10=$A$2,I$11,0)-IF(I$12=$A$2,I$13,0)-IF(I$14=$A$2,I$15,0)-IF(I$16=$A$2,I$17,0)-IF(I$18=$A$2,I$19,0)-IF(I$20=$A$2,I$21,0)</f>
        <v>4092.96</v>
      </c>
      <c r="J22" s="148">
        <f>IF(J$2=$A$2,I22+J$3,I22)+IF(J$4=$A$2,J$5,0)+IF(J$6=$A$2,J$7,0)+IF(J$8=$A$2,J$9,0)+IF(J$10=$A$2,J$11,0)-IF(J$12=$A$2,J$13,0)-IF(J$14=$A$2,J$15,0)-IF(J$16=$A$2,J$17,0)-IF(J$18=$A$2,J$19,0)-IF(J$20=$A$2,J$21,0)</f>
        <v>4092.96</v>
      </c>
      <c r="K22" s="148">
        <f t="shared" ref="K22:X22" si="1">IF(K$2=$A$2,J22+K$3,J22)+IF(K$4=$A$2,K$5,0)+IF(K$6=$A$2,K$7,0)+IF(K$8=$A$2,K$9,0)+IF(K$10=$A$2,K$11,0)-IF(K$12=$A$2,K$13,0)-IF(K$14=$A$2,K$15,0)-IF(K$16=$A$2,K$17,0)-IF(K$18=$A$2,K$19,0)-IF(K$20=$A$2,K$21,0)</f>
        <v>4075.26</v>
      </c>
      <c r="L22" s="148">
        <f t="shared" si="1"/>
        <v>4075.26</v>
      </c>
      <c r="M22" s="148">
        <f t="shared" si="1"/>
        <v>3881.26</v>
      </c>
      <c r="N22" s="148">
        <f t="shared" si="1"/>
        <v>3851.26</v>
      </c>
      <c r="O22" s="148">
        <f t="shared" si="1"/>
        <v>5278.26</v>
      </c>
      <c r="P22" s="148">
        <f t="shared" si="1"/>
        <v>5278.26</v>
      </c>
      <c r="Q22" s="148">
        <f t="shared" si="1"/>
        <v>5118.26</v>
      </c>
      <c r="R22" s="148">
        <f t="shared" si="1"/>
        <v>5118.26</v>
      </c>
      <c r="S22" s="148">
        <f t="shared" si="1"/>
        <v>5118.26</v>
      </c>
      <c r="T22" s="148">
        <f t="shared" si="1"/>
        <v>5068.26</v>
      </c>
      <c r="U22" s="148">
        <f t="shared" si="1"/>
        <v>5068.26</v>
      </c>
      <c r="V22" s="148">
        <f t="shared" si="1"/>
        <v>4929.3</v>
      </c>
      <c r="W22" s="148">
        <f t="shared" si="1"/>
        <v>4929.3</v>
      </c>
      <c r="X22" s="148">
        <f t="shared" si="1"/>
        <v>4929.3</v>
      </c>
      <c r="Y22" s="148">
        <f t="shared" ref="Y22" si="2">IF(Y$2=$A$2,X22+Y$3,X22)+IF(Y$4=$A$2,Y$5,0)+IF(Y$6=$A$2,Y$7,0)+IF(Y$8=$A$2,Y$9,0)+IF(Y$10=$A$2,Y$11,0)-IF(Y$12=$A$2,Y$13,0)-IF(Y$14=$A$2,Y$15,0)-IF(Y$16=$A$2,Y$17,0)-IF(Y$18=$A$2,Y$19,0)-IF(Y$20=$A$2,Y$21,0)</f>
        <v>4973.8499999999995</v>
      </c>
      <c r="Z22" s="148">
        <f t="shared" ref="Z22" si="3">IF(Z$2=$A$2,Y22+Z$3,Y22)+IF(Z$4=$A$2,Z$5,0)+IF(Z$6=$A$2,Z$7,0)+IF(Z$8=$A$2,Z$9,0)+IF(Z$10=$A$2,Z$11,0)-IF(Z$12=$A$2,Z$13,0)-IF(Z$14=$A$2,Z$15,0)-IF(Z$16=$A$2,Z$17,0)-IF(Z$18=$A$2,Z$19,0)-IF(Z$20=$A$2,Z$21,0)</f>
        <v>4973.8499999999995</v>
      </c>
      <c r="AA22" s="148">
        <f t="shared" ref="AA22" si="4">IF(AA$2=$A$2,Z22+AA$3,Z22)+IF(AA$4=$A$2,AA$5,0)+IF(AA$6=$A$2,AA$7,0)+IF(AA$8=$A$2,AA$9,0)+IF(AA$10=$A$2,AA$11,0)-IF(AA$12=$A$2,AA$13,0)-IF(AA$14=$A$2,AA$15,0)-IF(AA$16=$A$2,AA$17,0)-IF(AA$18=$A$2,AA$19,0)-IF(AA$20=$A$2,AA$21,0)</f>
        <v>4671.6799999999994</v>
      </c>
      <c r="AB22" s="148">
        <f t="shared" ref="AB22" si="5">IF(AB$2=$A$2,AA22+AB$3,AA22)+IF(AB$4=$A$2,AB$5,0)+IF(AB$6=$A$2,AB$7,0)+IF(AB$8=$A$2,AB$9,0)+IF(AB$10=$A$2,AB$11,0)-IF(AB$12=$A$2,AB$13,0)-IF(AB$14=$A$2,AB$15,0)-IF(AB$16=$A$2,AB$17,0)-IF(AB$18=$A$2,AB$19,0)-IF(AB$20=$A$2,AB$21,0)</f>
        <v>4671.6799999999994</v>
      </c>
      <c r="AC22" s="148">
        <f t="shared" ref="AC22" si="6">IF(AC$2=$A$2,AB22+AC$3,AB22)+IF(AC$4=$A$2,AC$5,0)+IF(AC$6=$A$2,AC$7,0)+IF(AC$8=$A$2,AC$9,0)+IF(AC$10=$A$2,AC$11,0)-IF(AC$12=$A$2,AC$13,0)-IF(AC$14=$A$2,AC$15,0)-IF(AC$16=$A$2,AC$17,0)-IF(AC$18=$A$2,AC$19,0)-IF(AC$20=$A$2,AC$21,0)</f>
        <v>4671.6799999999994</v>
      </c>
      <c r="AD22" s="148">
        <f t="shared" ref="AD22" si="7">IF(AD$2=$A$2,AC22+AD$3,AC22)+IF(AD$4=$A$2,AD$5,0)+IF(AD$6=$A$2,AD$7,0)+IF(AD$8=$A$2,AD$9,0)+IF(AD$10=$A$2,AD$11,0)-IF(AD$12=$A$2,AD$13,0)-IF(AD$14=$A$2,AD$15,0)-IF(AD$16=$A$2,AD$17,0)-IF(AD$18=$A$2,AD$19,0)-IF(AD$20=$A$2,AD$21,0)</f>
        <v>4332.6799999999994</v>
      </c>
      <c r="AE22" s="148">
        <f t="shared" ref="AE22" si="8">IF(AE$2=$A$2,AD22+AE$3,AD22)+IF(AE$4=$A$2,AE$5,0)+IF(AE$6=$A$2,AE$7,0)+IF(AE$8=$A$2,AE$9,0)+IF(AE$10=$A$2,AE$11,0)-IF(AE$12=$A$2,AE$13,0)-IF(AE$14=$A$2,AE$15,0)-IF(AE$16=$A$2,AE$17,0)-IF(AE$18=$A$2,AE$19,0)-IF(AE$20=$A$2,AE$21,0)</f>
        <v>4332.6799999999994</v>
      </c>
      <c r="AF22" s="148">
        <f t="shared" ref="AF22" si="9">IF(AF$2=$A$2,AE22+AF$3,AE22)+IF(AF$4=$A$2,AF$5,0)+IF(AF$6=$A$2,AF$7,0)+IF(AF$8=$A$2,AF$9,0)+IF(AF$10=$A$2,AF$11,0)-IF(AF$12=$A$2,AF$13,0)-IF(AF$14=$A$2,AF$15,0)-IF(AF$16=$A$2,AF$17,0)-IF(AF$18=$A$2,AF$19,0)-IF(AF$20=$A$2,AF$21,0)</f>
        <v>5332.6799999999994</v>
      </c>
      <c r="AG22" s="148">
        <f t="shared" ref="AG22" si="10">IF(AG$2=$A$2,AF22+AG$3,AF22)+IF(AG$4=$A$2,AG$5,0)+IF(AG$6=$A$2,AG$7,0)+IF(AG$8=$A$2,AG$9,0)+IF(AG$10=$A$2,AG$11,0)-IF(AG$12=$A$2,AG$13,0)-IF(AG$14=$A$2,AG$15,0)-IF(AG$16=$A$2,AG$17,0)-IF(AG$18=$A$2,AG$19,0)-IF(AG$20=$A$2,AG$21,0)</f>
        <v>5302.5099999999993</v>
      </c>
      <c r="AH22" s="148">
        <f t="shared" ref="AH22" si="11">IF(AH$2=$A$2,AG22+AH$3,AG22)+IF(AH$4=$A$2,AH$5,0)+IF(AH$6=$A$2,AH$7,0)+IF(AH$8=$A$2,AH$9,0)+IF(AH$10=$A$2,AH$11,0)-IF(AH$12=$A$2,AH$13,0)-IF(AH$14=$A$2,AH$15,0)-IF(AH$16=$A$2,AH$17,0)-IF(AH$18=$A$2,AH$19,0)-IF(AH$20=$A$2,AH$21,0)</f>
        <v>4856.6299999999992</v>
      </c>
      <c r="AI22" s="148">
        <f t="shared" ref="AI22" si="12">IF(AI$2=$A$2,AH22+AI$3,AH22)+IF(AI$4=$A$2,AI$5,0)+IF(AI$6=$A$2,AI$7,0)+IF(AI$8=$A$2,AI$9,0)+IF(AI$10=$A$2,AI$11,0)-IF(AI$12=$A$2,AI$13,0)-IF(AI$14=$A$2,AI$15,0)-IF(AI$16=$A$2,AI$17,0)-IF(AI$18=$A$2,AI$19,0)-IF(AI$20=$A$2,AI$21,0)</f>
        <v>4856.6299999999992</v>
      </c>
      <c r="AJ22" s="148">
        <f t="shared" ref="AJ22" si="13">IF(AJ$2=$A$2,AI22+AJ$3,AI22)+IF(AJ$4=$A$2,AJ$5,0)+IF(AJ$6=$A$2,AJ$7,0)+IF(AJ$8=$A$2,AJ$9,0)+IF(AJ$10=$A$2,AJ$11,0)-IF(AJ$12=$A$2,AJ$13,0)-IF(AJ$14=$A$2,AJ$15,0)-IF(AJ$16=$A$2,AJ$17,0)-IF(AJ$18=$A$2,AJ$19,0)-IF(AJ$20=$A$2,AJ$21,0)</f>
        <v>4856.6299999999992</v>
      </c>
      <c r="AK22" s="148">
        <f t="shared" ref="AK22" si="14">IF(AK$2=$A$2,AJ22+AK$3,AJ22)+IF(AK$4=$A$2,AK$5,0)+IF(AK$6=$A$2,AK$7,0)+IF(AK$8=$A$2,AK$9,0)+IF(AK$10=$A$2,AK$11,0)-IF(AK$12=$A$2,AK$13,0)-IF(AK$14=$A$2,AK$15,0)-IF(AK$16=$A$2,AK$17,0)-IF(AK$18=$A$2,AK$19,0)-IF(AK$20=$A$2,AK$21,0)</f>
        <v>4856.6299999999992</v>
      </c>
      <c r="AL22" s="148">
        <f t="shared" ref="AL22" si="15">IF(AL$2=$A$2,AK22+AL$3,AK22)+IF(AL$4=$A$2,AL$5,0)+IF(AL$6=$A$2,AL$7,0)+IF(AL$8=$A$2,AL$9,0)+IF(AL$10=$A$2,AL$11,0)-IF(AL$12=$A$2,AL$13,0)-IF(AL$14=$A$2,AL$15,0)-IF(AL$16=$A$2,AL$17,0)-IF(AL$18=$A$2,AL$19,0)-IF(AL$20=$A$2,AL$21,0)</f>
        <v>4856.6299999999992</v>
      </c>
      <c r="AM22" s="13"/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13617.210000000001</v>
      </c>
      <c r="I23" s="25">
        <f>IF(I$2=$B$2,H23+I$3,H23)+IF(I$4=$B$2,I$5,0)+IF(I$6=$B$2,I$7,0)+IF(I$8=$B$2,I$9,0)+IF(I$10=$B$2,I$11,0)-IF(I$12=$B$2,I$13,0)-IF(I$14=$B$2,I$15,0)-IF(I$16=$B$2,I$17,0)-IF(I$18=$B$2,I$19,0)-IF(I$20=$B$2,I$21,0)</f>
        <v>3053.2100000000009</v>
      </c>
      <c r="J23" s="25">
        <f>IF(J$2=$B$2,I23+J$3,I23)+IF(J$4=$B$2,J$5,0)+IF(J$6=$B$2,J$7,0)+IF(J$8=$B$2,J$9,0)+IF(J$10=$B$2,J$11,0)-IF(J$12=$B$2,J$13,0)-IF(J$14=$B$2,J$15,0)-IF(J$16=$B$2,J$17,0)-IF(J$18=$B$2,J$19,0)-IF(J$20=$B$2,J$21,0)</f>
        <v>3058.2100000000009</v>
      </c>
      <c r="K23" s="25">
        <f t="shared" ref="K23:X23" si="16">IF(K$2=$B$2,J23+K$3,J23)+IF(K$4=$B$2,K$5,0)+IF(K$6=$B$2,K$7,0)+IF(K$8=$B$2,K$9,0)+IF(K$10=$B$2,K$11,0)-IF(K$12=$B$2,K$13,0)-IF(K$14=$B$2,K$15,0)-IF(K$16=$B$2,K$17,0)-IF(K$18=$B$2,K$19,0)-IF(K$20=$B$2,K$21,0)</f>
        <v>3058.2100000000009</v>
      </c>
      <c r="L23" s="25">
        <f t="shared" si="16"/>
        <v>3058.2100000000009</v>
      </c>
      <c r="M23" s="25">
        <f t="shared" si="16"/>
        <v>3058.2100000000009</v>
      </c>
      <c r="N23" s="25">
        <f t="shared" si="16"/>
        <v>3058.2100000000009</v>
      </c>
      <c r="O23" s="25">
        <f t="shared" si="16"/>
        <v>2458.2100000000009</v>
      </c>
      <c r="P23" s="25">
        <f t="shared" si="16"/>
        <v>2458.2100000000009</v>
      </c>
      <c r="Q23" s="25">
        <f t="shared" si="16"/>
        <v>2438.2100000000009</v>
      </c>
      <c r="R23" s="25">
        <f t="shared" si="16"/>
        <v>2438.2100000000009</v>
      </c>
      <c r="S23" s="25">
        <f t="shared" si="16"/>
        <v>2438.2100000000009</v>
      </c>
      <c r="T23" s="25">
        <f t="shared" si="16"/>
        <v>2438.2100000000009</v>
      </c>
      <c r="U23" s="25">
        <f t="shared" si="16"/>
        <v>2438.2100000000009</v>
      </c>
      <c r="V23" s="25">
        <f t="shared" si="16"/>
        <v>2438.2100000000009</v>
      </c>
      <c r="W23" s="25">
        <f t="shared" si="16"/>
        <v>2280.170000000001</v>
      </c>
      <c r="X23" s="25">
        <f t="shared" si="16"/>
        <v>1210.3400000000011</v>
      </c>
      <c r="Y23" s="25">
        <f t="shared" ref="Y23" si="17">IF(Y$2=$B$2,X23+Y$3,X23)+IF(Y$4=$B$2,Y$5,0)+IF(Y$6=$B$2,Y$7,0)+IF(Y$8=$B$2,Y$9,0)+IF(Y$10=$B$2,Y$11,0)-IF(Y$12=$B$2,Y$13,0)-IF(Y$14=$B$2,Y$15,0)-IF(Y$16=$B$2,Y$17,0)-IF(Y$18=$B$2,Y$19,0)-IF(Y$20=$B$2,Y$21,0)</f>
        <v>1210.3400000000011</v>
      </c>
      <c r="Z23" s="25">
        <f t="shared" ref="Z23" si="18">IF(Z$2=$B$2,Y23+Z$3,Y23)+IF(Z$4=$B$2,Z$5,0)+IF(Z$6=$B$2,Z$7,0)+IF(Z$8=$B$2,Z$9,0)+IF(Z$10=$B$2,Z$11,0)-IF(Z$12=$B$2,Z$13,0)-IF(Z$14=$B$2,Z$15,0)-IF(Z$16=$B$2,Z$17,0)-IF(Z$18=$B$2,Z$19,0)-IF(Z$20=$B$2,Z$21,0)</f>
        <v>1210.3400000000011</v>
      </c>
      <c r="AA23" s="25">
        <f t="shared" ref="AA23" si="19">IF(AA$2=$B$2,Z23+AA$3,Z23)+IF(AA$4=$B$2,AA$5,0)+IF(AA$6=$B$2,AA$7,0)+IF(AA$8=$B$2,AA$9,0)+IF(AA$10=$B$2,AA$11,0)-IF(AA$12=$B$2,AA$13,0)-IF(AA$14=$B$2,AA$15,0)-IF(AA$16=$B$2,AA$17,0)-IF(AA$18=$B$2,AA$19,0)-IF(AA$20=$B$2,AA$21,0)</f>
        <v>1015.6500000000011</v>
      </c>
      <c r="AB23" s="25">
        <f t="shared" ref="AB23" si="20">IF(AB$2=$B$2,AA23+AB$3,AA23)+IF(AB$4=$B$2,AB$5,0)+IF(AB$6=$B$2,AB$7,0)+IF(AB$8=$B$2,AB$9,0)+IF(AB$10=$B$2,AB$11,0)-IF(AB$12=$B$2,AB$13,0)-IF(AB$14=$B$2,AB$15,0)-IF(AB$16=$B$2,AB$17,0)-IF(AB$18=$B$2,AB$19,0)-IF(AB$20=$B$2,AB$21,0)</f>
        <v>1015.6500000000011</v>
      </c>
      <c r="AC23" s="25">
        <f t="shared" ref="AC23" si="21">IF(AC$2=$B$2,AB23+AC$3,AB23)+IF(AC$4=$B$2,AC$5,0)+IF(AC$6=$B$2,AC$7,0)+IF(AC$8=$B$2,AC$9,0)+IF(AC$10=$B$2,AC$11,0)-IF(AC$12=$B$2,AC$13,0)-IF(AC$14=$B$2,AC$15,0)-IF(AC$16=$B$2,AC$17,0)-IF(AC$18=$B$2,AC$19,0)-IF(AC$20=$B$2,AC$21,0)</f>
        <v>1015.6500000000011</v>
      </c>
      <c r="AD23" s="25">
        <f t="shared" ref="AD23" si="22">IF(AD$2=$B$2,AC23+AD$3,AC23)+IF(AD$4=$B$2,AD$5,0)+IF(AD$6=$B$2,AD$7,0)+IF(AD$8=$B$2,AD$9,0)+IF(AD$10=$B$2,AD$11,0)-IF(AD$12=$B$2,AD$13,0)-IF(AD$14=$B$2,AD$15,0)-IF(AD$16=$B$2,AD$17,0)-IF(AD$18=$B$2,AD$19,0)-IF(AD$20=$B$2,AD$21,0)</f>
        <v>1015.6500000000011</v>
      </c>
      <c r="AE23" s="25">
        <f t="shared" ref="AE23" si="23">IF(AE$2=$B$2,AD23+AE$3,AD23)+IF(AE$4=$B$2,AE$5,0)+IF(AE$6=$B$2,AE$7,0)+IF(AE$8=$B$2,AE$9,0)+IF(AE$10=$B$2,AE$11,0)-IF(AE$12=$B$2,AE$13,0)-IF(AE$14=$B$2,AE$15,0)-IF(AE$16=$B$2,AE$17,0)-IF(AE$18=$B$2,AE$19,0)-IF(AE$20=$B$2,AE$21,0)</f>
        <v>1015.6500000000011</v>
      </c>
      <c r="AF23" s="25">
        <f t="shared" ref="AF23" si="24">IF(AF$2=$B$2,AE23+AF$3,AE23)+IF(AF$4=$B$2,AF$5,0)+IF(AF$6=$B$2,AF$7,0)+IF(AF$8=$B$2,AF$9,0)+IF(AF$10=$B$2,AF$11,0)-IF(AF$12=$B$2,AF$13,0)-IF(AF$14=$B$2,AF$15,0)-IF(AF$16=$B$2,AF$17,0)-IF(AF$18=$B$2,AF$19,0)-IF(AF$20=$B$2,AF$21,0)</f>
        <v>1104.2800000000009</v>
      </c>
      <c r="AG23" s="25">
        <f t="shared" ref="AG23" si="25">IF(AG$2=$B$2,AF23+AG$3,AF23)+IF(AG$4=$B$2,AG$5,0)+IF(AG$6=$B$2,AG$7,0)+IF(AG$8=$B$2,AG$9,0)+IF(AG$10=$B$2,AG$11,0)-IF(AG$12=$B$2,AG$13,0)-IF(AG$14=$B$2,AG$15,0)-IF(AG$16=$B$2,AG$17,0)-IF(AG$18=$B$2,AG$19,0)-IF(AG$20=$B$2,AG$21,0)</f>
        <v>1104.2800000000009</v>
      </c>
      <c r="AH23" s="25">
        <f t="shared" ref="AH23" si="26">IF(AH$2=$B$2,AG23+AH$3,AG23)+IF(AH$4=$B$2,AH$5,0)+IF(AH$6=$B$2,AH$7,0)+IF(AH$8=$B$2,AH$9,0)+IF(AH$10=$B$2,AH$11,0)-IF(AH$12=$B$2,AH$13,0)-IF(AH$14=$B$2,AH$15,0)-IF(AH$16=$B$2,AH$17,0)-IF(AH$18=$B$2,AH$19,0)-IF(AH$20=$B$2,AH$21,0)</f>
        <v>1114.2800000000009</v>
      </c>
      <c r="AI23" s="25">
        <f t="shared" ref="AI23" si="27">IF(AI$2=$B$2,AH23+AI$3,AH23)+IF(AI$4=$B$2,AI$5,0)+IF(AI$6=$B$2,AI$7,0)+IF(AI$8=$B$2,AI$9,0)+IF(AI$10=$B$2,AI$11,0)-IF(AI$12=$B$2,AI$13,0)-IF(AI$14=$B$2,AI$15,0)-IF(AI$16=$B$2,AI$17,0)-IF(AI$18=$B$2,AI$19,0)-IF(AI$20=$B$2,AI$21,0)</f>
        <v>1019.790000000001</v>
      </c>
      <c r="AJ23" s="25">
        <f t="shared" ref="AJ23" si="28">IF(AJ$2=$B$2,AI23+AJ$3,AI23)+IF(AJ$4=$B$2,AJ$5,0)+IF(AJ$6=$B$2,AJ$7,0)+IF(AJ$8=$B$2,AJ$9,0)+IF(AJ$10=$B$2,AJ$11,0)-IF(AJ$12=$B$2,AJ$13,0)-IF(AJ$14=$B$2,AJ$15,0)-IF(AJ$16=$B$2,AJ$17,0)-IF(AJ$18=$B$2,AJ$19,0)-IF(AJ$20=$B$2,AJ$21,0)</f>
        <v>1019.790000000001</v>
      </c>
      <c r="AK23" s="25">
        <f t="shared" ref="AK23" si="29">IF(AK$2=$B$2,AJ23+AK$3,AJ23)+IF(AK$4=$B$2,AK$5,0)+IF(AK$6=$B$2,AK$7,0)+IF(AK$8=$B$2,AK$9,0)+IF(AK$10=$B$2,AK$11,0)-IF(AK$12=$B$2,AK$13,0)-IF(AK$14=$B$2,AK$15,0)-IF(AK$16=$B$2,AK$17,0)-IF(AK$18=$B$2,AK$19,0)-IF(AK$20=$B$2,AK$21,0)</f>
        <v>949.70000000000095</v>
      </c>
      <c r="AL23" s="25">
        <f t="shared" ref="AL23" si="30">IF(AL$2=$B$2,AK23+AL$3,AK23)+IF(AL$4=$B$2,AL$5,0)+IF(AL$6=$B$2,AL$7,0)+IF(AL$8=$B$2,AL$9,0)+IF(AL$10=$B$2,AL$11,0)-IF(AL$12=$B$2,AL$13,0)-IF(AL$14=$B$2,AL$15,0)-IF(AL$16=$B$2,AL$17,0)-IF(AL$18=$B$2,AL$19,0)-IF(AL$20=$B$2,AL$21,0)</f>
        <v>949.70000000000095</v>
      </c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20</v>
      </c>
      <c r="I24" s="29">
        <f>IF(I$2=$C$2,H24+I$3,H24)+IF(I$4=$C$2,I$5,0)+IF(I$6=$C$2,I$7,0)+IF(I$8=$C$2,I$9,0)+IF(I$10=$C$2,I$11,0)-IF(I$12=$C$2,I$13,0)-IF(I$14=$C$2,I$15,0)-IF(I$16=$C$2,I$17,0)-IF(I$18=$C$2,I$19,0)-IF(I$20=$C$2,I$21,0)</f>
        <v>20</v>
      </c>
      <c r="J24" s="29">
        <f>IF(J$2=$C$2,I24+J$3,I24)+IF(J$4=$C$2,J$5,0)+IF(J$6=$C$2,J$7,0)+IF(J$8=$C$2,J$9,0)+IF(J$10=$C$2,J$11,0)-IF(J$12=$C$2,J$13,0)-IF(J$14=$C$2,J$15,0)-IF(J$16=$C$2,J$17,0)-IF(J$18=$C$2,J$19,0)-IF(J$20=$C$2,J$21,0)</f>
        <v>15</v>
      </c>
      <c r="K24" s="29">
        <f t="shared" ref="K24:X24" si="31">IF(K$2=$C$2,J24+K$3,J24)+IF(K$4=$C$2,K$5,0)+IF(K$6=$C$2,K$7,0)+IF(K$8=$C$2,K$9,0)+IF(K$10=$C$2,K$11,0)-IF(K$12=$C$2,K$13,0)-IF(K$14=$C$2,K$15,0)-IF(K$16=$C$2,K$17,0)-IF(K$18=$C$2,K$19,0)-IF(K$20=$C$2,K$21,0)</f>
        <v>15</v>
      </c>
      <c r="L24" s="29">
        <f t="shared" si="31"/>
        <v>15</v>
      </c>
      <c r="M24" s="29">
        <f t="shared" si="31"/>
        <v>15</v>
      </c>
      <c r="N24" s="29">
        <f t="shared" si="31"/>
        <v>15</v>
      </c>
      <c r="O24" s="29">
        <f t="shared" si="31"/>
        <v>15</v>
      </c>
      <c r="P24" s="29">
        <f t="shared" si="31"/>
        <v>15</v>
      </c>
      <c r="Q24" s="29">
        <f t="shared" si="31"/>
        <v>65</v>
      </c>
      <c r="R24" s="29">
        <f t="shared" si="31"/>
        <v>65</v>
      </c>
      <c r="S24" s="29">
        <f t="shared" si="31"/>
        <v>65</v>
      </c>
      <c r="T24" s="29">
        <f t="shared" si="31"/>
        <v>80</v>
      </c>
      <c r="U24" s="29">
        <f t="shared" si="31"/>
        <v>80</v>
      </c>
      <c r="V24" s="29">
        <f t="shared" si="31"/>
        <v>80</v>
      </c>
      <c r="W24" s="29">
        <f t="shared" si="31"/>
        <v>80</v>
      </c>
      <c r="X24" s="29">
        <f t="shared" si="31"/>
        <v>80</v>
      </c>
      <c r="Y24" s="29">
        <f t="shared" ref="Y24" si="32">IF(Y$2=$C$2,X24+Y$3,X24)+IF(Y$4=$C$2,Y$5,0)+IF(Y$6=$C$2,Y$7,0)+IF(Y$8=$C$2,Y$9,0)+IF(Y$10=$C$2,Y$11,0)-IF(Y$12=$C$2,Y$13,0)-IF(Y$14=$C$2,Y$15,0)-IF(Y$16=$C$2,Y$17,0)-IF(Y$18=$C$2,Y$19,0)-IF(Y$20=$C$2,Y$21,0)</f>
        <v>80</v>
      </c>
      <c r="Z24" s="29">
        <f t="shared" ref="Z24" si="33">IF(Z$2=$C$2,Y24+Z$3,Y24)+IF(Z$4=$C$2,Z$5,0)+IF(Z$6=$C$2,Z$7,0)+IF(Z$8=$C$2,Z$9,0)+IF(Z$10=$C$2,Z$11,0)-IF(Z$12=$C$2,Z$13,0)-IF(Z$14=$C$2,Z$15,0)-IF(Z$16=$C$2,Z$17,0)-IF(Z$18=$C$2,Z$19,0)-IF(Z$20=$C$2,Z$21,0)</f>
        <v>80</v>
      </c>
      <c r="AA24" s="29">
        <f t="shared" ref="AA24" si="34">IF(AA$2=$C$2,Z24+AA$3,Z24)+IF(AA$4=$C$2,AA$5,0)+IF(AA$6=$C$2,AA$7,0)+IF(AA$8=$C$2,AA$9,0)+IF(AA$10=$C$2,AA$11,0)-IF(AA$12=$C$2,AA$13,0)-IF(AA$14=$C$2,AA$15,0)-IF(AA$16=$C$2,AA$17,0)-IF(AA$18=$C$2,AA$19,0)-IF(AA$20=$C$2,AA$21,0)</f>
        <v>180</v>
      </c>
      <c r="AB24" s="29">
        <f t="shared" ref="AB24" si="35">IF(AB$2=$C$2,AA24+AB$3,AA24)+IF(AB$4=$C$2,AB$5,0)+IF(AB$6=$C$2,AB$7,0)+IF(AB$8=$C$2,AB$9,0)+IF(AB$10=$C$2,AB$11,0)-IF(AB$12=$C$2,AB$13,0)-IF(AB$14=$C$2,AB$15,0)-IF(AB$16=$C$2,AB$17,0)-IF(AB$18=$C$2,AB$19,0)-IF(AB$20=$C$2,AB$21,0)</f>
        <v>134</v>
      </c>
      <c r="AC24" s="29">
        <f t="shared" ref="AC24" si="36">IF(AC$2=$C$2,AB24+AC$3,AB24)+IF(AC$4=$C$2,AC$5,0)+IF(AC$6=$C$2,AC$7,0)+IF(AC$8=$C$2,AC$9,0)+IF(AC$10=$C$2,AC$11,0)-IF(AC$12=$C$2,AC$13,0)-IF(AC$14=$C$2,AC$15,0)-IF(AC$16=$C$2,AC$17,0)-IF(AC$18=$C$2,AC$19,0)-IF(AC$20=$C$2,AC$21,0)</f>
        <v>134</v>
      </c>
      <c r="AD24" s="29">
        <f t="shared" ref="AD24" si="37">IF(AD$2=$C$2,AC24+AD$3,AC24)+IF(AD$4=$C$2,AD$5,0)+IF(AD$6=$C$2,AD$7,0)+IF(AD$8=$C$2,AD$9,0)+IF(AD$10=$C$2,AD$11,0)-IF(AD$12=$C$2,AD$13,0)-IF(AD$14=$C$2,AD$15,0)-IF(AD$16=$C$2,AD$17,0)-IF(AD$18=$C$2,AD$19,0)-IF(AD$20=$C$2,AD$21,0)</f>
        <v>134</v>
      </c>
      <c r="AE24" s="29">
        <f t="shared" ref="AE24" si="38">IF(AE$2=$C$2,AD24+AE$3,AD24)+IF(AE$4=$C$2,AE$5,0)+IF(AE$6=$C$2,AE$7,0)+IF(AE$8=$C$2,AE$9,0)+IF(AE$10=$C$2,AE$11,0)-IF(AE$12=$C$2,AE$13,0)-IF(AE$14=$C$2,AE$15,0)-IF(AE$16=$C$2,AE$17,0)-IF(AE$18=$C$2,AE$19,0)-IF(AE$20=$C$2,AE$21,0)</f>
        <v>134</v>
      </c>
      <c r="AF24" s="29">
        <f t="shared" ref="AF24" si="39">IF(AF$2=$C$2,AE24+AF$3,AE24)+IF(AF$4=$C$2,AF$5,0)+IF(AF$6=$C$2,AF$7,0)+IF(AF$8=$C$2,AF$9,0)+IF(AF$10=$C$2,AF$11,0)-IF(AF$12=$C$2,AF$13,0)-IF(AF$14=$C$2,AF$15,0)-IF(AF$16=$C$2,AF$17,0)-IF(AF$18=$C$2,AF$19,0)-IF(AF$20=$C$2,AF$21,0)</f>
        <v>134</v>
      </c>
      <c r="AG24" s="29">
        <f t="shared" ref="AG24" si="40">IF(AG$2=$C$2,AF24+AG$3,AF24)+IF(AG$4=$C$2,AG$5,0)+IF(AG$6=$C$2,AG$7,0)+IF(AG$8=$C$2,AG$9,0)+IF(AG$10=$C$2,AG$11,0)-IF(AG$12=$C$2,AG$13,0)-IF(AG$14=$C$2,AG$15,0)-IF(AG$16=$C$2,AG$17,0)-IF(AG$18=$C$2,AG$19,0)-IF(AG$20=$C$2,AG$21,0)</f>
        <v>134</v>
      </c>
      <c r="AH24" s="29">
        <f t="shared" ref="AH24" si="41">IF(AH$2=$C$2,AG24+AH$3,AG24)+IF(AH$4=$C$2,AH$5,0)+IF(AH$6=$C$2,AH$7,0)+IF(AH$8=$C$2,AH$9,0)+IF(AH$10=$C$2,AH$11,0)-IF(AH$12=$C$2,AH$13,0)-IF(AH$14=$C$2,AH$15,0)-IF(AH$16=$C$2,AH$17,0)-IF(AH$18=$C$2,AH$19,0)-IF(AH$20=$C$2,AH$21,0)</f>
        <v>45</v>
      </c>
      <c r="AI24" s="29">
        <f t="shared" ref="AI24" si="42">IF(AI$2=$C$2,AH24+AI$3,AH24)+IF(AI$4=$C$2,AI$5,0)+IF(AI$6=$C$2,AI$7,0)+IF(AI$8=$C$2,AI$9,0)+IF(AI$10=$C$2,AI$11,0)-IF(AI$12=$C$2,AI$13,0)-IF(AI$14=$C$2,AI$15,0)-IF(AI$16=$C$2,AI$17,0)-IF(AI$18=$C$2,AI$19,0)-IF(AI$20=$C$2,AI$21,0)</f>
        <v>45</v>
      </c>
      <c r="AJ24" s="29">
        <f t="shared" ref="AJ24" si="43">IF(AJ$2=$C$2,AI24+AJ$3,AI24)+IF(AJ$4=$C$2,AJ$5,0)+IF(AJ$6=$C$2,AJ$7,0)+IF(AJ$8=$C$2,AJ$9,0)+IF(AJ$10=$C$2,AJ$11,0)-IF(AJ$12=$C$2,AJ$13,0)-IF(AJ$14=$C$2,AJ$15,0)-IF(AJ$16=$C$2,AJ$17,0)-IF(AJ$18=$C$2,AJ$19,0)-IF(AJ$20=$C$2,AJ$21,0)</f>
        <v>45</v>
      </c>
      <c r="AK24" s="29">
        <f t="shared" ref="AK24" si="44">IF(AK$2=$C$2,AJ24+AK$3,AJ24)+IF(AK$4=$C$2,AK$5,0)+IF(AK$6=$C$2,AK$7,0)+IF(AK$8=$C$2,AK$9,0)+IF(AK$10=$C$2,AK$11,0)-IF(AK$12=$C$2,AK$13,0)-IF(AK$14=$C$2,AK$15,0)-IF(AK$16=$C$2,AK$17,0)-IF(AK$18=$C$2,AK$19,0)-IF(AK$20=$C$2,AK$21,0)</f>
        <v>45</v>
      </c>
      <c r="AL24" s="29">
        <f t="shared" ref="AL24" si="45">IF(AL$2=$C$2,AK24+AL$3,AK24)+IF(AL$4=$C$2,AL$5,0)+IF(AL$6=$C$2,AL$7,0)+IF(AL$8=$C$2,AL$9,0)+IF(AL$10=$C$2,AL$11,0)-IF(AL$12=$C$2,AL$13,0)-IF(AL$14=$C$2,AL$15,0)-IF(AL$16=$C$2,AL$17,0)-IF(AL$18=$C$2,AL$19,0)-IF(AL$20=$C$2,AL$21,0)</f>
        <v>45</v>
      </c>
    </row>
    <row r="25" spans="1:39" ht="18" customHeight="1">
      <c r="G25" s="302"/>
      <c r="H25" s="111">
        <f>IF(H$2=$D$2,D3+H$3,D3)+IF(H$4=$D$2,H$5,0)+IF(H$6=$D$2,H$7,0)+IF(H$8=$D$2,H$9,0)+IF(H$10=$D$2,H$11,0)-IF(H$12=$D$2,H$13,0)-IF(H$14=$D$2,H$15,0)-IF(H$16=$D$2,H$17,0)-IF(H$18=$D$2,H$19,0)-IF(H$20=$D$2,H$21,0)</f>
        <v>456.88000000000005</v>
      </c>
      <c r="I25" s="28">
        <f>IF(I$2=$D$2,H25+I$3,H25)+IF(I$4=$D$2,I$5,0)+IF(I$6=$D$2,I$7,0)+IF(I$8=$D$2,I$9,0)+IF(I$10=$D$2,I$11,0)-IF(I$12=$D$2,I$13,0)-IF(I$14=$D$2,I$15,0)-IF(I$16=$D$2,I$17,0)-IF(I$18=$D$2,I$19,0)-IF(I$20=$D$2,I$21,0)</f>
        <v>325.58000000000004</v>
      </c>
      <c r="J25" s="28">
        <f>IF(J$2=$D$2,I25+J$3,I25)+IF(J$4=$D$2,J$5,0)+IF(J$6=$D$2,J$7,0)+IF(J$8=$D$2,J$9,0)+IF(J$10=$D$2,J$11,0)-IF(J$12=$D$2,J$13,0)-IF(J$14=$D$2,J$15,0)-IF(J$16=$D$2,J$17,0)-IF(J$18=$D$2,J$19,0)-IF(J$20=$D$2,J$21,0)</f>
        <v>325.58000000000004</v>
      </c>
      <c r="K25" s="28">
        <f t="shared" ref="K25:X25" si="46">IF(K$2=$D$2,J25+K$3,J25)+IF(K$4=$D$2,K$5,0)+IF(K$6=$D$2,K$7,0)+IF(K$8=$D$2,K$9,0)+IF(K$10=$D$2,K$11,0)-IF(K$12=$D$2,K$13,0)-IF(K$14=$D$2,K$15,0)-IF(K$16=$D$2,K$17,0)-IF(K$18=$D$2,K$19,0)-IF(K$20=$D$2,K$21,0)</f>
        <v>325.58000000000004</v>
      </c>
      <c r="L25" s="28">
        <f t="shared" si="46"/>
        <v>721.58</v>
      </c>
      <c r="M25" s="28">
        <f t="shared" si="46"/>
        <v>721.58</v>
      </c>
      <c r="N25" s="28">
        <f t="shared" si="46"/>
        <v>721.58</v>
      </c>
      <c r="O25" s="28">
        <f t="shared" si="46"/>
        <v>721.58</v>
      </c>
      <c r="P25" s="28">
        <f t="shared" si="46"/>
        <v>721.58</v>
      </c>
      <c r="Q25" s="28">
        <f t="shared" si="46"/>
        <v>608.94000000000005</v>
      </c>
      <c r="R25" s="28">
        <f t="shared" si="46"/>
        <v>608.94000000000005</v>
      </c>
      <c r="S25" s="28">
        <f t="shared" si="46"/>
        <v>608.94000000000005</v>
      </c>
      <c r="T25" s="28">
        <f t="shared" si="46"/>
        <v>608.94000000000005</v>
      </c>
      <c r="U25" s="28">
        <f t="shared" si="46"/>
        <v>608.94000000000005</v>
      </c>
      <c r="V25" s="28">
        <f t="shared" si="46"/>
        <v>608.94000000000005</v>
      </c>
      <c r="W25" s="28">
        <f t="shared" si="46"/>
        <v>418.94000000000005</v>
      </c>
      <c r="X25" s="28">
        <f t="shared" si="46"/>
        <v>418.94000000000005</v>
      </c>
      <c r="Y25" s="28">
        <f t="shared" ref="Y25" si="47">IF(Y$2=$D$2,X25+Y$3,X25)+IF(Y$4=$D$2,Y$5,0)+IF(Y$6=$D$2,Y$7,0)+IF(Y$8=$D$2,Y$9,0)+IF(Y$10=$D$2,Y$11,0)-IF(Y$12=$D$2,Y$13,0)-IF(Y$14=$D$2,Y$15,0)-IF(Y$16=$D$2,Y$17,0)-IF(Y$18=$D$2,Y$19,0)-IF(Y$20=$D$2,Y$21,0)</f>
        <v>418.94000000000005</v>
      </c>
      <c r="Z25" s="28">
        <f t="shared" ref="Z25" si="48">IF(Z$2=$D$2,Y25+Z$3,Y25)+IF(Z$4=$D$2,Z$5,0)+IF(Z$6=$D$2,Z$7,0)+IF(Z$8=$D$2,Z$9,0)+IF(Z$10=$D$2,Z$11,0)-IF(Z$12=$D$2,Z$13,0)-IF(Z$14=$D$2,Z$15,0)-IF(Z$16=$D$2,Z$17,0)-IF(Z$18=$D$2,Z$19,0)-IF(Z$20=$D$2,Z$21,0)</f>
        <v>418.94000000000005</v>
      </c>
      <c r="AA25" s="28">
        <f t="shared" ref="AA25" si="49">IF(AA$2=$D$2,Z25+AA$3,Z25)+IF(AA$4=$D$2,AA$5,0)+IF(AA$6=$D$2,AA$7,0)+IF(AA$8=$D$2,AA$9,0)+IF(AA$10=$D$2,AA$11,0)-IF(AA$12=$D$2,AA$13,0)-IF(AA$14=$D$2,AA$15,0)-IF(AA$16=$D$2,AA$17,0)-IF(AA$18=$D$2,AA$19,0)-IF(AA$20=$D$2,AA$21,0)</f>
        <v>418.94000000000005</v>
      </c>
      <c r="AB25" s="28">
        <f t="shared" ref="AB25" si="50">IF(AB$2=$D$2,AA25+AB$3,AA25)+IF(AB$4=$D$2,AB$5,0)+IF(AB$6=$D$2,AB$7,0)+IF(AB$8=$D$2,AB$9,0)+IF(AB$10=$D$2,AB$11,0)-IF(AB$12=$D$2,AB$13,0)-IF(AB$14=$D$2,AB$15,0)-IF(AB$16=$D$2,AB$17,0)-IF(AB$18=$D$2,AB$19,0)-IF(AB$20=$D$2,AB$21,0)</f>
        <v>418.94000000000005</v>
      </c>
      <c r="AC25" s="28">
        <f t="shared" ref="AC25" si="51">IF(AC$2=$D$2,AB25+AC$3,AB25)+IF(AC$4=$D$2,AC$5,0)+IF(AC$6=$D$2,AC$7,0)+IF(AC$8=$D$2,AC$9,0)+IF(AC$10=$D$2,AC$11,0)-IF(AC$12=$D$2,AC$13,0)-IF(AC$14=$D$2,AC$15,0)-IF(AC$16=$D$2,AC$17,0)-IF(AC$18=$D$2,AC$19,0)-IF(AC$20=$D$2,AC$21,0)</f>
        <v>418.94000000000005</v>
      </c>
      <c r="AD25" s="28">
        <f t="shared" ref="AD25" si="52">IF(AD$2=$D$2,AC25+AD$3,AC25)+IF(AD$4=$D$2,AD$5,0)+IF(AD$6=$D$2,AD$7,0)+IF(AD$8=$D$2,AD$9,0)+IF(AD$10=$D$2,AD$11,0)-IF(AD$12=$D$2,AD$13,0)-IF(AD$14=$D$2,AD$15,0)-IF(AD$16=$D$2,AD$17,0)-IF(AD$18=$D$2,AD$19,0)-IF(AD$20=$D$2,AD$21,0)</f>
        <v>418.94000000000005</v>
      </c>
      <c r="AE25" s="28">
        <f t="shared" ref="AE25" si="53">IF(AE$2=$D$2,AD25+AE$3,AD25)+IF(AE$4=$D$2,AE$5,0)+IF(AE$6=$D$2,AE$7,0)+IF(AE$8=$D$2,AE$9,0)+IF(AE$10=$D$2,AE$11,0)-IF(AE$12=$D$2,AE$13,0)-IF(AE$14=$D$2,AE$15,0)-IF(AE$16=$D$2,AE$17,0)-IF(AE$18=$D$2,AE$19,0)-IF(AE$20=$D$2,AE$21,0)</f>
        <v>418.94000000000005</v>
      </c>
      <c r="AF25" s="28">
        <f t="shared" ref="AF25" si="54">IF(AF$2=$D$2,AE25+AF$3,AE25)+IF(AF$4=$D$2,AF$5,0)+IF(AF$6=$D$2,AF$7,0)+IF(AF$8=$D$2,AF$9,0)+IF(AF$10=$D$2,AF$11,0)-IF(AF$12=$D$2,AF$13,0)-IF(AF$14=$D$2,AF$15,0)-IF(AF$16=$D$2,AF$17,0)-IF(AF$18=$D$2,AF$19,0)-IF(AF$20=$D$2,AF$21,0)</f>
        <v>418.94000000000005</v>
      </c>
      <c r="AG25" s="28">
        <f t="shared" ref="AG25" si="55">IF(AG$2=$D$2,AF25+AG$3,AF25)+IF(AG$4=$D$2,AG$5,0)+IF(AG$6=$D$2,AG$7,0)+IF(AG$8=$D$2,AG$9,0)+IF(AG$10=$D$2,AG$11,0)-IF(AG$12=$D$2,AG$13,0)-IF(AG$14=$D$2,AG$15,0)-IF(AG$16=$D$2,AG$17,0)-IF(AG$18=$D$2,AG$19,0)-IF(AG$20=$D$2,AG$21,0)</f>
        <v>305.15000000000003</v>
      </c>
      <c r="AH25" s="28">
        <f t="shared" ref="AH25" si="56">IF(AH$2=$D$2,AG25+AH$3,AG25)+IF(AH$4=$D$2,AH$5,0)+IF(AH$6=$D$2,AH$7,0)+IF(AH$8=$D$2,AH$9,0)+IF(AH$10=$D$2,AH$11,0)-IF(AH$12=$D$2,AH$13,0)-IF(AH$14=$D$2,AH$15,0)-IF(AH$16=$D$2,AH$17,0)-IF(AH$18=$D$2,AH$19,0)-IF(AH$20=$D$2,AH$21,0)</f>
        <v>305.15000000000003</v>
      </c>
      <c r="AI25" s="28">
        <f t="shared" ref="AI25" si="57">IF(AI$2=$D$2,AH25+AI$3,AH25)+IF(AI$4=$D$2,AI$5,0)+IF(AI$6=$D$2,AI$7,0)+IF(AI$8=$D$2,AI$9,0)+IF(AI$10=$D$2,AI$11,0)-IF(AI$12=$D$2,AI$13,0)-IF(AI$14=$D$2,AI$15,0)-IF(AI$16=$D$2,AI$17,0)-IF(AI$18=$D$2,AI$19,0)-IF(AI$20=$D$2,AI$21,0)</f>
        <v>725.15000000000009</v>
      </c>
      <c r="AJ25" s="28">
        <f t="shared" ref="AJ25" si="58">IF(AJ$2=$D$2,AI25+AJ$3,AI25)+IF(AJ$4=$D$2,AJ$5,0)+IF(AJ$6=$D$2,AJ$7,0)+IF(AJ$8=$D$2,AJ$9,0)+IF(AJ$10=$D$2,AJ$11,0)-IF(AJ$12=$D$2,AJ$13,0)-IF(AJ$14=$D$2,AJ$15,0)-IF(AJ$16=$D$2,AJ$17,0)-IF(AJ$18=$D$2,AJ$19,0)-IF(AJ$20=$D$2,AJ$21,0)</f>
        <v>725.15000000000009</v>
      </c>
      <c r="AK25" s="28">
        <f t="shared" ref="AK25" si="59">IF(AK$2=$D$2,AJ25+AK$3,AJ25)+IF(AK$4=$D$2,AK$5,0)+IF(AK$6=$D$2,AK$7,0)+IF(AK$8=$D$2,AK$9,0)+IF(AK$10=$D$2,AK$11,0)-IF(AK$12=$D$2,AK$13,0)-IF(AK$14=$D$2,AK$15,0)-IF(AK$16=$D$2,AK$17,0)-IF(AK$18=$D$2,AK$19,0)-IF(AK$20=$D$2,AK$21,0)</f>
        <v>470.71000000000009</v>
      </c>
      <c r="AL25" s="28">
        <f t="shared" ref="AL25" si="60">IF(AL$2=$D$2,AK25+AL$3,AK25)+IF(AL$4=$D$2,AL$5,0)+IF(AL$6=$D$2,AL$7,0)+IF(AL$8=$D$2,AL$9,0)+IF(AL$10=$D$2,AL$11,0)-IF(AL$12=$D$2,AL$13,0)-IF(AL$14=$D$2,AL$15,0)-IF(AL$16=$D$2,AL$17,0)-IF(AL$18=$D$2,AL$19,0)-IF(AL$20=$D$2,AL$21,0)</f>
        <v>470.71000000000009</v>
      </c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18825.560000000001</v>
      </c>
      <c r="I26" s="28">
        <f>IF(I$2=$E$2,H26+I$3,H26)+IF(I$4=$E$2,I$5,0)+IF(I$6=$E$2,I$7,0)+IF(I$8=$E$2,I$9,0)+IF(I$10=$E$2,I$11,0)-IF(I$12=$E$2,I$13,0)-IF(I$14=$E$2,I$15,0)-IF(I$16=$E$2,I$17,0)-IF(I$18=$E$2,I$19,0)-IF(I$20=$E$2,I$21,0)</f>
        <v>18825.560000000001</v>
      </c>
      <c r="J26" s="28">
        <f>IF(J$2=$E$2,I26+J$3,I26)+IF(J$4=$E$2,J$5,0)+IF(J$6=$E$2,J$7,0)+IF(J$8=$E$2,J$9,0)+IF(J$10=$E$2,J$11,0)-IF(J$12=$E$2,J$13,0)-IF(J$14=$E$2,J$15,0)-IF(J$16=$E$2,J$17,0)-IF(J$18=$E$2,J$19,0)-IF(J$20=$E$2,J$21,0)</f>
        <v>18825.560000000001</v>
      </c>
      <c r="K26" s="28">
        <f t="shared" ref="K26:X26" si="61">IF(K$2=$E$2,J26+K$3,J26)+IF(K$4=$E$2,K$5,0)+IF(K$6=$E$2,K$7,0)+IF(K$8=$E$2,K$9,0)+IF(K$10=$E$2,K$11,0)-IF(K$12=$E$2,K$13,0)-IF(K$14=$E$2,K$15,0)-IF(K$16=$E$2,K$17,0)-IF(K$18=$E$2,K$19,0)-IF(K$20=$E$2,K$21,0)</f>
        <v>18825.560000000001</v>
      </c>
      <c r="L26" s="28">
        <f t="shared" si="61"/>
        <v>18825.560000000001</v>
      </c>
      <c r="M26" s="28">
        <f t="shared" si="61"/>
        <v>18825.560000000001</v>
      </c>
      <c r="N26" s="28">
        <f t="shared" si="61"/>
        <v>18825.560000000001</v>
      </c>
      <c r="O26" s="28">
        <f t="shared" si="61"/>
        <v>18825.560000000001</v>
      </c>
      <c r="P26" s="28">
        <f t="shared" si="61"/>
        <v>18825.560000000001</v>
      </c>
      <c r="Q26" s="28">
        <f t="shared" si="61"/>
        <v>18825.560000000001</v>
      </c>
      <c r="R26" s="28">
        <f t="shared" si="61"/>
        <v>18825.560000000001</v>
      </c>
      <c r="S26" s="28">
        <f t="shared" si="61"/>
        <v>18825.560000000001</v>
      </c>
      <c r="T26" s="28">
        <f t="shared" si="61"/>
        <v>18825.560000000001</v>
      </c>
      <c r="U26" s="28">
        <f t="shared" si="61"/>
        <v>18825.560000000001</v>
      </c>
      <c r="V26" s="28">
        <f t="shared" si="61"/>
        <v>18823.560000000001</v>
      </c>
      <c r="W26" s="28">
        <f t="shared" si="61"/>
        <v>18823.560000000001</v>
      </c>
      <c r="X26" s="28">
        <f t="shared" si="61"/>
        <v>18823.560000000001</v>
      </c>
      <c r="Y26" s="28">
        <f t="shared" ref="Y26" si="62">IF(Y$2=$E$2,X26+Y$3,X26)+IF(Y$4=$E$2,Y$5,0)+IF(Y$6=$E$2,Y$7,0)+IF(Y$8=$E$2,Y$9,0)+IF(Y$10=$E$2,Y$11,0)-IF(Y$12=$E$2,Y$13,0)-IF(Y$14=$E$2,Y$15,0)-IF(Y$16=$E$2,Y$17,0)-IF(Y$18=$E$2,Y$19,0)-IF(Y$20=$E$2,Y$21,0)</f>
        <v>18823.560000000001</v>
      </c>
      <c r="Z26" s="28">
        <f t="shared" ref="Z26" si="63">IF(Z$2=$E$2,Y26+Z$3,Y26)+IF(Z$4=$E$2,Z$5,0)+IF(Z$6=$E$2,Z$7,0)+IF(Z$8=$E$2,Z$9,0)+IF(Z$10=$E$2,Z$11,0)-IF(Z$12=$E$2,Z$13,0)-IF(Z$14=$E$2,Z$15,0)-IF(Z$16=$E$2,Z$17,0)-IF(Z$18=$E$2,Z$19,0)-IF(Z$20=$E$2,Z$21,0)</f>
        <v>18823.560000000001</v>
      </c>
      <c r="AA26" s="28">
        <f t="shared" ref="AA26" si="64">IF(AA$2=$E$2,Z26+AA$3,Z26)+IF(AA$4=$E$2,AA$5,0)+IF(AA$6=$E$2,AA$7,0)+IF(AA$8=$E$2,AA$9,0)+IF(AA$10=$E$2,AA$11,0)-IF(AA$12=$E$2,AA$13,0)-IF(AA$14=$E$2,AA$15,0)-IF(AA$16=$E$2,AA$17,0)-IF(AA$18=$E$2,AA$19,0)-IF(AA$20=$E$2,AA$21,0)</f>
        <v>18823.560000000001</v>
      </c>
      <c r="AB26" s="28">
        <f t="shared" ref="AB26" si="65">IF(AB$2=$E$2,AA26+AB$3,AA26)+IF(AB$4=$E$2,AB$5,0)+IF(AB$6=$E$2,AB$7,0)+IF(AB$8=$E$2,AB$9,0)+IF(AB$10=$E$2,AB$11,0)-IF(AB$12=$E$2,AB$13,0)-IF(AB$14=$E$2,AB$15,0)-IF(AB$16=$E$2,AB$17,0)-IF(AB$18=$E$2,AB$19,0)-IF(AB$20=$E$2,AB$21,0)</f>
        <v>18823.560000000001</v>
      </c>
      <c r="AC26" s="28">
        <f t="shared" ref="AC26" si="66">IF(AC$2=$E$2,AB26+AC$3,AB26)+IF(AC$4=$E$2,AC$5,0)+IF(AC$6=$E$2,AC$7,0)+IF(AC$8=$E$2,AC$9,0)+IF(AC$10=$E$2,AC$11,0)-IF(AC$12=$E$2,AC$13,0)-IF(AC$14=$E$2,AC$15,0)-IF(AC$16=$E$2,AC$17,0)-IF(AC$18=$E$2,AC$19,0)-IF(AC$20=$E$2,AC$21,0)</f>
        <v>18823.560000000001</v>
      </c>
      <c r="AD26" s="28">
        <f t="shared" ref="AD26" si="67">IF(AD$2=$E$2,AC26+AD$3,AC26)+IF(AD$4=$E$2,AD$5,0)+IF(AD$6=$E$2,AD$7,0)+IF(AD$8=$E$2,AD$9,0)+IF(AD$10=$E$2,AD$11,0)-IF(AD$12=$E$2,AD$13,0)-IF(AD$14=$E$2,AD$15,0)-IF(AD$16=$E$2,AD$17,0)-IF(AD$18=$E$2,AD$19,0)-IF(AD$20=$E$2,AD$21,0)</f>
        <v>18823.560000000001</v>
      </c>
      <c r="AE26" s="28">
        <f t="shared" ref="AE26" si="68">IF(AE$2=$E$2,AD26+AE$3,AD26)+IF(AE$4=$E$2,AE$5,0)+IF(AE$6=$E$2,AE$7,0)+IF(AE$8=$E$2,AE$9,0)+IF(AE$10=$E$2,AE$11,0)-IF(AE$12=$E$2,AE$13,0)-IF(AE$14=$E$2,AE$15,0)-IF(AE$16=$E$2,AE$17,0)-IF(AE$18=$E$2,AE$19,0)-IF(AE$20=$E$2,AE$21,0)</f>
        <v>18823.560000000001</v>
      </c>
      <c r="AF26" s="28">
        <f t="shared" ref="AF26" si="69">IF(AF$2=$E$2,AE26+AF$3,AE26)+IF(AF$4=$E$2,AF$5,0)+IF(AF$6=$E$2,AF$7,0)+IF(AF$8=$E$2,AF$9,0)+IF(AF$10=$E$2,AF$11,0)-IF(AF$12=$E$2,AF$13,0)-IF(AF$14=$E$2,AF$15,0)-IF(AF$16=$E$2,AF$17,0)-IF(AF$18=$E$2,AF$19,0)-IF(AF$20=$E$2,AF$21,0)</f>
        <v>18823.560000000001</v>
      </c>
      <c r="AG26" s="28">
        <f t="shared" ref="AG26" si="70">IF(AG$2=$E$2,AF26+AG$3,AF26)+IF(AG$4=$E$2,AG$5,0)+IF(AG$6=$E$2,AG$7,0)+IF(AG$8=$E$2,AG$9,0)+IF(AG$10=$E$2,AG$11,0)-IF(AG$12=$E$2,AG$13,0)-IF(AG$14=$E$2,AG$15,0)-IF(AG$16=$E$2,AG$17,0)-IF(AG$18=$E$2,AG$19,0)-IF(AG$20=$E$2,AG$21,0)</f>
        <v>18823.560000000001</v>
      </c>
      <c r="AH26" s="28">
        <f t="shared" ref="AH26" si="71">IF(AH$2=$E$2,AG26+AH$3,AG26)+IF(AH$4=$E$2,AH$5,0)+IF(AH$6=$E$2,AH$7,0)+IF(AH$8=$E$2,AH$9,0)+IF(AH$10=$E$2,AH$11,0)-IF(AH$12=$E$2,AH$13,0)-IF(AH$14=$E$2,AH$15,0)-IF(AH$16=$E$2,AH$17,0)-IF(AH$18=$E$2,AH$19,0)-IF(AH$20=$E$2,AH$21,0)</f>
        <v>18823.560000000001</v>
      </c>
      <c r="AI26" s="28">
        <f t="shared" ref="AI26" si="72">IF(AI$2=$E$2,AH26+AI$3,AH26)+IF(AI$4=$E$2,AI$5,0)+IF(AI$6=$E$2,AI$7,0)+IF(AI$8=$E$2,AI$9,0)+IF(AI$10=$E$2,AI$11,0)-IF(AI$12=$E$2,AI$13,0)-IF(AI$14=$E$2,AI$15,0)-IF(AI$16=$E$2,AI$17,0)-IF(AI$18=$E$2,AI$19,0)-IF(AI$20=$E$2,AI$21,0)</f>
        <v>18823.560000000001</v>
      </c>
      <c r="AJ26" s="28">
        <f t="shared" ref="AJ26" si="73">IF(AJ$2=$E$2,AI26+AJ$3,AI26)+IF(AJ$4=$E$2,AJ$5,0)+IF(AJ$6=$E$2,AJ$7,0)+IF(AJ$8=$E$2,AJ$9,0)+IF(AJ$10=$E$2,AJ$11,0)-IF(AJ$12=$E$2,AJ$13,0)-IF(AJ$14=$E$2,AJ$15,0)-IF(AJ$16=$E$2,AJ$17,0)-IF(AJ$18=$E$2,AJ$19,0)-IF(AJ$20=$E$2,AJ$21,0)</f>
        <v>18823.560000000001</v>
      </c>
      <c r="AK26" s="28">
        <f t="shared" ref="AK26" si="74">IF(AK$2=$E$2,AJ26+AK$3,AJ26)+IF(AK$4=$E$2,AK$5,0)+IF(AK$6=$E$2,AK$7,0)+IF(AK$8=$E$2,AK$9,0)+IF(AK$10=$E$2,AK$11,0)-IF(AK$12=$E$2,AK$13,0)-IF(AK$14=$E$2,AK$15,0)-IF(AK$16=$E$2,AK$17,0)-IF(AK$18=$E$2,AK$19,0)-IF(AK$20=$E$2,AK$21,0)</f>
        <v>18823.560000000001</v>
      </c>
      <c r="AL26" s="28">
        <f t="shared" ref="AL26" si="75">IF(AL$2=$E$2,AK26+AL$3,AK26)+IF(AL$4=$E$2,AL$5,0)+IF(AL$6=$E$2,AL$7,0)+IF(AL$8=$E$2,AL$9,0)+IF(AL$10=$E$2,AL$11,0)-IF(AL$12=$E$2,AL$13,0)-IF(AL$14=$E$2,AL$15,0)-IF(AL$16=$E$2,AL$17,0)-IF(AL$18=$E$2,AL$19,0)-IF(AL$20=$E$2,AL$21,0)</f>
        <v>18823.560000000001</v>
      </c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3055.5</v>
      </c>
      <c r="I27" s="31">
        <f>IF(I$2=$F$2,H27+I$3,H27)+IF(I$4=$F$2,I$5,0)+IF(I$6=$F$2,I$7,0)+IF(I$8=$F$2,I$9,0)+IF(I$10=$F$2,I$11,0)-IF(I$12=$F$2,I$13,0)-IF(I$14=$F$2,I$15,0)-IF(I$16=$F$2,I$17,0)-IF(I$18=$F$2,I$19,0)-IF(I$20=$F$2,I$21,0)</f>
        <v>3055.5</v>
      </c>
      <c r="J27" s="31">
        <f>IF(J$2=$F$2,I27+J$3,I27)+IF(J$4=$F$2,J$5,0)+IF(J$6=$F$2,J$7,0)+IF(J$8=$F$2,J$9,0)+IF(J$10=$F$2,J$11,0)-IF(J$12=$F$2,J$13,0)-IF(J$14=$F$2,J$15,0)-IF(J$16=$F$2,J$17,0)-IF(J$18=$F$2,J$19,0)-IF(J$20=$F$2,J$21,0)</f>
        <v>3055.5</v>
      </c>
      <c r="K27" s="31">
        <f t="shared" ref="K27:X27" si="76">IF(K$2=$F$2,J27+K$3,J27)+IF(K$4=$F$2,K$5,0)+IF(K$6=$F$2,K$7,0)+IF(K$8=$F$2,K$9,0)+IF(K$10=$F$2,K$11,0)-IF(K$12=$F$2,K$13,0)-IF(K$14=$F$2,K$15,0)-IF(K$16=$F$2,K$17,0)-IF(K$18=$F$2,K$19,0)-IF(K$20=$F$2,K$21,0)</f>
        <v>3055.5</v>
      </c>
      <c r="L27" s="31">
        <f t="shared" si="76"/>
        <v>3055.5</v>
      </c>
      <c r="M27" s="31">
        <f t="shared" si="76"/>
        <v>3055.5</v>
      </c>
      <c r="N27" s="31">
        <f t="shared" si="76"/>
        <v>3055.5</v>
      </c>
      <c r="O27" s="31">
        <f t="shared" si="76"/>
        <v>3055.5</v>
      </c>
      <c r="P27" s="31">
        <f t="shared" si="76"/>
        <v>3055.5</v>
      </c>
      <c r="Q27" s="31">
        <f t="shared" si="76"/>
        <v>3055.5</v>
      </c>
      <c r="R27" s="31">
        <f t="shared" si="76"/>
        <v>3055.5</v>
      </c>
      <c r="S27" s="31">
        <f t="shared" si="76"/>
        <v>3055.5</v>
      </c>
      <c r="T27" s="31">
        <f t="shared" si="76"/>
        <v>3055.5</v>
      </c>
      <c r="U27" s="31">
        <f t="shared" si="76"/>
        <v>3055.5</v>
      </c>
      <c r="V27" s="31">
        <f t="shared" si="76"/>
        <v>3055.5</v>
      </c>
      <c r="W27" s="31">
        <f t="shared" si="76"/>
        <v>3055.5</v>
      </c>
      <c r="X27" s="31">
        <f t="shared" si="76"/>
        <v>3055.5</v>
      </c>
      <c r="Y27" s="31">
        <f t="shared" ref="Y27" si="77">IF(Y$2=$F$2,X27+Y$3,X27)+IF(Y$4=$F$2,Y$5,0)+IF(Y$6=$F$2,Y$7,0)+IF(Y$8=$F$2,Y$9,0)+IF(Y$10=$F$2,Y$11,0)-IF(Y$12=$F$2,Y$13,0)-IF(Y$14=$F$2,Y$15,0)-IF(Y$16=$F$2,Y$17,0)-IF(Y$18=$F$2,Y$19,0)-IF(Y$20=$F$2,Y$21,0)</f>
        <v>3055.5</v>
      </c>
      <c r="Z27" s="31">
        <f t="shared" ref="Z27" si="78">IF(Z$2=$F$2,Y27+Z$3,Y27)+IF(Z$4=$F$2,Z$5,0)+IF(Z$6=$F$2,Z$7,0)+IF(Z$8=$F$2,Z$9,0)+IF(Z$10=$F$2,Z$11,0)-IF(Z$12=$F$2,Z$13,0)-IF(Z$14=$F$2,Z$15,0)-IF(Z$16=$F$2,Z$17,0)-IF(Z$18=$F$2,Z$19,0)-IF(Z$20=$F$2,Z$21,0)</f>
        <v>3055.5</v>
      </c>
      <c r="AA27" s="31">
        <f t="shared" ref="AA27" si="79">IF(AA$2=$F$2,Z27+AA$3,Z27)+IF(AA$4=$F$2,AA$5,0)+IF(AA$6=$F$2,AA$7,0)+IF(AA$8=$F$2,AA$9,0)+IF(AA$10=$F$2,AA$11,0)-IF(AA$12=$F$2,AA$13,0)-IF(AA$14=$F$2,AA$15,0)-IF(AA$16=$F$2,AA$17,0)-IF(AA$18=$F$2,AA$19,0)-IF(AA$20=$F$2,AA$21,0)</f>
        <v>3055.5</v>
      </c>
      <c r="AB27" s="31">
        <f t="shared" ref="AB27" si="80">IF(AB$2=$F$2,AA27+AB$3,AA27)+IF(AB$4=$F$2,AB$5,0)+IF(AB$6=$F$2,AB$7,0)+IF(AB$8=$F$2,AB$9,0)+IF(AB$10=$F$2,AB$11,0)-IF(AB$12=$F$2,AB$13,0)-IF(AB$14=$F$2,AB$15,0)-IF(AB$16=$F$2,AB$17,0)-IF(AB$18=$F$2,AB$19,0)-IF(AB$20=$F$2,AB$21,0)</f>
        <v>3055.5</v>
      </c>
      <c r="AC27" s="31">
        <f t="shared" ref="AC27" si="81">IF(AC$2=$F$2,AB27+AC$3,AB27)+IF(AC$4=$F$2,AC$5,0)+IF(AC$6=$F$2,AC$7,0)+IF(AC$8=$F$2,AC$9,0)+IF(AC$10=$F$2,AC$11,0)-IF(AC$12=$F$2,AC$13,0)-IF(AC$14=$F$2,AC$15,0)-IF(AC$16=$F$2,AC$17,0)-IF(AC$18=$F$2,AC$19,0)-IF(AC$20=$F$2,AC$21,0)</f>
        <v>3055.5</v>
      </c>
      <c r="AD27" s="31">
        <f t="shared" ref="AD27" si="82">IF(AD$2=$F$2,AC27+AD$3,AC27)+IF(AD$4=$F$2,AD$5,0)+IF(AD$6=$F$2,AD$7,0)+IF(AD$8=$F$2,AD$9,0)+IF(AD$10=$F$2,AD$11,0)-IF(AD$12=$F$2,AD$13,0)-IF(AD$14=$F$2,AD$15,0)-IF(AD$16=$F$2,AD$17,0)-IF(AD$18=$F$2,AD$19,0)-IF(AD$20=$F$2,AD$21,0)</f>
        <v>3055.5</v>
      </c>
      <c r="AE27" s="31">
        <f t="shared" ref="AE27" si="83">IF(AE$2=$F$2,AD27+AE$3,AD27)+IF(AE$4=$F$2,AE$5,0)+IF(AE$6=$F$2,AE$7,0)+IF(AE$8=$F$2,AE$9,0)+IF(AE$10=$F$2,AE$11,0)-IF(AE$12=$F$2,AE$13,0)-IF(AE$14=$F$2,AE$15,0)-IF(AE$16=$F$2,AE$17,0)-IF(AE$18=$F$2,AE$19,0)-IF(AE$20=$F$2,AE$21,0)</f>
        <v>3055.5</v>
      </c>
      <c r="AF27" s="31">
        <f t="shared" ref="AF27" si="84">IF(AF$2=$F$2,AE27+AF$3,AE27)+IF(AF$4=$F$2,AF$5,0)+IF(AF$6=$F$2,AF$7,0)+IF(AF$8=$F$2,AF$9,0)+IF(AF$10=$F$2,AF$11,0)-IF(AF$12=$F$2,AF$13,0)-IF(AF$14=$F$2,AF$15,0)-IF(AF$16=$F$2,AF$17,0)-IF(AF$18=$F$2,AF$19,0)-IF(AF$20=$F$2,AF$21,0)</f>
        <v>3055.5</v>
      </c>
      <c r="AG27" s="31">
        <f t="shared" ref="AG27" si="85">IF(AG$2=$F$2,AF27+AG$3,AF27)+IF(AG$4=$F$2,AG$5,0)+IF(AG$6=$F$2,AG$7,0)+IF(AG$8=$F$2,AG$9,0)+IF(AG$10=$F$2,AG$11,0)-IF(AG$12=$F$2,AG$13,0)-IF(AG$14=$F$2,AG$15,0)-IF(AG$16=$F$2,AG$17,0)-IF(AG$18=$F$2,AG$19,0)-IF(AG$20=$F$2,AG$21,0)</f>
        <v>3055.5</v>
      </c>
      <c r="AH27" s="31">
        <f t="shared" ref="AH27" si="86">IF(AH$2=$F$2,AG27+AH$3,AG27)+IF(AH$4=$F$2,AH$5,0)+IF(AH$6=$F$2,AH$7,0)+IF(AH$8=$F$2,AH$9,0)+IF(AH$10=$F$2,AH$11,0)-IF(AH$12=$F$2,AH$13,0)-IF(AH$14=$F$2,AH$15,0)-IF(AH$16=$F$2,AH$17,0)-IF(AH$18=$F$2,AH$19,0)-IF(AH$20=$F$2,AH$21,0)</f>
        <v>3055.5</v>
      </c>
      <c r="AI27" s="31">
        <f t="shared" ref="AI27" si="87">IF(AI$2=$F$2,AH27+AI$3,AH27)+IF(AI$4=$F$2,AI$5,0)+IF(AI$6=$F$2,AI$7,0)+IF(AI$8=$F$2,AI$9,0)+IF(AI$10=$F$2,AI$11,0)-IF(AI$12=$F$2,AI$13,0)-IF(AI$14=$F$2,AI$15,0)-IF(AI$16=$F$2,AI$17,0)-IF(AI$18=$F$2,AI$19,0)-IF(AI$20=$F$2,AI$21,0)</f>
        <v>3055.5</v>
      </c>
      <c r="AJ27" s="31">
        <f t="shared" ref="AJ27" si="88">IF(AJ$2=$F$2,AI27+AJ$3,AI27)+IF(AJ$4=$F$2,AJ$5,0)+IF(AJ$6=$F$2,AJ$7,0)+IF(AJ$8=$F$2,AJ$9,0)+IF(AJ$10=$F$2,AJ$11,0)-IF(AJ$12=$F$2,AJ$13,0)-IF(AJ$14=$F$2,AJ$15,0)-IF(AJ$16=$F$2,AJ$17,0)-IF(AJ$18=$F$2,AJ$19,0)-IF(AJ$20=$F$2,AJ$21,0)</f>
        <v>3055.5</v>
      </c>
      <c r="AK27" s="31">
        <f t="shared" ref="AK27" si="89">IF(AK$2=$F$2,AJ27+AK$3,AJ27)+IF(AK$4=$F$2,AK$5,0)+IF(AK$6=$F$2,AK$7,0)+IF(AK$8=$F$2,AK$9,0)+IF(AK$10=$F$2,AK$11,0)-IF(AK$12=$F$2,AK$13,0)-IF(AK$14=$F$2,AK$15,0)-IF(AK$16=$F$2,AK$17,0)-IF(AK$18=$F$2,AK$19,0)-IF(AK$20=$F$2,AK$21,0)</f>
        <v>3055.5</v>
      </c>
      <c r="AL27" s="31">
        <f t="shared" ref="AL27" si="90">IF(AL$2=$F$2,AK27+AL$3,AK27)+IF(AL$4=$F$2,AL$5,0)+IF(AL$6=$F$2,AL$7,0)+IF(AL$8=$F$2,AL$9,0)+IF(AL$10=$F$2,AL$11,0)-IF(AL$12=$F$2,AL$13,0)-IF(AL$14=$F$2,AL$15,0)-IF(AL$16=$F$2,AL$17,0)-IF(AL$18=$F$2,AL$19,0)-IF(AL$20=$F$2,AL$21,0)</f>
        <v>3055.5</v>
      </c>
    </row>
    <row r="28" spans="1:39" ht="18" customHeight="1" thickBot="1">
      <c r="G28" s="116" t="s">
        <v>49</v>
      </c>
      <c r="H28" s="113" t="s">
        <v>48</v>
      </c>
      <c r="I28" s="114" t="s">
        <v>43</v>
      </c>
      <c r="J28" s="114" t="s">
        <v>44</v>
      </c>
      <c r="K28" s="114" t="s">
        <v>45</v>
      </c>
      <c r="L28" s="114" t="s">
        <v>46</v>
      </c>
      <c r="M28" s="114" t="s">
        <v>46</v>
      </c>
      <c r="N28" s="114" t="s">
        <v>47</v>
      </c>
      <c r="O28" s="114" t="s">
        <v>48</v>
      </c>
      <c r="P28" s="114" t="s">
        <v>43</v>
      </c>
      <c r="Q28" s="114" t="s">
        <v>44</v>
      </c>
      <c r="R28" s="114" t="s">
        <v>45</v>
      </c>
      <c r="S28" s="114" t="s">
        <v>46</v>
      </c>
      <c r="T28" s="114" t="s">
        <v>46</v>
      </c>
      <c r="U28" s="114" t="s">
        <v>47</v>
      </c>
      <c r="V28" s="114" t="s">
        <v>48</v>
      </c>
      <c r="W28" s="114" t="s">
        <v>43</v>
      </c>
      <c r="X28" s="114" t="s">
        <v>44</v>
      </c>
      <c r="Y28" s="114" t="s">
        <v>45</v>
      </c>
      <c r="Z28" s="114" t="s">
        <v>46</v>
      </c>
      <c r="AA28" s="114" t="s">
        <v>46</v>
      </c>
      <c r="AB28" s="114" t="s">
        <v>47</v>
      </c>
      <c r="AC28" s="114" t="s">
        <v>48</v>
      </c>
      <c r="AD28" s="114" t="s">
        <v>43</v>
      </c>
      <c r="AE28" s="114" t="s">
        <v>44</v>
      </c>
      <c r="AF28" s="114" t="s">
        <v>45</v>
      </c>
      <c r="AG28" s="114" t="s">
        <v>46</v>
      </c>
      <c r="AH28" s="114" t="s">
        <v>46</v>
      </c>
      <c r="AI28" s="114" t="s">
        <v>47</v>
      </c>
      <c r="AJ28" s="114" t="s">
        <v>48</v>
      </c>
      <c r="AK28" s="149" t="s">
        <v>43</v>
      </c>
      <c r="AL28" s="150" t="s">
        <v>44</v>
      </c>
    </row>
    <row r="29" spans="1:39" ht="18" customHeight="1" thickBot="1">
      <c r="C29" s="122" t="s">
        <v>8</v>
      </c>
      <c r="D29" s="5" t="s">
        <v>17</v>
      </c>
      <c r="E29" s="123" t="s">
        <v>9</v>
      </c>
      <c r="F29" s="5" t="s">
        <v>17</v>
      </c>
    </row>
    <row r="30" spans="1:39" ht="18" customHeight="1">
      <c r="C30" s="70" t="s">
        <v>14</v>
      </c>
      <c r="D30" s="71">
        <f>X19</f>
        <v>900</v>
      </c>
      <c r="E30" s="70" t="s">
        <v>25</v>
      </c>
      <c r="F30" s="71">
        <f>H3+O3+AF5</f>
        <v>5605</v>
      </c>
      <c r="Z30" s="13"/>
      <c r="AD30" s="13"/>
    </row>
    <row r="31" spans="1:39" ht="18" customHeight="1" thickBot="1">
      <c r="C31" s="57" t="s">
        <v>15</v>
      </c>
      <c r="D31" s="59">
        <f>K15+V19*4.9+X15+X13+Y13+AB13+AI13+AI15+AF13+AG13</f>
        <v>365.3</v>
      </c>
      <c r="E31" s="57" t="s">
        <v>26</v>
      </c>
      <c r="F31" s="59">
        <f>L3+AI3</f>
        <v>816</v>
      </c>
      <c r="J31" s="13"/>
      <c r="AH31" s="13"/>
    </row>
    <row r="32" spans="1:39" ht="18" customHeight="1">
      <c r="A32" s="304" t="s">
        <v>55</v>
      </c>
      <c r="B32" s="323"/>
      <c r="C32" s="57" t="s">
        <v>16</v>
      </c>
      <c r="D32" s="59">
        <f>Q13+AA13</f>
        <v>170.59</v>
      </c>
      <c r="E32" s="57" t="s">
        <v>27</v>
      </c>
      <c r="F32" s="59"/>
      <c r="G32" s="13"/>
    </row>
    <row r="33" spans="1:6" ht="18" customHeight="1" thickBot="1">
      <c r="A33" s="306">
        <f>'Septembrie 2021'!A33:B33+0.76+D38</f>
        <v>3863.3</v>
      </c>
      <c r="B33" s="324"/>
      <c r="C33" s="57" t="s">
        <v>33</v>
      </c>
      <c r="D33" s="59">
        <f>I17+T15+Q19+W13+W17+AG15+AK13</f>
        <v>969.6099999999999</v>
      </c>
      <c r="E33" s="57" t="s">
        <v>19</v>
      </c>
      <c r="F33" s="59">
        <f>Y3+AF3</f>
        <v>201.69</v>
      </c>
    </row>
    <row r="34" spans="1:6" ht="18" customHeight="1">
      <c r="A34" s="308" t="s">
        <v>57</v>
      </c>
      <c r="B34" s="322"/>
      <c r="C34" s="57" t="s">
        <v>36</v>
      </c>
      <c r="D34" s="59">
        <f>K13+V17+AH17</f>
        <v>190.51</v>
      </c>
      <c r="E34" s="57" t="s">
        <v>70</v>
      </c>
      <c r="F34" s="59"/>
    </row>
    <row r="35" spans="1:6" ht="18" customHeight="1" thickBot="1">
      <c r="A35" s="310">
        <f>'Septembrie 2021'!A35:B35+I13/4.9479</f>
        <v>6739.452687716851</v>
      </c>
      <c r="B35" s="325"/>
      <c r="C35" s="57" t="s">
        <v>20</v>
      </c>
      <c r="D35" s="59">
        <f>M13+Q15+V15+V13+AA21+AD13+AH19</f>
        <v>958.2</v>
      </c>
      <c r="E35" s="124"/>
      <c r="F35" s="125"/>
    </row>
    <row r="36" spans="1:6" ht="18" customHeight="1" thickBot="1">
      <c r="C36" s="57" t="s">
        <v>18</v>
      </c>
      <c r="D36" s="59">
        <v>600</v>
      </c>
      <c r="E36" s="268">
        <f>SUM(F30:F35)</f>
        <v>6622.69</v>
      </c>
      <c r="F36" s="269"/>
    </row>
    <row r="37" spans="1:6" ht="18" customHeight="1" thickBot="1">
      <c r="C37" s="178" t="s">
        <v>67</v>
      </c>
      <c r="D37" s="59">
        <f>N13+AA19+AH21+AK15</f>
        <v>477.99</v>
      </c>
      <c r="E37" s="228">
        <f>E36-C39</f>
        <v>862.1899999999996</v>
      </c>
      <c r="F37" s="229"/>
    </row>
    <row r="38" spans="1:6" ht="18" customHeight="1" thickBot="1">
      <c r="C38" s="101" t="s">
        <v>51</v>
      </c>
      <c r="D38" s="102">
        <f>I15+W15+X17+AA15+AI17+AF15+AK17</f>
        <v>1128.2999999999997</v>
      </c>
      <c r="E38" s="232">
        <f>E37+D38</f>
        <v>1990.4899999999993</v>
      </c>
      <c r="F38" s="233"/>
    </row>
    <row r="39" spans="1:6" ht="18" customHeight="1" thickBot="1">
      <c r="C39" s="292">
        <f>SUM(D30:D38)</f>
        <v>5760.5</v>
      </c>
      <c r="D39" s="293"/>
      <c r="E39" s="234" t="s">
        <v>72</v>
      </c>
      <c r="F39" s="235"/>
    </row>
    <row r="40" spans="1:6" ht="18" customHeight="1">
      <c r="A40" s="1">
        <v>6739.452687716851</v>
      </c>
    </row>
    <row r="52" spans="1:4" ht="18" customHeight="1">
      <c r="A52" s="64"/>
      <c r="B52" s="64"/>
    </row>
    <row r="53" spans="1:4" ht="18" customHeight="1">
      <c r="A53" s="64"/>
      <c r="B53" s="64"/>
    </row>
    <row r="54" spans="1:4" ht="18" customHeight="1">
      <c r="A54" s="64"/>
      <c r="B54" s="64"/>
      <c r="C54" s="64"/>
      <c r="D54" s="64"/>
    </row>
    <row r="55" spans="1:4" ht="18" customHeight="1">
      <c r="A55" s="64"/>
      <c r="B55" s="64"/>
      <c r="C55" s="64"/>
      <c r="D55" s="64"/>
    </row>
    <row r="56" spans="1:4" ht="18" customHeight="1">
      <c r="A56" s="64"/>
      <c r="B56" s="64"/>
      <c r="C56" s="64"/>
      <c r="D56" s="64"/>
    </row>
    <row r="57" spans="1:4" ht="18" customHeight="1">
      <c r="A57" s="64"/>
      <c r="B57" s="64"/>
      <c r="C57" s="64"/>
      <c r="D57" s="64"/>
    </row>
    <row r="58" spans="1:4" ht="18" customHeight="1">
      <c r="A58" s="64"/>
      <c r="B58" s="64"/>
      <c r="C58" s="64"/>
      <c r="D58" s="64"/>
    </row>
    <row r="59" spans="1:4" ht="18" customHeight="1">
      <c r="A59" s="64"/>
      <c r="B59" s="64"/>
      <c r="C59" s="64"/>
      <c r="D59" s="64"/>
    </row>
    <row r="60" spans="1:4" ht="18" customHeight="1">
      <c r="A60" s="64"/>
      <c r="B60" s="64"/>
      <c r="C60" s="64"/>
      <c r="D60" s="64"/>
    </row>
    <row r="61" spans="1:4" ht="18" customHeight="1">
      <c r="A61" s="64"/>
      <c r="B61" s="64"/>
      <c r="C61" s="64"/>
      <c r="D61" s="64"/>
    </row>
    <row r="62" spans="1:4" ht="18" customHeight="1">
      <c r="A62" s="64"/>
      <c r="B62" s="64"/>
      <c r="C62" s="64"/>
      <c r="D62" s="64"/>
    </row>
    <row r="63" spans="1:4" ht="18" customHeight="1">
      <c r="C63" s="64"/>
      <c r="D63" s="64"/>
    </row>
    <row r="64" spans="1:4" ht="18" customHeight="1">
      <c r="C64" s="64"/>
      <c r="D64" s="64"/>
    </row>
    <row r="65" spans="3:4" ht="18" customHeight="1">
      <c r="C65" s="64"/>
      <c r="D65" s="64"/>
    </row>
  </sheetData>
  <mergeCells count="27">
    <mergeCell ref="E37:F37"/>
    <mergeCell ref="E38:F38"/>
    <mergeCell ref="C39:D39"/>
    <mergeCell ref="E39:F39"/>
    <mergeCell ref="G22:G27"/>
    <mergeCell ref="A32:B32"/>
    <mergeCell ref="A33:B33"/>
    <mergeCell ref="A34:B34"/>
    <mergeCell ref="A35:B35"/>
    <mergeCell ref="E36:F36"/>
    <mergeCell ref="G12:G21"/>
    <mergeCell ref="A14:D14"/>
    <mergeCell ref="E14:F14"/>
    <mergeCell ref="A15:D15"/>
    <mergeCell ref="E15:F15"/>
    <mergeCell ref="A1:F1"/>
    <mergeCell ref="G2:G11"/>
    <mergeCell ref="A4:D4"/>
    <mergeCell ref="E4:F4"/>
    <mergeCell ref="A5:D5"/>
    <mergeCell ref="E5:F5"/>
    <mergeCell ref="A6:F6"/>
    <mergeCell ref="A9:D9"/>
    <mergeCell ref="E9:F9"/>
    <mergeCell ref="A10:D10"/>
    <mergeCell ref="E10:F10"/>
    <mergeCell ref="A11:F11"/>
  </mergeCells>
  <conditionalFormatting sqref="A13:F13 E15:F15 A15">
    <cfRule type="cellIs" dxfId="9" priority="4" operator="lessThan">
      <formula>0</formula>
    </cfRule>
    <cfRule type="cellIs" dxfId="8" priority="5" operator="greaterThanOrEqual">
      <formula>0</formula>
    </cfRule>
  </conditionalFormatting>
  <conditionalFormatting sqref="E37:F38">
    <cfRule type="cellIs" dxfId="7" priority="2" operator="lessThan">
      <formula>0</formula>
    </cfRule>
    <cfRule type="cellIs" dxfId="6" priority="3" operator="greaterThan">
      <formula>0</formula>
    </cfRule>
  </conditionalFormatting>
  <conditionalFormatting sqref="E38:F38">
    <cfRule type="cellIs" dxfId="5" priority="1" operator="greaterThan">
      <formula>0</formula>
    </cfRule>
  </conditionalFormatting>
  <dataValidations count="8">
    <dataValidation type="list" allowBlank="1" showInputMessage="1" showErrorMessage="1" sqref="F8" xr:uid="{327B9B91-F44F-40D9-B5B8-EF5577101717}">
      <formula1>$H$27:$AL$27</formula1>
    </dataValidation>
    <dataValidation type="list" allowBlank="1" showInputMessage="1" showErrorMessage="1" sqref="E8" xr:uid="{1B6094DD-3EDE-44C8-9678-27B3FA0C7F8F}">
      <formula1>$H$26:$AL$26</formula1>
    </dataValidation>
    <dataValidation type="list" allowBlank="1" showInputMessage="1" showErrorMessage="1" sqref="D8" xr:uid="{DEC4988A-EF2A-4D67-B895-0840E445C116}">
      <formula1>$H$25:$AL$25</formula1>
    </dataValidation>
    <dataValidation type="list" allowBlank="1" showInputMessage="1" showErrorMessage="1" sqref="C8" xr:uid="{9483BE11-A1B3-4456-A36B-FCEBFBE9CBF4}">
      <formula1>$H$24:$AL$24</formula1>
    </dataValidation>
    <dataValidation type="list" allowBlank="1" showInputMessage="1" showErrorMessage="1" sqref="B8" xr:uid="{2D6A64EA-7E74-4CC8-A63F-1EDABF645ABF}">
      <formula1>$H$23:$AL$23</formula1>
    </dataValidation>
    <dataValidation type="list" allowBlank="1" showInputMessage="1" showErrorMessage="1" sqref="H2:AK2 H6:AK6 H8:AK8 H10:AK10 H12:AK12 H14:AK14 H16:AK16 H18:AK18 H20:AK20 H4:AK4 H15" xr:uid="{1C96A815-EEAA-4F37-B032-8829B173AE36}">
      <formula1>$A$2:$F$2</formula1>
    </dataValidation>
    <dataValidation type="list" allowBlank="1" showInputMessage="1" showErrorMessage="1" sqref="A8" xr:uid="{917D8E33-F963-4956-A9B1-51A5310D7841}">
      <formula1>$H$22:$AL$22</formula1>
    </dataValidation>
    <dataValidation type="list" allowBlank="1" showInputMessage="1" showErrorMessage="1" sqref="AL4 AL20 AL18 AL16 AL14 AL2 AL10 AL8 AL6 AL12" xr:uid="{62B099DA-1C3A-4CEC-9146-9FA90C09F5B6}">
      <formula1>$A$2:$E$2</formula1>
    </dataValidation>
  </dataValidations>
  <pageMargins left="0.7" right="0.7" top="0.75" bottom="0.75" header="0.3" footer="0.3"/>
  <pageSetup orientation="portrait" horizontalDpi="4294967293" r:id="rId1"/>
  <ignoredErrors>
    <ignoredError sqref="A5:F7 A9:F10" formulaRange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ADE4-63D1-41E0-8B90-03C73ECC9378}">
  <sheetPr>
    <tabColor rgb="FF00B050"/>
  </sheetPr>
  <dimension ref="A1:AM65"/>
  <sheetViews>
    <sheetView topLeftCell="A27" zoomScaleNormal="100" workbookViewId="0">
      <pane xSplit="6" topLeftCell="G1" activePane="topRight" state="frozen"/>
      <selection pane="topRight" activeCell="A36" sqref="A36"/>
    </sheetView>
  </sheetViews>
  <sheetFormatPr defaultColWidth="15.77734375" defaultRowHeight="18" customHeight="1"/>
  <cols>
    <col min="1" max="6" width="12.77734375" style="215" customWidth="1"/>
    <col min="7" max="7" width="15.77734375" style="1" customWidth="1"/>
    <col min="8" max="37" width="10.77734375" style="1" customWidth="1"/>
    <col min="38" max="38" width="10.77734375" style="64" customWidth="1"/>
    <col min="39" max="16384" width="15.77734375" style="1"/>
  </cols>
  <sheetData>
    <row r="1" spans="1:39" ht="18" customHeight="1" thickBot="1">
      <c r="A1" s="354" t="s">
        <v>74</v>
      </c>
      <c r="B1" s="355"/>
      <c r="C1" s="355"/>
      <c r="D1" s="355"/>
      <c r="E1" s="355"/>
      <c r="F1" s="356"/>
      <c r="G1" s="2" t="s">
        <v>7</v>
      </c>
      <c r="H1" s="3">
        <v>1</v>
      </c>
      <c r="I1" s="4">
        <v>2</v>
      </c>
      <c r="J1" s="4">
        <v>3</v>
      </c>
      <c r="K1" s="4">
        <v>4</v>
      </c>
      <c r="L1" s="4">
        <v>5</v>
      </c>
      <c r="M1" s="103">
        <v>6</v>
      </c>
      <c r="N1" s="117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103">
        <v>13</v>
      </c>
      <c r="U1" s="117">
        <v>14</v>
      </c>
      <c r="V1" s="4">
        <v>15</v>
      </c>
      <c r="W1" s="4">
        <v>16</v>
      </c>
      <c r="X1" s="4">
        <v>17</v>
      </c>
      <c r="Y1" s="4">
        <v>18</v>
      </c>
      <c r="Z1" s="4">
        <v>19</v>
      </c>
      <c r="AA1" s="103">
        <v>20</v>
      </c>
      <c r="AB1" s="117">
        <v>21</v>
      </c>
      <c r="AC1" s="4">
        <v>22</v>
      </c>
      <c r="AD1" s="4">
        <v>23</v>
      </c>
      <c r="AE1" s="4">
        <v>24</v>
      </c>
      <c r="AF1" s="4">
        <v>25</v>
      </c>
      <c r="AG1" s="4">
        <v>26</v>
      </c>
      <c r="AH1" s="103">
        <v>27</v>
      </c>
      <c r="AI1" s="117">
        <v>28</v>
      </c>
      <c r="AJ1" s="4">
        <v>29</v>
      </c>
      <c r="AK1" s="4">
        <v>30</v>
      </c>
    </row>
    <row r="2" spans="1:39" ht="18" customHeight="1">
      <c r="A2" s="191" t="s">
        <v>53</v>
      </c>
      <c r="B2" s="192" t="s">
        <v>54</v>
      </c>
      <c r="C2" s="193" t="s">
        <v>2</v>
      </c>
      <c r="D2" s="193" t="s">
        <v>13</v>
      </c>
      <c r="E2" s="193" t="s">
        <v>3</v>
      </c>
      <c r="F2" s="194" t="s">
        <v>1</v>
      </c>
      <c r="G2" s="357" t="s">
        <v>9</v>
      </c>
      <c r="H2" s="154"/>
      <c r="I2" s="20" t="s">
        <v>54</v>
      </c>
      <c r="J2" s="20" t="s">
        <v>13</v>
      </c>
      <c r="K2" s="20" t="s">
        <v>54</v>
      </c>
      <c r="L2" s="20"/>
      <c r="M2" s="20"/>
      <c r="N2" s="20"/>
      <c r="O2" s="20" t="s">
        <v>2</v>
      </c>
      <c r="P2" s="20" t="s">
        <v>53</v>
      </c>
      <c r="Q2" s="20" t="s">
        <v>54</v>
      </c>
      <c r="R2" s="20" t="s">
        <v>54</v>
      </c>
      <c r="S2" s="20"/>
      <c r="T2" s="20"/>
      <c r="U2" s="20"/>
      <c r="V2" s="20"/>
      <c r="W2" s="20" t="s">
        <v>2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140"/>
      <c r="AK2" s="21"/>
      <c r="AM2" s="64"/>
    </row>
    <row r="3" spans="1:39" s="13" customFormat="1" ht="18" customHeight="1" thickBot="1">
      <c r="A3" s="195">
        <v>4856.6299999999992</v>
      </c>
      <c r="B3" s="196">
        <v>949.70000000000095</v>
      </c>
      <c r="C3" s="197">
        <v>45</v>
      </c>
      <c r="D3" s="197">
        <v>470.71000000000009</v>
      </c>
      <c r="E3" s="197">
        <v>18823.560000000001</v>
      </c>
      <c r="F3" s="198">
        <v>3055.5</v>
      </c>
      <c r="G3" s="358"/>
      <c r="H3" s="185"/>
      <c r="I3" s="12">
        <v>3662</v>
      </c>
      <c r="J3" s="12">
        <v>378</v>
      </c>
      <c r="K3" s="12">
        <v>10000</v>
      </c>
      <c r="L3" s="12"/>
      <c r="M3" s="12"/>
      <c r="N3" s="167"/>
      <c r="O3" s="12">
        <v>50</v>
      </c>
      <c r="P3" s="12">
        <v>1455</v>
      </c>
      <c r="Q3" s="12">
        <v>89</v>
      </c>
      <c r="R3" s="12">
        <v>85</v>
      </c>
      <c r="S3" s="12"/>
      <c r="T3" s="12"/>
      <c r="U3" s="12"/>
      <c r="V3" s="12"/>
      <c r="W3" s="12">
        <v>200</v>
      </c>
      <c r="X3" s="12"/>
      <c r="Y3" s="12"/>
      <c r="Z3" s="167"/>
      <c r="AA3" s="12"/>
      <c r="AB3" s="167"/>
      <c r="AC3" s="167"/>
      <c r="AD3" s="12"/>
      <c r="AE3" s="12"/>
      <c r="AF3" s="12"/>
      <c r="AG3" s="167"/>
      <c r="AH3" s="12"/>
      <c r="AI3" s="12"/>
      <c r="AJ3" s="168"/>
      <c r="AK3" s="17"/>
      <c r="AL3" s="64"/>
      <c r="AM3" s="64"/>
    </row>
    <row r="4" spans="1:39" ht="18" customHeight="1" thickBot="1">
      <c r="A4" s="354" t="s">
        <v>5</v>
      </c>
      <c r="B4" s="355"/>
      <c r="C4" s="355"/>
      <c r="D4" s="360"/>
      <c r="E4" s="361" t="s">
        <v>6</v>
      </c>
      <c r="F4" s="362"/>
      <c r="G4" s="358"/>
      <c r="H4" s="156"/>
      <c r="I4" s="23" t="s">
        <v>53</v>
      </c>
      <c r="J4" s="23"/>
      <c r="K4" s="23" t="s">
        <v>2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142"/>
      <c r="AK4" s="24"/>
      <c r="AM4" s="64"/>
    </row>
    <row r="5" spans="1:39" ht="18" customHeight="1" thickBot="1">
      <c r="A5" s="363">
        <f>SUM(A3:D3)</f>
        <v>6322.04</v>
      </c>
      <c r="B5" s="364"/>
      <c r="C5" s="364"/>
      <c r="D5" s="365"/>
      <c r="E5" s="366">
        <f>SUM(E3:F3)</f>
        <v>21879.06</v>
      </c>
      <c r="F5" s="367"/>
      <c r="G5" s="358"/>
      <c r="H5" s="185"/>
      <c r="I5" s="12">
        <v>6</v>
      </c>
      <c r="J5" s="167"/>
      <c r="K5" s="12">
        <v>300</v>
      </c>
      <c r="L5" s="167"/>
      <c r="M5" s="12"/>
      <c r="N5" s="167"/>
      <c r="O5" s="167"/>
      <c r="P5" s="12"/>
      <c r="Q5" s="12"/>
      <c r="R5" s="167"/>
      <c r="S5" s="167"/>
      <c r="T5" s="167"/>
      <c r="U5" s="12"/>
      <c r="V5" s="167"/>
      <c r="W5" s="167"/>
      <c r="X5" s="167"/>
      <c r="Y5" s="167"/>
      <c r="Z5" s="167"/>
      <c r="AA5" s="167"/>
      <c r="AB5" s="167"/>
      <c r="AC5" s="167"/>
      <c r="AD5" s="167"/>
      <c r="AE5" s="12"/>
      <c r="AF5" s="12"/>
      <c r="AG5" s="167"/>
      <c r="AH5" s="12"/>
      <c r="AI5" s="167"/>
      <c r="AJ5" s="168"/>
      <c r="AK5" s="169"/>
      <c r="AM5" s="64"/>
    </row>
    <row r="6" spans="1:39" ht="18" customHeight="1" thickBot="1">
      <c r="A6" s="368" t="s">
        <v>38</v>
      </c>
      <c r="B6" s="369"/>
      <c r="C6" s="369"/>
      <c r="D6" s="369"/>
      <c r="E6" s="369"/>
      <c r="F6" s="370"/>
      <c r="G6" s="358"/>
      <c r="H6" s="156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142"/>
      <c r="AK6" s="24"/>
      <c r="AM6" s="64"/>
    </row>
    <row r="7" spans="1:39" ht="18" customHeight="1">
      <c r="A7" s="199" t="s">
        <v>53</v>
      </c>
      <c r="B7" s="200" t="s">
        <v>54</v>
      </c>
      <c r="C7" s="201" t="s">
        <v>2</v>
      </c>
      <c r="D7" s="201" t="s">
        <v>13</v>
      </c>
      <c r="E7" s="201" t="s">
        <v>3</v>
      </c>
      <c r="F7" s="202" t="s">
        <v>1</v>
      </c>
      <c r="G7" s="358"/>
      <c r="H7" s="186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8"/>
      <c r="AK7" s="169"/>
      <c r="AM7" s="64"/>
    </row>
    <row r="8" spans="1:39" ht="18" customHeight="1" thickBot="1">
      <c r="A8" s="203">
        <v>4987.2</v>
      </c>
      <c r="B8" s="204">
        <v>3556.66</v>
      </c>
      <c r="C8" s="205">
        <v>391</v>
      </c>
      <c r="D8" s="205">
        <v>449.51</v>
      </c>
      <c r="E8" s="205">
        <v>16788.09</v>
      </c>
      <c r="F8" s="206">
        <v>3055.5</v>
      </c>
      <c r="G8" s="358"/>
      <c r="H8" s="156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142"/>
      <c r="AK8" s="24"/>
      <c r="AM8" s="64"/>
    </row>
    <row r="9" spans="1:39" ht="18" customHeight="1" thickBot="1">
      <c r="A9" s="368" t="s">
        <v>5</v>
      </c>
      <c r="B9" s="369"/>
      <c r="C9" s="369"/>
      <c r="D9" s="371"/>
      <c r="E9" s="372" t="s">
        <v>6</v>
      </c>
      <c r="F9" s="370"/>
      <c r="G9" s="358"/>
      <c r="H9" s="186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8"/>
      <c r="AK9" s="169"/>
      <c r="AM9" s="64"/>
    </row>
    <row r="10" spans="1:39" ht="18" customHeight="1" thickBot="1">
      <c r="A10" s="373">
        <f>SUM(A8:D8)</f>
        <v>9384.3700000000008</v>
      </c>
      <c r="B10" s="374"/>
      <c r="C10" s="374"/>
      <c r="D10" s="375"/>
      <c r="E10" s="376">
        <f>SUM(E8:F8)</f>
        <v>19843.59</v>
      </c>
      <c r="F10" s="377"/>
      <c r="G10" s="358"/>
      <c r="H10" s="156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42"/>
      <c r="AK10" s="161"/>
      <c r="AM10" s="64"/>
    </row>
    <row r="11" spans="1:39" ht="18" customHeight="1" thickBot="1">
      <c r="A11" s="344" t="s">
        <v>12</v>
      </c>
      <c r="B11" s="345"/>
      <c r="C11" s="345"/>
      <c r="D11" s="345"/>
      <c r="E11" s="345"/>
      <c r="F11" s="378"/>
      <c r="G11" s="359"/>
      <c r="H11" s="186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8"/>
      <c r="AK11" s="169"/>
      <c r="AM11" s="64"/>
    </row>
    <row r="12" spans="1:39" ht="18" customHeight="1">
      <c r="A12" s="207" t="s">
        <v>53</v>
      </c>
      <c r="B12" s="208" t="s">
        <v>54</v>
      </c>
      <c r="C12" s="209" t="s">
        <v>2</v>
      </c>
      <c r="D12" s="209" t="s">
        <v>13</v>
      </c>
      <c r="E12" s="209" t="s">
        <v>3</v>
      </c>
      <c r="F12" s="210" t="s">
        <v>1</v>
      </c>
      <c r="G12" s="261" t="s">
        <v>8</v>
      </c>
      <c r="H12" s="154" t="s">
        <v>53</v>
      </c>
      <c r="I12" s="20" t="s">
        <v>54</v>
      </c>
      <c r="J12" s="20"/>
      <c r="K12" s="20" t="s">
        <v>3</v>
      </c>
      <c r="L12" s="20" t="s">
        <v>54</v>
      </c>
      <c r="M12" s="20" t="s">
        <v>54</v>
      </c>
      <c r="N12" s="20" t="s">
        <v>13</v>
      </c>
      <c r="O12" s="20" t="s">
        <v>53</v>
      </c>
      <c r="P12" s="20" t="s">
        <v>53</v>
      </c>
      <c r="Q12" s="20" t="s">
        <v>54</v>
      </c>
      <c r="R12" s="20"/>
      <c r="S12" s="20"/>
      <c r="T12" s="20"/>
      <c r="U12" s="20" t="s">
        <v>53</v>
      </c>
      <c r="V12" s="20" t="s">
        <v>53</v>
      </c>
      <c r="W12" s="20" t="s">
        <v>53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40"/>
      <c r="AK12" s="21"/>
      <c r="AM12" s="64"/>
    </row>
    <row r="13" spans="1:39" s="174" customFormat="1" ht="18" customHeight="1" thickBot="1">
      <c r="A13" s="211">
        <f t="shared" ref="A13:F13" si="0">A8-A3</f>
        <v>130.57000000000062</v>
      </c>
      <c r="B13" s="212">
        <f t="shared" si="0"/>
        <v>2606.9599999999991</v>
      </c>
      <c r="C13" s="213">
        <f t="shared" si="0"/>
        <v>346</v>
      </c>
      <c r="D13" s="213">
        <f t="shared" si="0"/>
        <v>-21.200000000000102</v>
      </c>
      <c r="E13" s="213">
        <f t="shared" si="0"/>
        <v>-2035.4700000000012</v>
      </c>
      <c r="F13" s="214">
        <f t="shared" si="0"/>
        <v>0</v>
      </c>
      <c r="G13" s="262"/>
      <c r="H13" s="187">
        <v>43.98</v>
      </c>
      <c r="I13" s="170">
        <v>1611.7</v>
      </c>
      <c r="J13" s="170"/>
      <c r="K13" s="170">
        <v>2033.47</v>
      </c>
      <c r="L13" s="170">
        <v>4.9000000000000004</v>
      </c>
      <c r="M13" s="170">
        <v>250.1</v>
      </c>
      <c r="N13" s="170">
        <f>399.2-84.99-39.99-7.49</f>
        <v>266.72999999999996</v>
      </c>
      <c r="O13" s="170">
        <v>60</v>
      </c>
      <c r="P13" s="170">
        <v>700</v>
      </c>
      <c r="Q13" s="170">
        <v>700</v>
      </c>
      <c r="R13" s="170"/>
      <c r="S13" s="170"/>
      <c r="T13" s="170"/>
      <c r="U13" s="170">
        <v>142</v>
      </c>
      <c r="V13" s="170">
        <v>69</v>
      </c>
      <c r="W13" s="170">
        <v>200</v>
      </c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7"/>
      <c r="AK13" s="179"/>
      <c r="AL13" s="64"/>
      <c r="AM13" s="138"/>
    </row>
    <row r="14" spans="1:39" ht="18" customHeight="1" thickBot="1">
      <c r="A14" s="344" t="s">
        <v>5</v>
      </c>
      <c r="B14" s="345"/>
      <c r="C14" s="345"/>
      <c r="D14" s="346"/>
      <c r="E14" s="347" t="s">
        <v>6</v>
      </c>
      <c r="F14" s="348"/>
      <c r="G14" s="262"/>
      <c r="H14" s="156"/>
      <c r="I14" s="23"/>
      <c r="J14" s="23"/>
      <c r="K14" s="23" t="s">
        <v>54</v>
      </c>
      <c r="L14" s="23" t="s">
        <v>53</v>
      </c>
      <c r="M14" s="23" t="s">
        <v>54</v>
      </c>
      <c r="N14" s="23" t="s">
        <v>13</v>
      </c>
      <c r="O14" s="23" t="s">
        <v>53</v>
      </c>
      <c r="P14" s="23"/>
      <c r="Q14" s="23"/>
      <c r="R14" s="23"/>
      <c r="S14" s="23"/>
      <c r="T14" s="23"/>
      <c r="U14" s="23" t="s">
        <v>13</v>
      </c>
      <c r="V14" s="23" t="s">
        <v>3</v>
      </c>
      <c r="W14" s="23" t="s">
        <v>54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142"/>
      <c r="AK14" s="24"/>
      <c r="AM14" s="64"/>
    </row>
    <row r="15" spans="1:39" s="174" customFormat="1" ht="18" customHeight="1" thickBot="1">
      <c r="A15" s="349">
        <f>SUM(A13:D13)</f>
        <v>3062.3299999999995</v>
      </c>
      <c r="B15" s="350"/>
      <c r="C15" s="350"/>
      <c r="D15" s="351"/>
      <c r="E15" s="352">
        <f>SUM(E13:F13)</f>
        <v>-2035.4700000000012</v>
      </c>
      <c r="F15" s="353"/>
      <c r="G15" s="262"/>
      <c r="H15" s="183"/>
      <c r="I15" s="170"/>
      <c r="J15" s="170"/>
      <c r="K15" s="170">
        <v>300</v>
      </c>
      <c r="L15" s="170">
        <v>35.950000000000003</v>
      </c>
      <c r="M15" s="170">
        <f>49+3.8</f>
        <v>52.8</v>
      </c>
      <c r="N15" s="170">
        <f>84.99+7.49</f>
        <v>92.47999999999999</v>
      </c>
      <c r="O15" s="170">
        <v>24.5</v>
      </c>
      <c r="P15" s="171"/>
      <c r="Q15" s="170"/>
      <c r="R15" s="170"/>
      <c r="S15" s="170"/>
      <c r="T15" s="170"/>
      <c r="U15" s="170">
        <v>177.54</v>
      </c>
      <c r="V15" s="170">
        <v>2</v>
      </c>
      <c r="W15" s="170">
        <v>68.77</v>
      </c>
      <c r="X15" s="170"/>
      <c r="Y15" s="170"/>
      <c r="Z15" s="171"/>
      <c r="AA15" s="170"/>
      <c r="AB15" s="171"/>
      <c r="AC15" s="171"/>
      <c r="AD15" s="171"/>
      <c r="AE15" s="170"/>
      <c r="AF15" s="170"/>
      <c r="AG15" s="170"/>
      <c r="AH15" s="170"/>
      <c r="AI15" s="170"/>
      <c r="AJ15" s="172"/>
      <c r="AK15" s="179"/>
      <c r="AL15" s="64"/>
      <c r="AM15" s="138"/>
    </row>
    <row r="16" spans="1:39" ht="18" customHeight="1">
      <c r="G16" s="262"/>
      <c r="H16" s="156"/>
      <c r="I16" s="23"/>
      <c r="J16" s="23"/>
      <c r="K16" s="23" t="s">
        <v>54</v>
      </c>
      <c r="L16" s="23" t="s">
        <v>53</v>
      </c>
      <c r="M16" s="23" t="s">
        <v>54</v>
      </c>
      <c r="N16" s="23" t="s">
        <v>13</v>
      </c>
      <c r="O16" s="23" t="s">
        <v>53</v>
      </c>
      <c r="P16" s="23"/>
      <c r="Q16" s="23"/>
      <c r="R16" s="23"/>
      <c r="S16" s="23"/>
      <c r="T16" s="23"/>
      <c r="U16" s="23"/>
      <c r="V16" s="23"/>
      <c r="W16" s="23" t="s">
        <v>54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142"/>
      <c r="AK16" s="161"/>
      <c r="AM16" s="64"/>
    </row>
    <row r="17" spans="1:39" s="174" customFormat="1" ht="18" customHeight="1">
      <c r="A17" s="215"/>
      <c r="B17" s="215"/>
      <c r="C17" s="215"/>
      <c r="D17" s="215"/>
      <c r="E17" s="215"/>
      <c r="F17" s="215"/>
      <c r="G17" s="262"/>
      <c r="H17" s="187"/>
      <c r="I17" s="170"/>
      <c r="J17" s="170"/>
      <c r="K17" s="170">
        <v>1743.35</v>
      </c>
      <c r="L17" s="170">
        <v>5</v>
      </c>
      <c r="M17" s="170">
        <v>34.619999999999997</v>
      </c>
      <c r="N17" s="170">
        <v>39.99</v>
      </c>
      <c r="O17" s="170">
        <v>50</v>
      </c>
      <c r="P17" s="171"/>
      <c r="Q17" s="170"/>
      <c r="R17" s="170"/>
      <c r="S17" s="170"/>
      <c r="T17" s="171"/>
      <c r="U17" s="170"/>
      <c r="V17" s="170"/>
      <c r="W17" s="170">
        <v>12.3</v>
      </c>
      <c r="X17" s="170"/>
      <c r="Y17" s="171"/>
      <c r="Z17" s="171"/>
      <c r="AA17" s="170"/>
      <c r="AB17" s="171"/>
      <c r="AC17" s="171"/>
      <c r="AD17" s="171"/>
      <c r="AE17" s="171"/>
      <c r="AF17" s="170"/>
      <c r="AG17" s="171"/>
      <c r="AH17" s="170"/>
      <c r="AI17" s="170"/>
      <c r="AJ17" s="172"/>
      <c r="AK17" s="179"/>
      <c r="AL17" s="64"/>
      <c r="AM17" s="138"/>
    </row>
    <row r="18" spans="1:39" ht="18" customHeight="1">
      <c r="G18" s="262"/>
      <c r="H18" s="156"/>
      <c r="I18" s="23"/>
      <c r="J18" s="23"/>
      <c r="K18" s="23" t="s">
        <v>2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 t="s">
        <v>54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142"/>
      <c r="AK18" s="24"/>
      <c r="AM18" s="64"/>
    </row>
    <row r="19" spans="1:39" s="174" customFormat="1" ht="18" customHeight="1">
      <c r="A19" s="215"/>
      <c r="B19" s="215"/>
      <c r="C19" s="215"/>
      <c r="D19" s="215"/>
      <c r="E19" s="215"/>
      <c r="F19" s="215"/>
      <c r="G19" s="262"/>
      <c r="H19" s="186"/>
      <c r="I19" s="170"/>
      <c r="J19" s="170"/>
      <c r="K19" s="170">
        <v>204</v>
      </c>
      <c r="L19" s="170"/>
      <c r="M19" s="171"/>
      <c r="N19" s="171"/>
      <c r="O19" s="171"/>
      <c r="P19" s="171"/>
      <c r="Q19" s="170"/>
      <c r="R19" s="170"/>
      <c r="S19" s="170"/>
      <c r="T19" s="171"/>
      <c r="U19" s="171"/>
      <c r="V19" s="170"/>
      <c r="W19" s="170">
        <v>6433</v>
      </c>
      <c r="X19" s="170"/>
      <c r="Y19" s="171"/>
      <c r="Z19" s="171"/>
      <c r="AA19" s="170"/>
      <c r="AB19" s="171"/>
      <c r="AC19" s="171"/>
      <c r="AD19" s="171"/>
      <c r="AE19" s="171"/>
      <c r="AF19" s="170"/>
      <c r="AG19" s="171"/>
      <c r="AH19" s="170"/>
      <c r="AI19" s="171"/>
      <c r="AJ19" s="172"/>
      <c r="AK19" s="173"/>
      <c r="AL19" s="64"/>
      <c r="AM19" s="138"/>
    </row>
    <row r="20" spans="1:39" ht="18" customHeight="1">
      <c r="G20" s="262"/>
      <c r="H20" s="156"/>
      <c r="I20" s="23"/>
      <c r="J20" s="23"/>
      <c r="K20" s="23" t="s">
        <v>54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142"/>
      <c r="AK20" s="161"/>
      <c r="AM20" s="64"/>
    </row>
    <row r="21" spans="1:39" s="174" customFormat="1" ht="18" customHeight="1" thickBot="1">
      <c r="A21" s="215"/>
      <c r="B21" s="215"/>
      <c r="C21" s="215"/>
      <c r="D21" s="215"/>
      <c r="E21" s="215"/>
      <c r="F21" s="215"/>
      <c r="G21" s="263"/>
      <c r="H21" s="186"/>
      <c r="I21" s="170"/>
      <c r="J21" s="170"/>
      <c r="K21" s="170">
        <f>1+16.5</f>
        <v>17.5</v>
      </c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0"/>
      <c r="AB21" s="171"/>
      <c r="AC21" s="171"/>
      <c r="AD21" s="171"/>
      <c r="AE21" s="171"/>
      <c r="AF21" s="170"/>
      <c r="AG21" s="171"/>
      <c r="AH21" s="170"/>
      <c r="AI21" s="171"/>
      <c r="AJ21" s="172"/>
      <c r="AK21" s="176"/>
      <c r="AL21" s="64"/>
      <c r="AM21" s="138"/>
    </row>
    <row r="22" spans="1:39" ht="18" customHeight="1">
      <c r="G22" s="301" t="s">
        <v>10</v>
      </c>
      <c r="H22" s="147">
        <f>IF($H$2=$A$2,A3+$H$3,A3)+IF($H$4=$A$2,$H$5,0)+IF($H$6=$A$2,$H$7,0)+IF($H$8=$A$2,$H$9,0)+IF($H$10=$A$2,$H$11,0)-IF($H$12=$A$2,$H$13,0)-IF($H$14=$A$2,$H$15,0)-IF($H$16=$A$2,$H$17,0)-IF($H$18=$A$2,$H$19,0)-IF($H$20=$A$2,$H$21,0)</f>
        <v>4812.6499999999996</v>
      </c>
      <c r="I22" s="148">
        <f>IF(I$2=$A$2,H22+I$3,H22)+IF(I$4=$A$2,I$5,0)+IF(I$6=$A$2,I$7,0)+IF(I$8=$A$2,I$9,0)+IF(I$10=$A$2,I$11,0)-IF(I$12=$A$2,I$13,0)-IF(I$14=$A$2,I$15,0)-IF(I$16=$A$2,I$17,0)-IF(I$18=$A$2,I$19,0)-IF(I$20=$A$2,I$21,0)</f>
        <v>4818.6499999999996</v>
      </c>
      <c r="J22" s="148">
        <f t="shared" ref="J22:N22" si="1">IF(J$2=$A$2,I22+J$3,I22)+IF(J$4=$A$2,J$5,0)+IF(J$6=$A$2,J$7,0)+IF(J$8=$A$2,J$9,0)+IF(J$10=$A$2,J$11,0)-IF(J$12=$A$2,J$13,0)-IF(J$14=$A$2,J$15,0)-IF(J$16=$A$2,J$17,0)-IF(J$18=$A$2,J$19,0)-IF(J$20=$A$2,J$21,0)</f>
        <v>4818.6499999999996</v>
      </c>
      <c r="K22" s="148">
        <f t="shared" si="1"/>
        <v>4818.6499999999996</v>
      </c>
      <c r="L22" s="148">
        <f t="shared" si="1"/>
        <v>4777.7</v>
      </c>
      <c r="M22" s="148">
        <f t="shared" si="1"/>
        <v>4777.7</v>
      </c>
      <c r="N22" s="148">
        <f t="shared" si="1"/>
        <v>4777.7</v>
      </c>
      <c r="O22" s="148">
        <f t="shared" ref="O22" si="2">IF(O$2=$A$2,N22+O$3,N22)+IF(O$4=$A$2,O$5,0)+IF(O$6=$A$2,O$7,0)+IF(O$8=$A$2,O$9,0)+IF(O$10=$A$2,O$11,0)-IF(O$12=$A$2,O$13,0)-IF(O$14=$A$2,O$15,0)-IF(O$16=$A$2,O$17,0)-IF(O$18=$A$2,O$19,0)-IF(O$20=$A$2,O$21,0)</f>
        <v>4643.2</v>
      </c>
      <c r="P22" s="148">
        <f t="shared" ref="P22" si="3">IF(P$2=$A$2,O22+P$3,O22)+IF(P$4=$A$2,P$5,0)+IF(P$6=$A$2,P$7,0)+IF(P$8=$A$2,P$9,0)+IF(P$10=$A$2,P$11,0)-IF(P$12=$A$2,P$13,0)-IF(P$14=$A$2,P$15,0)-IF(P$16=$A$2,P$17,0)-IF(P$18=$A$2,P$19,0)-IF(P$20=$A$2,P$21,0)</f>
        <v>5398.2</v>
      </c>
      <c r="Q22" s="148">
        <f t="shared" ref="Q22" si="4">IF(Q$2=$A$2,P22+Q$3,P22)+IF(Q$4=$A$2,Q$5,0)+IF(Q$6=$A$2,Q$7,0)+IF(Q$8=$A$2,Q$9,0)+IF(Q$10=$A$2,Q$11,0)-IF(Q$12=$A$2,Q$13,0)-IF(Q$14=$A$2,Q$15,0)-IF(Q$16=$A$2,Q$17,0)-IF(Q$18=$A$2,Q$19,0)-IF(Q$20=$A$2,Q$21,0)</f>
        <v>5398.2</v>
      </c>
      <c r="R22" s="148">
        <f t="shared" ref="R22" si="5">IF(R$2=$A$2,Q22+R$3,Q22)+IF(R$4=$A$2,R$5,0)+IF(R$6=$A$2,R$7,0)+IF(R$8=$A$2,R$9,0)+IF(R$10=$A$2,R$11,0)-IF(R$12=$A$2,R$13,0)-IF(R$14=$A$2,R$15,0)-IF(R$16=$A$2,R$17,0)-IF(R$18=$A$2,R$19,0)-IF(R$20=$A$2,R$21,0)</f>
        <v>5398.2</v>
      </c>
      <c r="S22" s="148">
        <f t="shared" ref="S22" si="6">IF(S$2=$A$2,R22+S$3,R22)+IF(S$4=$A$2,S$5,0)+IF(S$6=$A$2,S$7,0)+IF(S$8=$A$2,S$9,0)+IF(S$10=$A$2,S$11,0)-IF(S$12=$A$2,S$13,0)-IF(S$14=$A$2,S$15,0)-IF(S$16=$A$2,S$17,0)-IF(S$18=$A$2,S$19,0)-IF(S$20=$A$2,S$21,0)</f>
        <v>5398.2</v>
      </c>
      <c r="T22" s="148">
        <f t="shared" ref="T22" si="7">IF(T$2=$A$2,S22+T$3,S22)+IF(T$4=$A$2,T$5,0)+IF(T$6=$A$2,T$7,0)+IF(T$8=$A$2,T$9,0)+IF(T$10=$A$2,T$11,0)-IF(T$12=$A$2,T$13,0)-IF(T$14=$A$2,T$15,0)-IF(T$16=$A$2,T$17,0)-IF(T$18=$A$2,T$19,0)-IF(T$20=$A$2,T$21,0)</f>
        <v>5398.2</v>
      </c>
      <c r="U22" s="148">
        <f t="shared" ref="U22" si="8">IF(U$2=$A$2,T22+U$3,T22)+IF(U$4=$A$2,U$5,0)+IF(U$6=$A$2,U$7,0)+IF(U$8=$A$2,U$9,0)+IF(U$10=$A$2,U$11,0)-IF(U$12=$A$2,U$13,0)-IF(U$14=$A$2,U$15,0)-IF(U$16=$A$2,U$17,0)-IF(U$18=$A$2,U$19,0)-IF(U$20=$A$2,U$21,0)</f>
        <v>5256.2</v>
      </c>
      <c r="V22" s="148">
        <f t="shared" ref="V22:W22" si="9">IF(V$2=$A$2,U22+V$3,U22)+IF(V$4=$A$2,V$5,0)+IF(V$6=$A$2,V$7,0)+IF(V$8=$A$2,V$9,0)+IF(V$10=$A$2,V$11,0)-IF(V$12=$A$2,V$13,0)-IF(V$14=$A$2,V$15,0)-IF(V$16=$A$2,V$17,0)-IF(V$18=$A$2,V$19,0)-IF(V$20=$A$2,V$21,0)</f>
        <v>5187.2</v>
      </c>
      <c r="W22" s="148">
        <f t="shared" si="9"/>
        <v>4987.2</v>
      </c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84"/>
      <c r="AM22" s="13"/>
    </row>
    <row r="23" spans="1:39" ht="18" customHeight="1">
      <c r="G23" s="302"/>
      <c r="H23" s="110">
        <f>IF($H$2=$B$2,B3+$H$3,B3)+IF($H$4=$B$2,$H$5,0)+IF($H$6=$B$2,$H$7,0)+IF($H$8=$B$2,$H$9,0)+IF($H$10=$B$2,$H$11,0)-IF($H$12=$B$2,$H$13,0)-IF($H$14=$B$2,$H$15,0)-IF($H$16=$B$2,$H$17,0)-IF($H$18=$B$2,$H$19,0)-IF($H$20=$B$2,$H$21,0)</f>
        <v>949.70000000000095</v>
      </c>
      <c r="I23" s="25">
        <f>IF(I$2=$B$2,H23+I$3,H23)+IF(I$4=$B$2,I$5,0)+IF(I$6=$B$2,I$7,0)+IF(I$8=$B$2,I$9,0)+IF(I$10=$B$2,I$11,0)-IF(I$12=$B$2,I$13,0)-IF(I$14=$B$2,I$15,0)-IF(I$16=$B$2,I$17,0)-IF(I$18=$B$2,I$19,0)-IF(I$20=$B$2,I$21,0)</f>
        <v>3000.0000000000009</v>
      </c>
      <c r="J23" s="25">
        <f t="shared" ref="J23:N23" si="10">IF(J$2=$B$2,I23+J$3,I23)+IF(J$4=$B$2,J$5,0)+IF(J$6=$B$2,J$7,0)+IF(J$8=$B$2,J$9,0)+IF(J$10=$B$2,J$11,0)-IF(J$12=$B$2,J$13,0)-IF(J$14=$B$2,J$15,0)-IF(J$16=$B$2,J$17,0)-IF(J$18=$B$2,J$19,0)-IF(J$20=$B$2,J$21,0)</f>
        <v>3000.0000000000009</v>
      </c>
      <c r="K23" s="25">
        <f t="shared" si="10"/>
        <v>10939.15</v>
      </c>
      <c r="L23" s="25">
        <f t="shared" si="10"/>
        <v>10934.25</v>
      </c>
      <c r="M23" s="25">
        <f t="shared" si="10"/>
        <v>10596.73</v>
      </c>
      <c r="N23" s="25">
        <f t="shared" si="10"/>
        <v>10596.73</v>
      </c>
      <c r="O23" s="25">
        <f t="shared" ref="O23" si="11">IF(O$2=$B$2,N23+O$3,N23)+IF(O$4=$B$2,O$5,0)+IF(O$6=$B$2,O$7,0)+IF(O$8=$B$2,O$9,0)+IF(O$10=$B$2,O$11,0)-IF(O$12=$B$2,O$13,0)-IF(O$14=$B$2,O$15,0)-IF(O$16=$B$2,O$17,0)-IF(O$18=$B$2,O$19,0)-IF(O$20=$B$2,O$21,0)</f>
        <v>10596.73</v>
      </c>
      <c r="P23" s="25">
        <f t="shared" ref="P23" si="12">IF(P$2=$B$2,O23+P$3,O23)+IF(P$4=$B$2,P$5,0)+IF(P$6=$B$2,P$7,0)+IF(P$8=$B$2,P$9,0)+IF(P$10=$B$2,P$11,0)-IF(P$12=$B$2,P$13,0)-IF(P$14=$B$2,P$15,0)-IF(P$16=$B$2,P$17,0)-IF(P$18=$B$2,P$19,0)-IF(P$20=$B$2,P$21,0)</f>
        <v>10596.73</v>
      </c>
      <c r="Q23" s="25">
        <f t="shared" ref="Q23" si="13">IF(Q$2=$B$2,P23+Q$3,P23)+IF(Q$4=$B$2,Q$5,0)+IF(Q$6=$B$2,Q$7,0)+IF(Q$8=$B$2,Q$9,0)+IF(Q$10=$B$2,Q$11,0)-IF(Q$12=$B$2,Q$13,0)-IF(Q$14=$B$2,Q$15,0)-IF(Q$16=$B$2,Q$17,0)-IF(Q$18=$B$2,Q$19,0)-IF(Q$20=$B$2,Q$21,0)</f>
        <v>9985.73</v>
      </c>
      <c r="R23" s="25">
        <f t="shared" ref="R23" si="14">IF(R$2=$B$2,Q23+R$3,Q23)+IF(R$4=$B$2,R$5,0)+IF(R$6=$B$2,R$7,0)+IF(R$8=$B$2,R$9,0)+IF(R$10=$B$2,R$11,0)-IF(R$12=$B$2,R$13,0)-IF(R$14=$B$2,R$15,0)-IF(R$16=$B$2,R$17,0)-IF(R$18=$B$2,R$19,0)-IF(R$20=$B$2,R$21,0)</f>
        <v>10070.73</v>
      </c>
      <c r="S23" s="25">
        <f t="shared" ref="S23" si="15">IF(S$2=$B$2,R23+S$3,R23)+IF(S$4=$B$2,S$5,0)+IF(S$6=$B$2,S$7,0)+IF(S$8=$B$2,S$9,0)+IF(S$10=$B$2,S$11,0)-IF(S$12=$B$2,S$13,0)-IF(S$14=$B$2,S$15,0)-IF(S$16=$B$2,S$17,0)-IF(S$18=$B$2,S$19,0)-IF(S$20=$B$2,S$21,0)</f>
        <v>10070.73</v>
      </c>
      <c r="T23" s="25">
        <f t="shared" ref="T23" si="16">IF(T$2=$B$2,S23+T$3,S23)+IF(T$4=$B$2,T$5,0)+IF(T$6=$B$2,T$7,0)+IF(T$8=$B$2,T$9,0)+IF(T$10=$B$2,T$11,0)-IF(T$12=$B$2,T$13,0)-IF(T$14=$B$2,T$15,0)-IF(T$16=$B$2,T$17,0)-IF(T$18=$B$2,T$19,0)-IF(T$20=$B$2,T$21,0)</f>
        <v>10070.73</v>
      </c>
      <c r="U23" s="25">
        <f t="shared" ref="U23" si="17">IF(U$2=$B$2,T23+U$3,T23)+IF(U$4=$B$2,U$5,0)+IF(U$6=$B$2,U$7,0)+IF(U$8=$B$2,U$9,0)+IF(U$10=$B$2,U$11,0)-IF(U$12=$B$2,U$13,0)-IF(U$14=$B$2,U$15,0)-IF(U$16=$B$2,U$17,0)-IF(U$18=$B$2,U$19,0)-IF(U$20=$B$2,U$21,0)</f>
        <v>10070.73</v>
      </c>
      <c r="V23" s="25">
        <f t="shared" ref="V23:W23" si="18">IF(V$2=$B$2,U23+V$3,U23)+IF(V$4=$B$2,V$5,0)+IF(V$6=$B$2,V$7,0)+IF(V$8=$B$2,V$9,0)+IF(V$10=$B$2,V$11,0)-IF(V$12=$B$2,V$13,0)-IF(V$14=$B$2,V$15,0)-IF(V$16=$B$2,V$17,0)-IF(V$18=$B$2,V$19,0)-IF(V$20=$B$2,V$21,0)</f>
        <v>10070.73</v>
      </c>
      <c r="W23" s="25">
        <f t="shared" si="18"/>
        <v>3556.66</v>
      </c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126"/>
    </row>
    <row r="24" spans="1:39" ht="18" customHeight="1">
      <c r="G24" s="302"/>
      <c r="H24" s="111">
        <f>IF(H$2=$C$2,C3+H$3,C3)+IF(H$4=$C$2,H$5,0)+IF(H$6=$C$2,H$7,0)+IF(H$8=$C$2,H$9,0)+IF(H$10=$C$2,H$11,0)-IF(H$12=$C$2,H$13,0)-IF(H$14=$C$2,H$15,0)-IF(H$16=$C$2,H$17,0)-IF(H$18=$C$2,H$19,0)-IF(H$20=$C$2,H$21,0)</f>
        <v>45</v>
      </c>
      <c r="I24" s="29">
        <f>IF(I$2=$C$2,H24+I$3,H24)+IF(I$4=$C$2,I$5,0)+IF(I$6=$C$2,I$7,0)+IF(I$8=$C$2,I$9,0)+IF(I$10=$C$2,I$11,0)-IF(I$12=$C$2,I$13,0)-IF(I$14=$C$2,I$15,0)-IF(I$16=$C$2,I$17,0)-IF(I$18=$C$2,I$19,0)-IF(I$20=$C$2,I$21,0)</f>
        <v>45</v>
      </c>
      <c r="J24" s="29">
        <f t="shared" ref="J24:N24" si="19">IF(J$2=$C$2,I24+J$3,I24)+IF(J$4=$C$2,J$5,0)+IF(J$6=$C$2,J$7,0)+IF(J$8=$C$2,J$9,0)+IF(J$10=$C$2,J$11,0)-IF(J$12=$C$2,J$13,0)-IF(J$14=$C$2,J$15,0)-IF(J$16=$C$2,J$17,0)-IF(J$18=$C$2,J$19,0)-IF(J$20=$C$2,J$21,0)</f>
        <v>45</v>
      </c>
      <c r="K24" s="29">
        <f t="shared" si="19"/>
        <v>141</v>
      </c>
      <c r="L24" s="29">
        <f t="shared" si="19"/>
        <v>141</v>
      </c>
      <c r="M24" s="29">
        <f t="shared" si="19"/>
        <v>141</v>
      </c>
      <c r="N24" s="29">
        <f t="shared" si="19"/>
        <v>141</v>
      </c>
      <c r="O24" s="29">
        <f t="shared" ref="O24" si="20">IF(O$2=$C$2,N24+O$3,N24)+IF(O$4=$C$2,O$5,0)+IF(O$6=$C$2,O$7,0)+IF(O$8=$C$2,O$9,0)+IF(O$10=$C$2,O$11,0)-IF(O$12=$C$2,O$13,0)-IF(O$14=$C$2,O$15,0)-IF(O$16=$C$2,O$17,0)-IF(O$18=$C$2,O$19,0)-IF(O$20=$C$2,O$21,0)</f>
        <v>191</v>
      </c>
      <c r="P24" s="29">
        <f t="shared" ref="P24" si="21">IF(P$2=$C$2,O24+P$3,O24)+IF(P$4=$C$2,P$5,0)+IF(P$6=$C$2,P$7,0)+IF(P$8=$C$2,P$9,0)+IF(P$10=$C$2,P$11,0)-IF(P$12=$C$2,P$13,0)-IF(P$14=$C$2,P$15,0)-IF(P$16=$C$2,P$17,0)-IF(P$18=$C$2,P$19,0)-IF(P$20=$C$2,P$21,0)</f>
        <v>191</v>
      </c>
      <c r="Q24" s="29">
        <f t="shared" ref="Q24" si="22">IF(Q$2=$C$2,P24+Q$3,P24)+IF(Q$4=$C$2,Q$5,0)+IF(Q$6=$C$2,Q$7,0)+IF(Q$8=$C$2,Q$9,0)+IF(Q$10=$C$2,Q$11,0)-IF(Q$12=$C$2,Q$13,0)-IF(Q$14=$C$2,Q$15,0)-IF(Q$16=$C$2,Q$17,0)-IF(Q$18=$C$2,Q$19,0)-IF(Q$20=$C$2,Q$21,0)</f>
        <v>191</v>
      </c>
      <c r="R24" s="29">
        <f t="shared" ref="R24" si="23">IF(R$2=$C$2,Q24+R$3,Q24)+IF(R$4=$C$2,R$5,0)+IF(R$6=$C$2,R$7,0)+IF(R$8=$C$2,R$9,0)+IF(R$10=$C$2,R$11,0)-IF(R$12=$C$2,R$13,0)-IF(R$14=$C$2,R$15,0)-IF(R$16=$C$2,R$17,0)-IF(R$18=$C$2,R$19,0)-IF(R$20=$C$2,R$21,0)</f>
        <v>191</v>
      </c>
      <c r="S24" s="29">
        <f t="shared" ref="S24" si="24">IF(S$2=$C$2,R24+S$3,R24)+IF(S$4=$C$2,S$5,0)+IF(S$6=$C$2,S$7,0)+IF(S$8=$C$2,S$9,0)+IF(S$10=$C$2,S$11,0)-IF(S$12=$C$2,S$13,0)-IF(S$14=$C$2,S$15,0)-IF(S$16=$C$2,S$17,0)-IF(S$18=$C$2,S$19,0)-IF(S$20=$C$2,S$21,0)</f>
        <v>191</v>
      </c>
      <c r="T24" s="29">
        <f t="shared" ref="T24" si="25">IF(T$2=$C$2,S24+T$3,S24)+IF(T$4=$C$2,T$5,0)+IF(T$6=$C$2,T$7,0)+IF(T$8=$C$2,T$9,0)+IF(T$10=$C$2,T$11,0)-IF(T$12=$C$2,T$13,0)-IF(T$14=$C$2,T$15,0)-IF(T$16=$C$2,T$17,0)-IF(T$18=$C$2,T$19,0)-IF(T$20=$C$2,T$21,0)</f>
        <v>191</v>
      </c>
      <c r="U24" s="29">
        <f t="shared" ref="U24" si="26">IF(U$2=$C$2,T24+U$3,T24)+IF(U$4=$C$2,U$5,0)+IF(U$6=$C$2,U$7,0)+IF(U$8=$C$2,U$9,0)+IF(U$10=$C$2,U$11,0)-IF(U$12=$C$2,U$13,0)-IF(U$14=$C$2,U$15,0)-IF(U$16=$C$2,U$17,0)-IF(U$18=$C$2,U$19,0)-IF(U$20=$C$2,U$21,0)</f>
        <v>191</v>
      </c>
      <c r="V24" s="29">
        <f t="shared" ref="V24:W24" si="27">IF(V$2=$C$2,U24+V$3,U24)+IF(V$4=$C$2,V$5,0)+IF(V$6=$C$2,V$7,0)+IF(V$8=$C$2,V$9,0)+IF(V$10=$C$2,V$11,0)-IF(V$12=$C$2,V$13,0)-IF(V$14=$C$2,V$15,0)-IF(V$16=$C$2,V$17,0)-IF(V$18=$C$2,V$19,0)-IF(V$20=$C$2,V$21,0)</f>
        <v>191</v>
      </c>
      <c r="W24" s="29">
        <f t="shared" si="27"/>
        <v>391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9" ht="18" customHeight="1">
      <c r="G25" s="302"/>
      <c r="H25" s="188">
        <f>IF(H$2=$D$2,D3+H$3,D3)+IF(H$4=$D$2,H$5,0)+IF(H$6=$D$2,H$7,0)+IF(H$8=$D$2,H$9,0)+IF(H$10=$D$2,H$11,0)-IF(H$12=$D$2,H$13,0)-IF(H$14=$D$2,H$15,0)-IF(H$16=$D$2,H$17,0)-IF(H$18=$D$2,H$19,0)-IF(H$20=$D$2,H$21,0)</f>
        <v>470.71000000000009</v>
      </c>
      <c r="I25" s="189">
        <f>IF(I$2=$D$2,H25+I$3,H25)+IF(I$4=$D$2,I$5,0)+IF(I$6=$D$2,I$7,0)+IF(I$8=$D$2,I$9,0)+IF(I$10=$D$2,I$11,0)-IF(I$12=$D$2,I$13,0)-IF(I$14=$D$2,I$15,0)-IF(I$16=$D$2,I$17,0)-IF(I$18=$D$2,I$19,0)-IF(I$20=$D$2,I$21,0)</f>
        <v>470.71000000000009</v>
      </c>
      <c r="J25" s="189">
        <f t="shared" ref="J25:N25" si="28">IF(J$2=$D$2,I25+J$3,I25)+IF(J$4=$D$2,J$5,0)+IF(J$6=$D$2,J$7,0)+IF(J$8=$D$2,J$9,0)+IF(J$10=$D$2,J$11,0)-IF(J$12=$D$2,J$13,0)-IF(J$14=$D$2,J$15,0)-IF(J$16=$D$2,J$17,0)-IF(J$18=$D$2,J$19,0)-IF(J$20=$D$2,J$21,0)</f>
        <v>848.71</v>
      </c>
      <c r="K25" s="189">
        <f t="shared" si="28"/>
        <v>848.71</v>
      </c>
      <c r="L25" s="189">
        <f t="shared" si="28"/>
        <v>848.71</v>
      </c>
      <c r="M25" s="189">
        <f t="shared" si="28"/>
        <v>848.71</v>
      </c>
      <c r="N25" s="189">
        <f t="shared" si="28"/>
        <v>449.51</v>
      </c>
      <c r="O25" s="189">
        <f t="shared" ref="O25" si="29">IF(O$2=$D$2,N25+O$3,N25)+IF(O$4=$D$2,O$5,0)+IF(O$6=$D$2,O$7,0)+IF(O$8=$D$2,O$9,0)+IF(O$10=$D$2,O$11,0)-IF(O$12=$D$2,O$13,0)-IF(O$14=$D$2,O$15,0)-IF(O$16=$D$2,O$17,0)-IF(O$18=$D$2,O$19,0)-IF(O$20=$D$2,O$21,0)</f>
        <v>449.51</v>
      </c>
      <c r="P25" s="189">
        <f t="shared" ref="P25" si="30">IF(P$2=$D$2,O25+P$3,O25)+IF(P$4=$D$2,P$5,0)+IF(P$6=$D$2,P$7,0)+IF(P$8=$D$2,P$9,0)+IF(P$10=$D$2,P$11,0)-IF(P$12=$D$2,P$13,0)-IF(P$14=$D$2,P$15,0)-IF(P$16=$D$2,P$17,0)-IF(P$18=$D$2,P$19,0)-IF(P$20=$D$2,P$21,0)</f>
        <v>449.51</v>
      </c>
      <c r="Q25" s="189">
        <f t="shared" ref="Q25" si="31">IF(Q$2=$D$2,P25+Q$3,P25)+IF(Q$4=$D$2,Q$5,0)+IF(Q$6=$D$2,Q$7,0)+IF(Q$8=$D$2,Q$9,0)+IF(Q$10=$D$2,Q$11,0)-IF(Q$12=$D$2,Q$13,0)-IF(Q$14=$D$2,Q$15,0)-IF(Q$16=$D$2,Q$17,0)-IF(Q$18=$D$2,Q$19,0)-IF(Q$20=$D$2,Q$21,0)</f>
        <v>449.51</v>
      </c>
      <c r="R25" s="189">
        <f t="shared" ref="R25" si="32">IF(R$2=$D$2,Q25+R$3,Q25)+IF(R$4=$D$2,R$5,0)+IF(R$6=$D$2,R$7,0)+IF(R$8=$D$2,R$9,0)+IF(R$10=$D$2,R$11,0)-IF(R$12=$D$2,R$13,0)-IF(R$14=$D$2,R$15,0)-IF(R$16=$D$2,R$17,0)-IF(R$18=$D$2,R$19,0)-IF(R$20=$D$2,R$21,0)</f>
        <v>449.51</v>
      </c>
      <c r="S25" s="189">
        <f t="shared" ref="S25" si="33">IF(S$2=$D$2,R25+S$3,R25)+IF(S$4=$D$2,S$5,0)+IF(S$6=$D$2,S$7,0)+IF(S$8=$D$2,S$9,0)+IF(S$10=$D$2,S$11,0)-IF(S$12=$D$2,S$13,0)-IF(S$14=$D$2,S$15,0)-IF(S$16=$D$2,S$17,0)-IF(S$18=$D$2,S$19,0)-IF(S$20=$D$2,S$21,0)</f>
        <v>449.51</v>
      </c>
      <c r="T25" s="189">
        <f t="shared" ref="T25" si="34">IF(T$2=$D$2,S25+T$3,S25)+IF(T$4=$D$2,T$5,0)+IF(T$6=$D$2,T$7,0)+IF(T$8=$D$2,T$9,0)+IF(T$10=$D$2,T$11,0)-IF(T$12=$D$2,T$13,0)-IF(T$14=$D$2,T$15,0)-IF(T$16=$D$2,T$17,0)-IF(T$18=$D$2,T$19,0)-IF(T$20=$D$2,T$21,0)</f>
        <v>449.51</v>
      </c>
      <c r="U25" s="189">
        <f t="shared" ref="U25" si="35">IF(U$2=$D$2,T25+U$3,T25)+IF(U$4=$D$2,U$5,0)+IF(U$6=$D$2,U$7,0)+IF(U$8=$D$2,U$9,0)+IF(U$10=$D$2,U$11,0)-IF(U$12=$D$2,U$13,0)-IF(U$14=$D$2,U$15,0)-IF(U$16=$D$2,U$17,0)-IF(U$18=$D$2,U$19,0)-IF(U$20=$D$2,U$21,0)</f>
        <v>271.97000000000003</v>
      </c>
      <c r="V25" s="189">
        <f t="shared" ref="V25:W25" si="36">IF(V$2=$D$2,U25+V$3,U25)+IF(V$4=$D$2,V$5,0)+IF(V$6=$D$2,V$7,0)+IF(V$8=$D$2,V$9,0)+IF(V$10=$D$2,V$11,0)-IF(V$12=$D$2,V$13,0)-IF(V$14=$D$2,V$15,0)-IF(V$16=$D$2,V$17,0)-IF(V$18=$D$2,V$19,0)-IF(V$20=$D$2,V$21,0)</f>
        <v>271.97000000000003</v>
      </c>
      <c r="W25" s="189">
        <f t="shared" si="36"/>
        <v>271.97000000000003</v>
      </c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90"/>
    </row>
    <row r="26" spans="1:39" ht="18" customHeight="1">
      <c r="G26" s="302"/>
      <c r="H26" s="111">
        <f>IF(H$2=$E$2,E3+H$3,E3)+IF(H$4=$E$2,H$5,0)+IF(H$6=$E$2,H$7,0)+IF(H$8=$E$2,H$9,0)+IF(H$10=$E$2,H$11,0)-IF(H$12=$E$2,H$13,0)-IF(H$14=$E$2,H$15,0)-IF(H$16=$E$2,H$17,0)-IF(H$18=$E$2,H$19,0)-IF(H$20=$E$2,H$21,0)</f>
        <v>18823.560000000001</v>
      </c>
      <c r="I26" s="28">
        <f>IF(I$2=$E$2,H26+I$3,H26)+IF(I$4=$E$2,I$5,0)+IF(I$6=$E$2,I$7,0)+IF(I$8=$E$2,I$9,0)+IF(I$10=$E$2,I$11,0)-IF(I$12=$E$2,I$13,0)-IF(I$14=$E$2,I$15,0)-IF(I$16=$E$2,I$17,0)-IF(I$18=$E$2,I$19,0)-IF(I$20=$E$2,I$21,0)</f>
        <v>18823.560000000001</v>
      </c>
      <c r="J26" s="28">
        <f t="shared" ref="J26:N26" si="37">IF(J$2=$E$2,I26+J$3,I26)+IF(J$4=$E$2,J$5,0)+IF(J$6=$E$2,J$7,0)+IF(J$8=$E$2,J$9,0)+IF(J$10=$E$2,J$11,0)-IF(J$12=$E$2,J$13,0)-IF(J$14=$E$2,J$15,0)-IF(J$16=$E$2,J$17,0)-IF(J$18=$E$2,J$19,0)-IF(J$20=$E$2,J$21,0)</f>
        <v>18823.560000000001</v>
      </c>
      <c r="K26" s="28">
        <f t="shared" si="37"/>
        <v>16790.09</v>
      </c>
      <c r="L26" s="28">
        <f t="shared" si="37"/>
        <v>16790.09</v>
      </c>
      <c r="M26" s="28">
        <f t="shared" si="37"/>
        <v>16790.09</v>
      </c>
      <c r="N26" s="28">
        <f t="shared" si="37"/>
        <v>16790.09</v>
      </c>
      <c r="O26" s="28">
        <f t="shared" ref="O26" si="38">IF(O$2=$E$2,N26+O$3,N26)+IF(O$4=$E$2,O$5,0)+IF(O$6=$E$2,O$7,0)+IF(O$8=$E$2,O$9,0)+IF(O$10=$E$2,O$11,0)-IF(O$12=$E$2,O$13,0)-IF(O$14=$E$2,O$15,0)-IF(O$16=$E$2,O$17,0)-IF(O$18=$E$2,O$19,0)-IF(O$20=$E$2,O$21,0)</f>
        <v>16790.09</v>
      </c>
      <c r="P26" s="28">
        <f t="shared" ref="P26" si="39">IF(P$2=$E$2,O26+P$3,O26)+IF(P$4=$E$2,P$5,0)+IF(P$6=$E$2,P$7,0)+IF(P$8=$E$2,P$9,0)+IF(P$10=$E$2,P$11,0)-IF(P$12=$E$2,P$13,0)-IF(P$14=$E$2,P$15,0)-IF(P$16=$E$2,P$17,0)-IF(P$18=$E$2,P$19,0)-IF(P$20=$E$2,P$21,0)</f>
        <v>16790.09</v>
      </c>
      <c r="Q26" s="28">
        <f t="shared" ref="Q26" si="40">IF(Q$2=$E$2,P26+Q$3,P26)+IF(Q$4=$E$2,Q$5,0)+IF(Q$6=$E$2,Q$7,0)+IF(Q$8=$E$2,Q$9,0)+IF(Q$10=$E$2,Q$11,0)-IF(Q$12=$E$2,Q$13,0)-IF(Q$14=$E$2,Q$15,0)-IF(Q$16=$E$2,Q$17,0)-IF(Q$18=$E$2,Q$19,0)-IF(Q$20=$E$2,Q$21,0)</f>
        <v>16790.09</v>
      </c>
      <c r="R26" s="28">
        <f t="shared" ref="R26" si="41">IF(R$2=$E$2,Q26+R$3,Q26)+IF(R$4=$E$2,R$5,0)+IF(R$6=$E$2,R$7,0)+IF(R$8=$E$2,R$9,0)+IF(R$10=$E$2,R$11,0)-IF(R$12=$E$2,R$13,0)-IF(R$14=$E$2,R$15,0)-IF(R$16=$E$2,R$17,0)-IF(R$18=$E$2,R$19,0)-IF(R$20=$E$2,R$21,0)</f>
        <v>16790.09</v>
      </c>
      <c r="S26" s="28">
        <f t="shared" ref="S26" si="42">IF(S$2=$E$2,R26+S$3,R26)+IF(S$4=$E$2,S$5,0)+IF(S$6=$E$2,S$7,0)+IF(S$8=$E$2,S$9,0)+IF(S$10=$E$2,S$11,0)-IF(S$12=$E$2,S$13,0)-IF(S$14=$E$2,S$15,0)-IF(S$16=$E$2,S$17,0)-IF(S$18=$E$2,S$19,0)-IF(S$20=$E$2,S$21,0)</f>
        <v>16790.09</v>
      </c>
      <c r="T26" s="28">
        <f t="shared" ref="T26" si="43">IF(T$2=$E$2,S26+T$3,S26)+IF(T$4=$E$2,T$5,0)+IF(T$6=$E$2,T$7,0)+IF(T$8=$E$2,T$9,0)+IF(T$10=$E$2,T$11,0)-IF(T$12=$E$2,T$13,0)-IF(T$14=$E$2,T$15,0)-IF(T$16=$E$2,T$17,0)-IF(T$18=$E$2,T$19,0)-IF(T$20=$E$2,T$21,0)</f>
        <v>16790.09</v>
      </c>
      <c r="U26" s="28">
        <f t="shared" ref="U26" si="44">IF(U$2=$E$2,T26+U$3,T26)+IF(U$4=$E$2,U$5,0)+IF(U$6=$E$2,U$7,0)+IF(U$8=$E$2,U$9,0)+IF(U$10=$E$2,U$11,0)-IF(U$12=$E$2,U$13,0)-IF(U$14=$E$2,U$15,0)-IF(U$16=$E$2,U$17,0)-IF(U$18=$E$2,U$19,0)-IF(U$20=$E$2,U$21,0)</f>
        <v>16790.09</v>
      </c>
      <c r="V26" s="28">
        <f t="shared" ref="V26:W26" si="45">IF(V$2=$E$2,U26+V$3,U26)+IF(V$4=$E$2,V$5,0)+IF(V$6=$E$2,V$7,0)+IF(V$8=$E$2,V$9,0)+IF(V$10=$E$2,V$11,0)-IF(V$12=$E$2,V$13,0)-IF(V$14=$E$2,V$15,0)-IF(V$16=$E$2,V$17,0)-IF(V$18=$E$2,V$19,0)-IF(V$20=$E$2,V$21,0)</f>
        <v>16788.09</v>
      </c>
      <c r="W26" s="28">
        <f t="shared" si="45"/>
        <v>16788.09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127"/>
    </row>
    <row r="27" spans="1:39" ht="18" customHeight="1" thickBot="1">
      <c r="G27" s="303"/>
      <c r="H27" s="112">
        <f>IF(H$2=$F$2,F3+H$3,F3)+IF(H$4=$F$2,H$5,0)+IF(H$6=$F$2,H$7,0)+IF(H$8=$F$2,H$9,0)+IF(H$10=$F$2,H$11,0)-IF(H$12=$F$2,H$13,0)-IF(H$14=$F$2,H$15,0)-IF(H$16=$F$2,H$17,0)-IF(H$18=$F$2,H$19,0)-IF(H$20=$F$2,H$21,0)</f>
        <v>3055.5</v>
      </c>
      <c r="I27" s="31">
        <f>IF(I$2=$F$2,H27+I$3,H27)+IF(I$4=$F$2,I$5,0)+IF(I$6=$F$2,I$7,0)+IF(I$8=$F$2,I$9,0)+IF(I$10=$F$2,I$11,0)-IF(I$12=$F$2,I$13,0)-IF(I$14=$F$2,I$15,0)-IF(I$16=$F$2,I$17,0)-IF(I$18=$F$2,I$19,0)-IF(I$20=$F$2,I$21,0)</f>
        <v>3055.5</v>
      </c>
      <c r="J27" s="31">
        <f t="shared" ref="J27:N27" si="46">IF(J$2=$F$2,I27+J$3,I27)+IF(J$4=$F$2,J$5,0)+IF(J$6=$F$2,J$7,0)+IF(J$8=$F$2,J$9,0)+IF(J$10=$F$2,J$11,0)-IF(J$12=$F$2,J$13,0)-IF(J$14=$F$2,J$15,0)-IF(J$16=$F$2,J$17,0)-IF(J$18=$F$2,J$19,0)-IF(J$20=$F$2,J$21,0)</f>
        <v>3055.5</v>
      </c>
      <c r="K27" s="31">
        <f t="shared" si="46"/>
        <v>3055.5</v>
      </c>
      <c r="L27" s="31">
        <f t="shared" si="46"/>
        <v>3055.5</v>
      </c>
      <c r="M27" s="31">
        <f t="shared" si="46"/>
        <v>3055.5</v>
      </c>
      <c r="N27" s="31">
        <f t="shared" si="46"/>
        <v>3055.5</v>
      </c>
      <c r="O27" s="31">
        <f t="shared" ref="O27" si="47">IF(O$2=$F$2,N27+O$3,N27)+IF(O$4=$F$2,O$5,0)+IF(O$6=$F$2,O$7,0)+IF(O$8=$F$2,O$9,0)+IF(O$10=$F$2,O$11,0)-IF(O$12=$F$2,O$13,0)-IF(O$14=$F$2,O$15,0)-IF(O$16=$F$2,O$17,0)-IF(O$18=$F$2,O$19,0)-IF(O$20=$F$2,O$21,0)</f>
        <v>3055.5</v>
      </c>
      <c r="P27" s="31">
        <f t="shared" ref="P27" si="48">IF(P$2=$F$2,O27+P$3,O27)+IF(P$4=$F$2,P$5,0)+IF(P$6=$F$2,P$7,0)+IF(P$8=$F$2,P$9,0)+IF(P$10=$F$2,P$11,0)-IF(P$12=$F$2,P$13,0)-IF(P$14=$F$2,P$15,0)-IF(P$16=$F$2,P$17,0)-IF(P$18=$F$2,P$19,0)-IF(P$20=$F$2,P$21,0)</f>
        <v>3055.5</v>
      </c>
      <c r="Q27" s="31">
        <f t="shared" ref="Q27" si="49">IF(Q$2=$F$2,P27+Q$3,P27)+IF(Q$4=$F$2,Q$5,0)+IF(Q$6=$F$2,Q$7,0)+IF(Q$8=$F$2,Q$9,0)+IF(Q$10=$F$2,Q$11,0)-IF(Q$12=$F$2,Q$13,0)-IF(Q$14=$F$2,Q$15,0)-IF(Q$16=$F$2,Q$17,0)-IF(Q$18=$F$2,Q$19,0)-IF(Q$20=$F$2,Q$21,0)</f>
        <v>3055.5</v>
      </c>
      <c r="R27" s="31">
        <f t="shared" ref="R27" si="50">IF(R$2=$F$2,Q27+R$3,Q27)+IF(R$4=$F$2,R$5,0)+IF(R$6=$F$2,R$7,0)+IF(R$8=$F$2,R$9,0)+IF(R$10=$F$2,R$11,0)-IF(R$12=$F$2,R$13,0)-IF(R$14=$F$2,R$15,0)-IF(R$16=$F$2,R$17,0)-IF(R$18=$F$2,R$19,0)-IF(R$20=$F$2,R$21,0)</f>
        <v>3055.5</v>
      </c>
      <c r="S27" s="31">
        <f t="shared" ref="S27" si="51">IF(S$2=$F$2,R27+S$3,R27)+IF(S$4=$F$2,S$5,0)+IF(S$6=$F$2,S$7,0)+IF(S$8=$F$2,S$9,0)+IF(S$10=$F$2,S$11,0)-IF(S$12=$F$2,S$13,0)-IF(S$14=$F$2,S$15,0)-IF(S$16=$F$2,S$17,0)-IF(S$18=$F$2,S$19,0)-IF(S$20=$F$2,S$21,0)</f>
        <v>3055.5</v>
      </c>
      <c r="T27" s="31">
        <f t="shared" ref="T27" si="52">IF(T$2=$F$2,S27+T$3,S27)+IF(T$4=$F$2,T$5,0)+IF(T$6=$F$2,T$7,0)+IF(T$8=$F$2,T$9,0)+IF(T$10=$F$2,T$11,0)-IF(T$12=$F$2,T$13,0)-IF(T$14=$F$2,T$15,0)-IF(T$16=$F$2,T$17,0)-IF(T$18=$F$2,T$19,0)-IF(T$20=$F$2,T$21,0)</f>
        <v>3055.5</v>
      </c>
      <c r="U27" s="31">
        <f t="shared" ref="U27" si="53">IF(U$2=$F$2,T27+U$3,T27)+IF(U$4=$F$2,U$5,0)+IF(U$6=$F$2,U$7,0)+IF(U$8=$F$2,U$9,0)+IF(U$10=$F$2,U$11,0)-IF(U$12=$F$2,U$13,0)-IF(U$14=$F$2,U$15,0)-IF(U$16=$F$2,U$17,0)-IF(U$18=$F$2,U$19,0)-IF(U$20=$F$2,U$21,0)</f>
        <v>3055.5</v>
      </c>
      <c r="V27" s="31">
        <f t="shared" ref="V27:W27" si="54">IF(V$2=$F$2,U27+V$3,U27)+IF(V$4=$F$2,V$5,0)+IF(V$6=$F$2,V$7,0)+IF(V$8=$F$2,V$9,0)+IF(V$10=$F$2,V$11,0)-IF(V$12=$F$2,V$13,0)-IF(V$14=$F$2,V$15,0)-IF(V$16=$F$2,V$17,0)-IF(V$18=$F$2,V$19,0)-IF(V$20=$F$2,V$21,0)</f>
        <v>3055.5</v>
      </c>
      <c r="W27" s="31">
        <f t="shared" si="54"/>
        <v>3055.5</v>
      </c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128"/>
    </row>
    <row r="28" spans="1:39" ht="18" customHeight="1" thickBot="1">
      <c r="G28" s="116" t="s">
        <v>49</v>
      </c>
      <c r="H28" s="113" t="s">
        <v>45</v>
      </c>
      <c r="I28" s="114" t="s">
        <v>46</v>
      </c>
      <c r="J28" s="114" t="s">
        <v>46</v>
      </c>
      <c r="K28" s="114" t="s">
        <v>47</v>
      </c>
      <c r="L28" s="114" t="s">
        <v>48</v>
      </c>
      <c r="M28" s="114" t="s">
        <v>43</v>
      </c>
      <c r="N28" s="114" t="s">
        <v>44</v>
      </c>
      <c r="O28" s="113" t="s">
        <v>45</v>
      </c>
      <c r="P28" s="114" t="s">
        <v>46</v>
      </c>
      <c r="Q28" s="114" t="s">
        <v>46</v>
      </c>
      <c r="R28" s="114" t="s">
        <v>47</v>
      </c>
      <c r="S28" s="114" t="s">
        <v>48</v>
      </c>
      <c r="T28" s="114" t="s">
        <v>43</v>
      </c>
      <c r="U28" s="114" t="s">
        <v>44</v>
      </c>
      <c r="V28" s="113" t="s">
        <v>45</v>
      </c>
      <c r="W28" s="114" t="s">
        <v>46</v>
      </c>
      <c r="X28" s="114" t="s">
        <v>46</v>
      </c>
      <c r="Y28" s="114" t="s">
        <v>47</v>
      </c>
      <c r="Z28" s="114" t="s">
        <v>48</v>
      </c>
      <c r="AA28" s="114" t="s">
        <v>43</v>
      </c>
      <c r="AB28" s="114" t="s">
        <v>44</v>
      </c>
      <c r="AC28" s="113" t="s">
        <v>45</v>
      </c>
      <c r="AD28" s="114" t="s">
        <v>46</v>
      </c>
      <c r="AE28" s="114" t="s">
        <v>46</v>
      </c>
      <c r="AF28" s="114" t="s">
        <v>47</v>
      </c>
      <c r="AG28" s="114" t="s">
        <v>48</v>
      </c>
      <c r="AH28" s="114" t="s">
        <v>43</v>
      </c>
      <c r="AI28" s="114" t="s">
        <v>44</v>
      </c>
      <c r="AJ28" s="114" t="s">
        <v>45</v>
      </c>
      <c r="AK28" s="150" t="s">
        <v>46</v>
      </c>
    </row>
    <row r="29" spans="1:39" ht="18" customHeight="1" thickBot="1">
      <c r="C29" s="216" t="s">
        <v>8</v>
      </c>
      <c r="D29" s="217" t="s">
        <v>17</v>
      </c>
      <c r="E29" s="218" t="s">
        <v>9</v>
      </c>
      <c r="F29" s="217" t="s">
        <v>17</v>
      </c>
    </row>
    <row r="30" spans="1:39" ht="18" customHeight="1">
      <c r="C30" s="227" t="s">
        <v>14</v>
      </c>
      <c r="D30" s="181"/>
      <c r="E30" s="219" t="s">
        <v>25</v>
      </c>
      <c r="F30" s="181">
        <f>I3+P3</f>
        <v>5117</v>
      </c>
      <c r="Z30" s="13"/>
      <c r="AD30" s="13"/>
    </row>
    <row r="31" spans="1:39" ht="18" customHeight="1" thickBot="1">
      <c r="C31" s="178" t="s">
        <v>15</v>
      </c>
      <c r="D31" s="30">
        <f>M17+L17+V15*4.95+W15</f>
        <v>118.28999999999999</v>
      </c>
      <c r="E31" s="220" t="s">
        <v>26</v>
      </c>
      <c r="F31" s="30">
        <f>J3</f>
        <v>378</v>
      </c>
      <c r="J31" s="13"/>
      <c r="AH31" s="13"/>
    </row>
    <row r="32" spans="1:39" ht="18" customHeight="1">
      <c r="A32" s="334" t="s">
        <v>55</v>
      </c>
      <c r="B32" s="335"/>
      <c r="C32" s="178" t="s">
        <v>16</v>
      </c>
      <c r="D32" s="30">
        <f>M13</f>
        <v>250.1</v>
      </c>
      <c r="E32" s="220" t="s">
        <v>27</v>
      </c>
      <c r="F32" s="30"/>
      <c r="G32" s="13"/>
    </row>
    <row r="33" spans="1:6" ht="18" customHeight="1" thickBot="1">
      <c r="A33" s="336">
        <f>'Octombrie 2021'!A33:B33+1.16+D38</f>
        <v>5558.76</v>
      </c>
      <c r="B33" s="337"/>
      <c r="C33" s="178" t="s">
        <v>33</v>
      </c>
      <c r="D33" s="30">
        <f>L13+N13</f>
        <v>271.62999999999994</v>
      </c>
      <c r="E33" s="220" t="s">
        <v>19</v>
      </c>
      <c r="F33" s="30">
        <f>Q3+R3</f>
        <v>174</v>
      </c>
    </row>
    <row r="34" spans="1:6" ht="18" customHeight="1">
      <c r="A34" s="338" t="s">
        <v>57</v>
      </c>
      <c r="B34" s="339"/>
      <c r="C34" s="178" t="s">
        <v>36</v>
      </c>
      <c r="D34" s="30">
        <f>H13+N15+L15+O13</f>
        <v>232.40999999999997</v>
      </c>
      <c r="E34" s="220" t="s">
        <v>70</v>
      </c>
      <c r="F34" s="30"/>
    </row>
    <row r="35" spans="1:6" ht="18" customHeight="1" thickBot="1">
      <c r="A35" s="340">
        <f>'Octombrie 2021'!A35:B35+(K17+K19)/4.9486+W19/4.9487</f>
        <v>8432.9053826738636</v>
      </c>
      <c r="B35" s="341"/>
      <c r="C35" s="178" t="s">
        <v>20</v>
      </c>
      <c r="D35" s="30">
        <f>O15+U13</f>
        <v>166.5</v>
      </c>
      <c r="E35" s="221"/>
      <c r="F35" s="222"/>
    </row>
    <row r="36" spans="1:6" ht="18" customHeight="1" thickBot="1">
      <c r="C36" s="178" t="s">
        <v>18</v>
      </c>
      <c r="D36" s="30">
        <f>Q13</f>
        <v>700</v>
      </c>
      <c r="E36" s="342">
        <f>SUM(F30:F35)</f>
        <v>5669</v>
      </c>
      <c r="F36" s="343"/>
    </row>
    <row r="37" spans="1:6" ht="18" customHeight="1" thickBot="1">
      <c r="C37" s="226" t="s">
        <v>67</v>
      </c>
      <c r="D37" s="30">
        <f>N17+P13+V13</f>
        <v>808.99</v>
      </c>
      <c r="E37" s="326">
        <f>E36-C39</f>
        <v>1426.7799999999997</v>
      </c>
      <c r="F37" s="327"/>
    </row>
    <row r="38" spans="1:6" ht="18" customHeight="1" thickBot="1">
      <c r="C38" s="223" t="s">
        <v>51</v>
      </c>
      <c r="D38" s="224">
        <f>I13+K21+M15+W17</f>
        <v>1694.3</v>
      </c>
      <c r="E38" s="328">
        <f>E37+D38</f>
        <v>3121.08</v>
      </c>
      <c r="F38" s="329"/>
    </row>
    <row r="39" spans="1:6" ht="18" customHeight="1" thickBot="1">
      <c r="C39" s="330">
        <f>SUM(D30:D38)</f>
        <v>4242.22</v>
      </c>
      <c r="D39" s="331"/>
      <c r="E39" s="332" t="s">
        <v>75</v>
      </c>
      <c r="F39" s="333"/>
    </row>
    <row r="52" spans="1:4" ht="18" customHeight="1">
      <c r="A52" s="225"/>
      <c r="B52" s="225"/>
    </row>
    <row r="53" spans="1:4" ht="18" customHeight="1">
      <c r="A53" s="225"/>
      <c r="B53" s="225"/>
    </row>
    <row r="54" spans="1:4" ht="18" customHeight="1">
      <c r="A54" s="225"/>
      <c r="B54" s="225"/>
      <c r="C54" s="225"/>
      <c r="D54" s="225"/>
    </row>
    <row r="55" spans="1:4" ht="18" customHeight="1">
      <c r="A55" s="225"/>
      <c r="B55" s="225"/>
      <c r="C55" s="225"/>
      <c r="D55" s="225"/>
    </row>
    <row r="56" spans="1:4" ht="18" customHeight="1">
      <c r="A56" s="225"/>
      <c r="B56" s="225"/>
      <c r="C56" s="225"/>
      <c r="D56" s="225"/>
    </row>
    <row r="57" spans="1:4" ht="18" customHeight="1">
      <c r="A57" s="225"/>
      <c r="B57" s="225"/>
      <c r="C57" s="225"/>
      <c r="D57" s="225"/>
    </row>
    <row r="58" spans="1:4" ht="18" customHeight="1">
      <c r="A58" s="225"/>
      <c r="B58" s="225"/>
      <c r="C58" s="225"/>
      <c r="D58" s="225"/>
    </row>
    <row r="59" spans="1:4" ht="18" customHeight="1">
      <c r="A59" s="225"/>
      <c r="B59" s="225"/>
      <c r="C59" s="225"/>
      <c r="D59" s="225"/>
    </row>
    <row r="60" spans="1:4" ht="18" customHeight="1">
      <c r="A60" s="225"/>
      <c r="B60" s="225"/>
      <c r="C60" s="225"/>
      <c r="D60" s="225"/>
    </row>
    <row r="61" spans="1:4" ht="18" customHeight="1">
      <c r="A61" s="225"/>
      <c r="B61" s="225"/>
      <c r="C61" s="225"/>
      <c r="D61" s="225"/>
    </row>
    <row r="62" spans="1:4" ht="18" customHeight="1">
      <c r="A62" s="225"/>
      <c r="B62" s="225"/>
      <c r="C62" s="225"/>
      <c r="D62" s="225"/>
    </row>
    <row r="63" spans="1:4" ht="18" customHeight="1">
      <c r="C63" s="225"/>
      <c r="D63" s="225"/>
    </row>
    <row r="64" spans="1:4" ht="18" customHeight="1">
      <c r="C64" s="225"/>
      <c r="D64" s="225"/>
    </row>
    <row r="65" spans="3:4" ht="18" customHeight="1">
      <c r="C65" s="225"/>
      <c r="D65" s="225"/>
    </row>
  </sheetData>
  <mergeCells count="27">
    <mergeCell ref="A1:F1"/>
    <mergeCell ref="G2:G11"/>
    <mergeCell ref="A4:D4"/>
    <mergeCell ref="E4:F4"/>
    <mergeCell ref="A5:D5"/>
    <mergeCell ref="E5:F5"/>
    <mergeCell ref="A6:F6"/>
    <mergeCell ref="A9:D9"/>
    <mergeCell ref="E9:F9"/>
    <mergeCell ref="A10:D10"/>
    <mergeCell ref="E10:F10"/>
    <mergeCell ref="A11:F11"/>
    <mergeCell ref="G12:G21"/>
    <mergeCell ref="A14:D14"/>
    <mergeCell ref="E14:F14"/>
    <mergeCell ref="A15:D15"/>
    <mergeCell ref="E15:F15"/>
    <mergeCell ref="A32:B32"/>
    <mergeCell ref="A33:B33"/>
    <mergeCell ref="A34:B34"/>
    <mergeCell ref="A35:B35"/>
    <mergeCell ref="E36:F36"/>
    <mergeCell ref="E37:F37"/>
    <mergeCell ref="E38:F38"/>
    <mergeCell ref="C39:D39"/>
    <mergeCell ref="E39:F39"/>
    <mergeCell ref="G22:G27"/>
  </mergeCells>
  <conditionalFormatting sqref="A13:F13 E15:F15 A15">
    <cfRule type="cellIs" dxfId="4" priority="4" operator="lessThan">
      <formula>0</formula>
    </cfRule>
    <cfRule type="cellIs" dxfId="3" priority="5" operator="greaterThanOrEqual">
      <formula>0</formula>
    </cfRule>
  </conditionalFormatting>
  <conditionalFormatting sqref="E37:F38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E38:F38">
    <cfRule type="cellIs" dxfId="0" priority="1" operator="greaterThan">
      <formula>0</formula>
    </cfRule>
  </conditionalFormatting>
  <dataValidations count="7">
    <dataValidation type="list" allowBlank="1" showInputMessage="1" showErrorMessage="1" sqref="A8" xr:uid="{2D754D46-27B6-44D8-908F-660FD4F254D3}">
      <formula1>$H$22:$AL$22</formula1>
    </dataValidation>
    <dataValidation type="list" allowBlank="1" showInputMessage="1" showErrorMessage="1" sqref="H2:AK2 H6:AK6 H8:AK8 H10:AK10 H12:AK12 H14:AK14 H16:AK16 H18:AK18 H20:AK20 H4:AK4 H15" xr:uid="{2E03D329-E0F9-413D-831F-82DC3938B01F}">
      <formula1>$A$2:$F$2</formula1>
    </dataValidation>
    <dataValidation type="list" allowBlank="1" showInputMessage="1" showErrorMessage="1" sqref="B8" xr:uid="{DFD468EF-419B-47F1-B829-BEDB66A0FB10}">
      <formula1>$H$23:$AL$23</formula1>
    </dataValidation>
    <dataValidation type="list" allowBlank="1" showInputMessage="1" showErrorMessage="1" sqref="C8" xr:uid="{7A47C89B-83B3-4740-A53F-A1F39211943A}">
      <formula1>$H$24:$AL$24</formula1>
    </dataValidation>
    <dataValidation type="list" allowBlank="1" showInputMessage="1" showErrorMessage="1" sqref="D8" xr:uid="{C9CFC758-1F8E-42B7-BC0D-866C2C5E1511}">
      <formula1>$H$25:$AL$25</formula1>
    </dataValidation>
    <dataValidation type="list" allowBlank="1" showInputMessage="1" showErrorMessage="1" sqref="E8" xr:uid="{10D3F181-24DF-4890-A77F-F7096A671E60}">
      <formula1>$H$26:$AL$26</formula1>
    </dataValidation>
    <dataValidation type="list" allowBlank="1" showInputMessage="1" showErrorMessage="1" sqref="F8" xr:uid="{513F4562-966A-493C-8C7D-E6452A8A94E4}">
      <formula1>$H$27:$AL$27</formula1>
    </dataValidation>
  </dataValidations>
  <pageMargins left="0.7" right="0.7" top="0.75" bottom="0.75" header="0.3" footer="0.3"/>
  <pageSetup orientation="portrait" horizontalDpi="4294967293" r:id="rId1"/>
  <ignoredErrors>
    <ignoredError sqref="A5:F7 A9:F10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Martie 2021</vt:lpstr>
      <vt:lpstr>Aprilie 2021</vt:lpstr>
      <vt:lpstr>Mai 2021</vt:lpstr>
      <vt:lpstr>Iunie 2021</vt:lpstr>
      <vt:lpstr>Iulie 2021</vt:lpstr>
      <vt:lpstr>August 2021</vt:lpstr>
      <vt:lpstr>Septembrie 2021</vt:lpstr>
      <vt:lpstr>Octombrie 2021</vt:lpstr>
      <vt:lpstr>Noiembrie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Octavian Rusu</dc:creator>
  <cp:lastModifiedBy>Octavian Rusu</cp:lastModifiedBy>
  <dcterms:created xsi:type="dcterms:W3CDTF">2021-03-04T16:59:14Z</dcterms:created>
  <dcterms:modified xsi:type="dcterms:W3CDTF">2022-12-31T14:59:58Z</dcterms:modified>
</cp:coreProperties>
</file>